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\OneDrive\Desktop\"/>
    </mc:Choice>
  </mc:AlternateContent>
  <xr:revisionPtr revIDLastSave="0" documentId="13_ncr:1_{6E5FD2DD-D571-4761-A1A6-0243480BCD55}" xr6:coauthVersionLast="47" xr6:coauthVersionMax="47" xr10:uidLastSave="{00000000-0000-0000-0000-000000000000}"/>
  <bookViews>
    <workbookView xWindow="-110" yWindow="-110" windowWidth="25820" windowHeight="13900" activeTab="3" xr2:uid="{F8079BB3-BC3F-405E-9F35-53C7BCF37A58}"/>
  </bookViews>
  <sheets>
    <sheet name="Sheet1" sheetId="1" r:id="rId1"/>
    <sheet name="Sheet2" sheetId="2" r:id="rId2"/>
    <sheet name="Sheet2 (2)" sheetId="4" r:id="rId3"/>
    <sheet name="Sheet5" sheetId="5" r:id="rId4"/>
    <sheet name="Sheet3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1" i="5" s="1"/>
  <c r="I1" i="5" s="1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3" i="5"/>
  <c r="H1" i="5"/>
  <c r="E1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3" i="5"/>
  <c r="D1" i="5"/>
  <c r="C1" i="5"/>
  <c r="X35" i="5"/>
  <c r="X34" i="5"/>
  <c r="A2" i="5"/>
  <c r="B2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217" i="5"/>
  <c r="B217" i="5"/>
  <c r="A218" i="5"/>
  <c r="B218" i="5"/>
  <c r="A219" i="5"/>
  <c r="B219" i="5"/>
  <c r="A220" i="5"/>
  <c r="B220" i="5"/>
  <c r="A221" i="5"/>
  <c r="B221" i="5"/>
  <c r="A222" i="5"/>
  <c r="B222" i="5"/>
  <c r="A223" i="5"/>
  <c r="B223" i="5"/>
  <c r="A224" i="5"/>
  <c r="B224" i="5"/>
  <c r="A225" i="5"/>
  <c r="B225" i="5"/>
  <c r="A226" i="5"/>
  <c r="B226" i="5"/>
  <c r="A227" i="5"/>
  <c r="B227" i="5"/>
  <c r="A228" i="5"/>
  <c r="B228" i="5"/>
  <c r="A229" i="5"/>
  <c r="B229" i="5"/>
  <c r="A230" i="5"/>
  <c r="B230" i="5"/>
  <c r="A231" i="5"/>
  <c r="B231" i="5"/>
  <c r="A232" i="5"/>
  <c r="B232" i="5"/>
  <c r="A233" i="5"/>
  <c r="B233" i="5"/>
  <c r="A234" i="5"/>
  <c r="B234" i="5"/>
  <c r="A235" i="5"/>
  <c r="B235" i="5"/>
  <c r="A236" i="5"/>
  <c r="B236" i="5"/>
  <c r="A237" i="5"/>
  <c r="B237" i="5"/>
  <c r="A238" i="5"/>
  <c r="B238" i="5"/>
  <c r="A239" i="5"/>
  <c r="B239" i="5"/>
  <c r="A240" i="5"/>
  <c r="B240" i="5"/>
  <c r="A241" i="5"/>
  <c r="B241" i="5"/>
  <c r="A242" i="5"/>
  <c r="B242" i="5"/>
  <c r="A243" i="5"/>
  <c r="B243" i="5"/>
  <c r="A244" i="5"/>
  <c r="B244" i="5"/>
  <c r="A245" i="5"/>
  <c r="B245" i="5"/>
  <c r="A246" i="5"/>
  <c r="B246" i="5"/>
  <c r="A247" i="5"/>
  <c r="B247" i="5"/>
  <c r="A248" i="5"/>
  <c r="B248" i="5"/>
  <c r="A249" i="5"/>
  <c r="B249" i="5"/>
  <c r="A250" i="5"/>
  <c r="B250" i="5"/>
  <c r="A251" i="5"/>
  <c r="B251" i="5"/>
  <c r="A252" i="5"/>
  <c r="B252" i="5"/>
  <c r="A253" i="5"/>
  <c r="B253" i="5"/>
  <c r="A254" i="5"/>
  <c r="B254" i="5"/>
  <c r="A255" i="5"/>
  <c r="B255" i="5"/>
  <c r="A256" i="5"/>
  <c r="B256" i="5"/>
  <c r="A257" i="5"/>
  <c r="B257" i="5"/>
  <c r="A258" i="5"/>
  <c r="B258" i="5"/>
  <c r="A259" i="5"/>
  <c r="B259" i="5"/>
  <c r="A260" i="5"/>
  <c r="B260" i="5"/>
  <c r="A261" i="5"/>
  <c r="B261" i="5"/>
  <c r="A262" i="5"/>
  <c r="B262" i="5"/>
  <c r="A263" i="5"/>
  <c r="B263" i="5"/>
  <c r="A264" i="5"/>
  <c r="B264" i="5"/>
  <c r="A265" i="5"/>
  <c r="B265" i="5"/>
  <c r="A266" i="5"/>
  <c r="B266" i="5"/>
  <c r="A267" i="5"/>
  <c r="B267" i="5"/>
  <c r="A268" i="5"/>
  <c r="B268" i="5"/>
  <c r="A269" i="5"/>
  <c r="B269" i="5"/>
  <c r="A270" i="5"/>
  <c r="B270" i="5"/>
  <c r="A271" i="5"/>
  <c r="B271" i="5"/>
  <c r="A272" i="5"/>
  <c r="B272" i="5"/>
  <c r="A273" i="5"/>
  <c r="B273" i="5"/>
  <c r="A274" i="5"/>
  <c r="B274" i="5"/>
  <c r="A275" i="5"/>
  <c r="B275" i="5"/>
  <c r="A276" i="5"/>
  <c r="B276" i="5"/>
  <c r="A277" i="5"/>
  <c r="B277" i="5"/>
  <c r="A278" i="5"/>
  <c r="B278" i="5"/>
  <c r="A279" i="5"/>
  <c r="B279" i="5"/>
  <c r="A280" i="5"/>
  <c r="B280" i="5"/>
  <c r="A281" i="5"/>
  <c r="B281" i="5"/>
  <c r="A282" i="5"/>
  <c r="B282" i="5"/>
  <c r="A283" i="5"/>
  <c r="B283" i="5"/>
  <c r="A284" i="5"/>
  <c r="B284" i="5"/>
  <c r="A285" i="5"/>
  <c r="B285" i="5"/>
  <c r="A286" i="5"/>
  <c r="B286" i="5"/>
  <c r="A287" i="5"/>
  <c r="B287" i="5"/>
  <c r="A288" i="5"/>
  <c r="B288" i="5"/>
  <c r="A289" i="5"/>
  <c r="B289" i="5"/>
  <c r="A290" i="5"/>
  <c r="B290" i="5"/>
  <c r="A291" i="5"/>
  <c r="B291" i="5"/>
  <c r="A292" i="5"/>
  <c r="B292" i="5"/>
  <c r="A293" i="5"/>
  <c r="B293" i="5"/>
  <c r="A294" i="5"/>
  <c r="B294" i="5"/>
  <c r="A295" i="5"/>
  <c r="B295" i="5"/>
  <c r="A296" i="5"/>
  <c r="B296" i="5"/>
  <c r="A297" i="5"/>
  <c r="B297" i="5"/>
  <c r="A298" i="5"/>
  <c r="B298" i="5"/>
  <c r="A299" i="5"/>
  <c r="B299" i="5"/>
  <c r="A300" i="5"/>
  <c r="B300" i="5"/>
  <c r="A301" i="5"/>
  <c r="B301" i="5"/>
  <c r="A302" i="5"/>
  <c r="B302" i="5"/>
  <c r="A303" i="5"/>
  <c r="B303" i="5"/>
  <c r="A304" i="5"/>
  <c r="B304" i="5"/>
  <c r="A305" i="5"/>
  <c r="B305" i="5"/>
  <c r="A306" i="5"/>
  <c r="B306" i="5"/>
  <c r="A307" i="5"/>
  <c r="B307" i="5"/>
  <c r="A308" i="5"/>
  <c r="B308" i="5"/>
  <c r="A309" i="5"/>
  <c r="B309" i="5"/>
  <c r="A310" i="5"/>
  <c r="B310" i="5"/>
  <c r="A311" i="5"/>
  <c r="B311" i="5"/>
  <c r="A312" i="5"/>
  <c r="B312" i="5"/>
  <c r="A313" i="5"/>
  <c r="B313" i="5"/>
  <c r="A314" i="5"/>
  <c r="B314" i="5"/>
  <c r="A315" i="5"/>
  <c r="B315" i="5"/>
  <c r="A316" i="5"/>
  <c r="B316" i="5"/>
  <c r="A317" i="5"/>
  <c r="B317" i="5"/>
  <c r="A318" i="5"/>
  <c r="B318" i="5"/>
  <c r="A319" i="5"/>
  <c r="B319" i="5"/>
  <c r="A320" i="5"/>
  <c r="B320" i="5"/>
  <c r="A321" i="5"/>
  <c r="B321" i="5"/>
  <c r="A322" i="5"/>
  <c r="B322" i="5"/>
  <c r="A323" i="5"/>
  <c r="B323" i="5"/>
  <c r="A324" i="5"/>
  <c r="B324" i="5"/>
  <c r="A325" i="5"/>
  <c r="B325" i="5"/>
  <c r="A326" i="5"/>
  <c r="B326" i="5"/>
  <c r="A327" i="5"/>
  <c r="B327" i="5"/>
  <c r="A328" i="5"/>
  <c r="B328" i="5"/>
  <c r="A329" i="5"/>
  <c r="B329" i="5"/>
  <c r="A330" i="5"/>
  <c r="B330" i="5"/>
  <c r="A331" i="5"/>
  <c r="B331" i="5"/>
  <c r="A332" i="5"/>
  <c r="B332" i="5"/>
  <c r="A333" i="5"/>
  <c r="B333" i="5"/>
  <c r="A334" i="5"/>
  <c r="B334" i="5"/>
  <c r="A335" i="5"/>
  <c r="B335" i="5"/>
  <c r="A336" i="5"/>
  <c r="B336" i="5"/>
  <c r="A337" i="5"/>
  <c r="B337" i="5"/>
  <c r="A338" i="5"/>
  <c r="B338" i="5"/>
  <c r="A339" i="5"/>
  <c r="B339" i="5"/>
  <c r="A340" i="5"/>
  <c r="B340" i="5"/>
  <c r="A341" i="5"/>
  <c r="B341" i="5"/>
  <c r="A342" i="5"/>
  <c r="B342" i="5"/>
  <c r="A343" i="5"/>
  <c r="B343" i="5"/>
  <c r="A344" i="5"/>
  <c r="B344" i="5"/>
  <c r="A345" i="5"/>
  <c r="B345" i="5"/>
  <c r="A346" i="5"/>
  <c r="B346" i="5"/>
  <c r="A347" i="5"/>
  <c r="B347" i="5"/>
  <c r="A348" i="5"/>
  <c r="B348" i="5"/>
  <c r="A349" i="5"/>
  <c r="B349" i="5"/>
  <c r="A350" i="5"/>
  <c r="B350" i="5"/>
  <c r="A351" i="5"/>
  <c r="B351" i="5"/>
  <c r="A352" i="5"/>
  <c r="B352" i="5"/>
  <c r="A353" i="5"/>
  <c r="B353" i="5"/>
  <c r="A354" i="5"/>
  <c r="B354" i="5"/>
  <c r="A355" i="5"/>
  <c r="B355" i="5"/>
  <c r="A356" i="5"/>
  <c r="B356" i="5"/>
  <c r="A357" i="5"/>
  <c r="B357" i="5"/>
  <c r="A358" i="5"/>
  <c r="B358" i="5"/>
  <c r="A359" i="5"/>
  <c r="B359" i="5"/>
  <c r="A360" i="5"/>
  <c r="B360" i="5"/>
  <c r="A361" i="5"/>
  <c r="B361" i="5"/>
  <c r="A362" i="5"/>
  <c r="B362" i="5"/>
  <c r="A363" i="5"/>
  <c r="B363" i="5"/>
  <c r="A364" i="5"/>
  <c r="B364" i="5"/>
  <c r="A365" i="5"/>
  <c r="B365" i="5"/>
  <c r="A366" i="5"/>
  <c r="B366" i="5"/>
  <c r="A367" i="5"/>
  <c r="B367" i="5"/>
  <c r="A368" i="5"/>
  <c r="B368" i="5"/>
  <c r="A369" i="5"/>
  <c r="B369" i="5"/>
  <c r="A370" i="5"/>
  <c r="B370" i="5"/>
  <c r="A371" i="5"/>
  <c r="B371" i="5"/>
  <c r="A372" i="5"/>
  <c r="B372" i="5"/>
  <c r="A373" i="5"/>
  <c r="B373" i="5"/>
  <c r="A374" i="5"/>
  <c r="B374" i="5"/>
  <c r="A375" i="5"/>
  <c r="B375" i="5"/>
  <c r="A376" i="5"/>
  <c r="B376" i="5"/>
  <c r="A377" i="5"/>
  <c r="B377" i="5"/>
  <c r="A378" i="5"/>
  <c r="B378" i="5"/>
  <c r="A379" i="5"/>
  <c r="B379" i="5"/>
  <c r="A380" i="5"/>
  <c r="B380" i="5"/>
  <c r="A381" i="5"/>
  <c r="B381" i="5"/>
  <c r="A382" i="5"/>
  <c r="B382" i="5"/>
  <c r="A383" i="5"/>
  <c r="B383" i="5"/>
  <c r="A384" i="5"/>
  <c r="B384" i="5"/>
  <c r="A385" i="5"/>
  <c r="B385" i="5"/>
  <c r="A386" i="5"/>
  <c r="B386" i="5"/>
  <c r="A387" i="5"/>
  <c r="B387" i="5"/>
  <c r="A388" i="5"/>
  <c r="B388" i="5"/>
  <c r="A389" i="5"/>
  <c r="B389" i="5"/>
  <c r="A390" i="5"/>
  <c r="B390" i="5"/>
  <c r="A391" i="5"/>
  <c r="B391" i="5"/>
  <c r="A392" i="5"/>
  <c r="B392" i="5"/>
  <c r="A393" i="5"/>
  <c r="B393" i="5"/>
  <c r="A394" i="5"/>
  <c r="B394" i="5"/>
  <c r="A395" i="5"/>
  <c r="B395" i="5"/>
  <c r="A396" i="5"/>
  <c r="B396" i="5"/>
  <c r="A397" i="5"/>
  <c r="B397" i="5"/>
  <c r="A398" i="5"/>
  <c r="B398" i="5"/>
  <c r="A399" i="5"/>
  <c r="B399" i="5"/>
  <c r="A400" i="5"/>
  <c r="B400" i="5"/>
  <c r="A401" i="5"/>
  <c r="B401" i="5"/>
  <c r="A402" i="5"/>
  <c r="B402" i="5"/>
  <c r="A403" i="5"/>
  <c r="B403" i="5"/>
  <c r="A404" i="5"/>
  <c r="B404" i="5"/>
  <c r="A405" i="5"/>
  <c r="B405" i="5"/>
  <c r="A406" i="5"/>
  <c r="B406" i="5"/>
  <c r="A407" i="5"/>
  <c r="B407" i="5"/>
  <c r="A408" i="5"/>
  <c r="B408" i="5"/>
  <c r="A409" i="5"/>
  <c r="B409" i="5"/>
  <c r="A410" i="5"/>
  <c r="B410" i="5"/>
  <c r="A411" i="5"/>
  <c r="B411" i="5"/>
  <c r="A412" i="5"/>
  <c r="B412" i="5"/>
  <c r="A413" i="5"/>
  <c r="B413" i="5"/>
  <c r="A414" i="5"/>
  <c r="B414" i="5"/>
  <c r="A415" i="5"/>
  <c r="B415" i="5"/>
  <c r="A416" i="5"/>
  <c r="B416" i="5"/>
  <c r="A417" i="5"/>
  <c r="B417" i="5"/>
  <c r="A418" i="5"/>
  <c r="B418" i="5"/>
  <c r="A419" i="5"/>
  <c r="B419" i="5"/>
  <c r="A420" i="5"/>
  <c r="B420" i="5"/>
  <c r="A421" i="5"/>
  <c r="B421" i="5"/>
  <c r="A422" i="5"/>
  <c r="B422" i="5"/>
  <c r="A423" i="5"/>
  <c r="B423" i="5"/>
  <c r="A424" i="5"/>
  <c r="B424" i="5"/>
  <c r="A425" i="5"/>
  <c r="B425" i="5"/>
  <c r="A426" i="5"/>
  <c r="B426" i="5"/>
  <c r="A427" i="5"/>
  <c r="B427" i="5"/>
  <c r="A428" i="5"/>
  <c r="B428" i="5"/>
  <c r="A429" i="5"/>
  <c r="B429" i="5"/>
  <c r="A430" i="5"/>
  <c r="B430" i="5"/>
  <c r="A431" i="5"/>
  <c r="B431" i="5"/>
  <c r="A432" i="5"/>
  <c r="B432" i="5"/>
  <c r="A433" i="5"/>
  <c r="B433" i="5"/>
  <c r="A434" i="5"/>
  <c r="B434" i="5"/>
  <c r="A435" i="5"/>
  <c r="B435" i="5"/>
  <c r="A436" i="5"/>
  <c r="B436" i="5"/>
  <c r="A437" i="5"/>
  <c r="B437" i="5"/>
  <c r="A438" i="5"/>
  <c r="B438" i="5"/>
  <c r="A439" i="5"/>
  <c r="B439" i="5"/>
  <c r="A440" i="5"/>
  <c r="B440" i="5"/>
  <c r="A441" i="5"/>
  <c r="B441" i="5"/>
  <c r="A442" i="5"/>
  <c r="B442" i="5"/>
  <c r="A443" i="5"/>
  <c r="B443" i="5"/>
  <c r="A444" i="5"/>
  <c r="B444" i="5"/>
  <c r="A445" i="5"/>
  <c r="B445" i="5"/>
  <c r="A446" i="5"/>
  <c r="B446" i="5"/>
  <c r="A447" i="5"/>
  <c r="B447" i="5"/>
  <c r="A448" i="5"/>
  <c r="B448" i="5"/>
  <c r="A449" i="5"/>
  <c r="B449" i="5"/>
  <c r="A450" i="5"/>
  <c r="B450" i="5"/>
  <c r="A451" i="5"/>
  <c r="B451" i="5"/>
  <c r="A452" i="5"/>
  <c r="B452" i="5"/>
  <c r="A453" i="5"/>
  <c r="B453" i="5"/>
  <c r="A454" i="5"/>
  <c r="B454" i="5"/>
  <c r="A455" i="5"/>
  <c r="B455" i="5"/>
  <c r="A456" i="5"/>
  <c r="B456" i="5"/>
  <c r="A457" i="5"/>
  <c r="B457" i="5"/>
  <c r="A458" i="5"/>
  <c r="B458" i="5"/>
  <c r="A459" i="5"/>
  <c r="B459" i="5"/>
  <c r="A460" i="5"/>
  <c r="B460" i="5"/>
  <c r="A461" i="5"/>
  <c r="B461" i="5"/>
  <c r="A462" i="5"/>
  <c r="B462" i="5"/>
  <c r="A463" i="5"/>
  <c r="B463" i="5"/>
  <c r="A464" i="5"/>
  <c r="B464" i="5"/>
  <c r="A465" i="5"/>
  <c r="B465" i="5"/>
  <c r="A466" i="5"/>
  <c r="B466" i="5"/>
  <c r="A467" i="5"/>
  <c r="B467" i="5"/>
  <c r="A468" i="5"/>
  <c r="B468" i="5"/>
  <c r="A469" i="5"/>
  <c r="B469" i="5"/>
  <c r="A470" i="5"/>
  <c r="B470" i="5"/>
  <c r="A471" i="5"/>
  <c r="B471" i="5"/>
  <c r="A472" i="5"/>
  <c r="B472" i="5"/>
  <c r="A473" i="5"/>
  <c r="B473" i="5"/>
  <c r="A474" i="5"/>
  <c r="B474" i="5"/>
  <c r="A475" i="5"/>
  <c r="B475" i="5"/>
  <c r="A476" i="5"/>
  <c r="B476" i="5"/>
  <c r="A477" i="5"/>
  <c r="B477" i="5"/>
  <c r="A478" i="5"/>
  <c r="B478" i="5"/>
  <c r="A479" i="5"/>
  <c r="B479" i="5"/>
  <c r="A480" i="5"/>
  <c r="B480" i="5"/>
  <c r="A481" i="5"/>
  <c r="B481" i="5"/>
  <c r="A482" i="5"/>
  <c r="B482" i="5"/>
  <c r="A483" i="5"/>
  <c r="B483" i="5"/>
  <c r="A484" i="5"/>
  <c r="B484" i="5"/>
  <c r="A485" i="5"/>
  <c r="B485" i="5"/>
  <c r="A486" i="5"/>
  <c r="B486" i="5"/>
  <c r="A487" i="5"/>
  <c r="B487" i="5"/>
  <c r="A488" i="5"/>
  <c r="B488" i="5"/>
  <c r="A489" i="5"/>
  <c r="B489" i="5"/>
  <c r="A490" i="5"/>
  <c r="B490" i="5"/>
  <c r="A491" i="5"/>
  <c r="B491" i="5"/>
  <c r="A492" i="5"/>
  <c r="B492" i="5"/>
  <c r="A493" i="5"/>
  <c r="B493" i="5"/>
  <c r="A494" i="5"/>
  <c r="B494" i="5"/>
  <c r="A495" i="5"/>
  <c r="B495" i="5"/>
  <c r="A496" i="5"/>
  <c r="B496" i="5"/>
  <c r="A497" i="5"/>
  <c r="B497" i="5"/>
  <c r="A498" i="5"/>
  <c r="B498" i="5"/>
  <c r="A499" i="5"/>
  <c r="B499" i="5"/>
  <c r="A500" i="5"/>
  <c r="B500" i="5"/>
  <c r="A501" i="5"/>
  <c r="B501" i="5"/>
  <c r="A502" i="5"/>
  <c r="B502" i="5"/>
  <c r="A503" i="5"/>
  <c r="B503" i="5"/>
  <c r="A504" i="5"/>
  <c r="B504" i="5"/>
  <c r="A505" i="5"/>
  <c r="B505" i="5"/>
  <c r="A506" i="5"/>
  <c r="B506" i="5"/>
  <c r="A507" i="5"/>
  <c r="B507" i="5"/>
  <c r="A508" i="5"/>
  <c r="B508" i="5"/>
  <c r="A509" i="5"/>
  <c r="B509" i="5"/>
  <c r="A510" i="5"/>
  <c r="B510" i="5"/>
  <c r="A511" i="5"/>
  <c r="B511" i="5"/>
  <c r="A512" i="5"/>
  <c r="B512" i="5"/>
  <c r="A513" i="5"/>
  <c r="B513" i="5"/>
  <c r="A514" i="5"/>
  <c r="B514" i="5"/>
  <c r="A515" i="5"/>
  <c r="B515" i="5"/>
  <c r="A516" i="5"/>
  <c r="B516" i="5"/>
  <c r="A517" i="5"/>
  <c r="B517" i="5"/>
  <c r="A518" i="5"/>
  <c r="B518" i="5"/>
  <c r="A519" i="5"/>
  <c r="B519" i="5"/>
  <c r="A520" i="5"/>
  <c r="B520" i="5"/>
  <c r="A521" i="5"/>
  <c r="B521" i="5"/>
  <c r="A522" i="5"/>
  <c r="B522" i="5"/>
  <c r="A523" i="5"/>
  <c r="B523" i="5"/>
  <c r="A524" i="5"/>
  <c r="B524" i="5"/>
  <c r="A525" i="5"/>
  <c r="B525" i="5"/>
  <c r="A526" i="5"/>
  <c r="B526" i="5"/>
  <c r="A527" i="5"/>
  <c r="B527" i="5"/>
  <c r="A528" i="5"/>
  <c r="B528" i="5"/>
  <c r="A529" i="5"/>
  <c r="B529" i="5"/>
  <c r="A530" i="5"/>
  <c r="B530" i="5"/>
  <c r="A531" i="5"/>
  <c r="B531" i="5"/>
  <c r="A532" i="5"/>
  <c r="B532" i="5"/>
  <c r="A533" i="5"/>
  <c r="B533" i="5"/>
  <c r="A534" i="5"/>
  <c r="B534" i="5"/>
  <c r="A535" i="5"/>
  <c r="B535" i="5"/>
  <c r="A536" i="5"/>
  <c r="B536" i="5"/>
  <c r="A537" i="5"/>
  <c r="B537" i="5"/>
  <c r="A538" i="5"/>
  <c r="B538" i="5"/>
  <c r="A539" i="5"/>
  <c r="B539" i="5"/>
  <c r="A540" i="5"/>
  <c r="B540" i="5"/>
  <c r="A541" i="5"/>
  <c r="B541" i="5"/>
  <c r="A542" i="5"/>
  <c r="B542" i="5"/>
  <c r="A543" i="5"/>
  <c r="B543" i="5"/>
  <c r="A544" i="5"/>
  <c r="B544" i="5"/>
  <c r="A545" i="5"/>
  <c r="B545" i="5"/>
  <c r="A546" i="5"/>
  <c r="B546" i="5"/>
  <c r="A547" i="5"/>
  <c r="B547" i="5"/>
  <c r="A548" i="5"/>
  <c r="B548" i="5"/>
  <c r="A549" i="5"/>
  <c r="B549" i="5"/>
  <c r="A550" i="5"/>
  <c r="B550" i="5"/>
  <c r="A551" i="5"/>
  <c r="B551" i="5"/>
  <c r="A552" i="5"/>
  <c r="B552" i="5"/>
  <c r="A553" i="5"/>
  <c r="B553" i="5"/>
  <c r="A554" i="5"/>
  <c r="B554" i="5"/>
  <c r="A555" i="5"/>
  <c r="B555" i="5"/>
  <c r="A556" i="5"/>
  <c r="B556" i="5"/>
  <c r="A557" i="5"/>
  <c r="B557" i="5"/>
  <c r="A558" i="5"/>
  <c r="B558" i="5"/>
  <c r="A559" i="5"/>
  <c r="B559" i="5"/>
  <c r="A560" i="5"/>
  <c r="B560" i="5"/>
  <c r="A561" i="5"/>
  <c r="B561" i="5"/>
  <c r="A562" i="5"/>
  <c r="B562" i="5"/>
  <c r="A563" i="5"/>
  <c r="B563" i="5"/>
  <c r="A564" i="5"/>
  <c r="B564" i="5"/>
  <c r="A565" i="5"/>
  <c r="B565" i="5"/>
  <c r="A566" i="5"/>
  <c r="B566" i="5"/>
  <c r="A567" i="5"/>
  <c r="B567" i="5"/>
  <c r="A568" i="5"/>
  <c r="B568" i="5"/>
  <c r="A569" i="5"/>
  <c r="B569" i="5"/>
  <c r="A570" i="5"/>
  <c r="B570" i="5"/>
  <c r="A571" i="5"/>
  <c r="B571" i="5"/>
  <c r="A572" i="5"/>
  <c r="B572" i="5"/>
  <c r="A573" i="5"/>
  <c r="B573" i="5"/>
  <c r="A574" i="5"/>
  <c r="B574" i="5"/>
  <c r="A575" i="5"/>
  <c r="B575" i="5"/>
  <c r="A576" i="5"/>
  <c r="B576" i="5"/>
  <c r="A577" i="5"/>
  <c r="B577" i="5"/>
  <c r="A578" i="5"/>
  <c r="B578" i="5"/>
  <c r="A579" i="5"/>
  <c r="B579" i="5"/>
  <c r="A580" i="5"/>
  <c r="B580" i="5"/>
  <c r="A581" i="5"/>
  <c r="B581" i="5"/>
  <c r="A582" i="5"/>
  <c r="B582" i="5"/>
  <c r="A583" i="5"/>
  <c r="B583" i="5"/>
  <c r="A584" i="5"/>
  <c r="B584" i="5"/>
  <c r="A585" i="5"/>
  <c r="B585" i="5"/>
  <c r="A586" i="5"/>
  <c r="B586" i="5"/>
  <c r="A587" i="5"/>
  <c r="B587" i="5"/>
  <c r="A588" i="5"/>
  <c r="B588" i="5"/>
  <c r="A589" i="5"/>
  <c r="B589" i="5"/>
  <c r="A590" i="5"/>
  <c r="B590" i="5"/>
  <c r="A591" i="5"/>
  <c r="B591" i="5"/>
  <c r="A592" i="5"/>
  <c r="B592" i="5"/>
  <c r="A593" i="5"/>
  <c r="B593" i="5"/>
  <c r="A594" i="5"/>
  <c r="B594" i="5"/>
  <c r="A595" i="5"/>
  <c r="B595" i="5"/>
  <c r="A596" i="5"/>
  <c r="B596" i="5"/>
  <c r="A597" i="5"/>
  <c r="B597" i="5"/>
  <c r="A598" i="5"/>
  <c r="B598" i="5"/>
  <c r="A599" i="5"/>
  <c r="B599" i="5"/>
  <c r="A600" i="5"/>
  <c r="B600" i="5"/>
  <c r="A601" i="5"/>
  <c r="B601" i="5"/>
  <c r="A602" i="5"/>
  <c r="B602" i="5"/>
  <c r="A603" i="5"/>
  <c r="B603" i="5"/>
  <c r="A604" i="5"/>
  <c r="B604" i="5"/>
  <c r="A605" i="5"/>
  <c r="B605" i="5"/>
  <c r="A606" i="5"/>
  <c r="B606" i="5"/>
  <c r="A607" i="5"/>
  <c r="B607" i="5"/>
  <c r="A608" i="5"/>
  <c r="B608" i="5"/>
  <c r="A609" i="5"/>
  <c r="B609" i="5"/>
  <c r="A610" i="5"/>
  <c r="B610" i="5"/>
  <c r="A611" i="5"/>
  <c r="B611" i="5"/>
  <c r="A612" i="5"/>
  <c r="B612" i="5"/>
  <c r="A613" i="5"/>
  <c r="B613" i="5"/>
  <c r="A614" i="5"/>
  <c r="B614" i="5"/>
  <c r="A615" i="5"/>
  <c r="B615" i="5"/>
  <c r="A616" i="5"/>
  <c r="B616" i="5"/>
  <c r="A617" i="5"/>
  <c r="B617" i="5"/>
  <c r="A618" i="5"/>
  <c r="B618" i="5"/>
  <c r="A619" i="5"/>
  <c r="B619" i="5"/>
  <c r="A620" i="5"/>
  <c r="B620" i="5"/>
  <c r="A621" i="5"/>
  <c r="B621" i="5"/>
  <c r="A622" i="5"/>
  <c r="B622" i="5"/>
  <c r="A623" i="5"/>
  <c r="B623" i="5"/>
  <c r="A624" i="5"/>
  <c r="B624" i="5"/>
  <c r="A625" i="5"/>
  <c r="B625" i="5"/>
  <c r="A626" i="5"/>
  <c r="B626" i="5"/>
  <c r="A627" i="5"/>
  <c r="B627" i="5"/>
  <c r="A628" i="5"/>
  <c r="B628" i="5"/>
  <c r="A629" i="5"/>
  <c r="B629" i="5"/>
  <c r="A630" i="5"/>
  <c r="B630" i="5"/>
  <c r="A631" i="5"/>
  <c r="B631" i="5"/>
  <c r="A632" i="5"/>
  <c r="B632" i="5"/>
  <c r="A633" i="5"/>
  <c r="B633" i="5"/>
  <c r="A634" i="5"/>
  <c r="B634" i="5"/>
  <c r="A635" i="5"/>
  <c r="B635" i="5"/>
  <c r="A636" i="5"/>
  <c r="B636" i="5"/>
  <c r="A637" i="5"/>
  <c r="B637" i="5"/>
  <c r="A638" i="5"/>
  <c r="B638" i="5"/>
  <c r="A639" i="5"/>
  <c r="B639" i="5"/>
  <c r="A640" i="5"/>
  <c r="B640" i="5"/>
  <c r="A641" i="5"/>
  <c r="B641" i="5"/>
  <c r="A642" i="5"/>
  <c r="B642" i="5"/>
  <c r="A643" i="5"/>
  <c r="B643" i="5"/>
  <c r="A644" i="5"/>
  <c r="B644" i="5"/>
  <c r="A645" i="5"/>
  <c r="B645" i="5"/>
  <c r="A646" i="5"/>
  <c r="B646" i="5"/>
  <c r="A647" i="5"/>
  <c r="B647" i="5"/>
  <c r="A648" i="5"/>
  <c r="B648" i="5"/>
  <c r="A649" i="5"/>
  <c r="B649" i="5"/>
  <c r="A650" i="5"/>
  <c r="B650" i="5"/>
  <c r="A651" i="5"/>
  <c r="B651" i="5"/>
  <c r="A652" i="5"/>
  <c r="B652" i="5"/>
  <c r="A653" i="5"/>
  <c r="B653" i="5"/>
  <c r="A654" i="5"/>
  <c r="B654" i="5"/>
  <c r="A655" i="5"/>
  <c r="B655" i="5"/>
  <c r="A656" i="5"/>
  <c r="B656" i="5"/>
  <c r="A657" i="5"/>
  <c r="B657" i="5"/>
  <c r="A658" i="5"/>
  <c r="B658" i="5"/>
  <c r="A659" i="5"/>
  <c r="B659" i="5"/>
  <c r="A660" i="5"/>
  <c r="B660" i="5"/>
  <c r="A661" i="5"/>
  <c r="B661" i="5"/>
  <c r="A662" i="5"/>
  <c r="B662" i="5"/>
  <c r="A663" i="5"/>
  <c r="B663" i="5"/>
  <c r="A664" i="5"/>
  <c r="B664" i="5"/>
  <c r="A665" i="5"/>
  <c r="B665" i="5"/>
  <c r="A666" i="5"/>
  <c r="B666" i="5"/>
  <c r="A667" i="5"/>
  <c r="B667" i="5"/>
  <c r="A668" i="5"/>
  <c r="B668" i="5"/>
  <c r="A669" i="5"/>
  <c r="B669" i="5"/>
  <c r="A670" i="5"/>
  <c r="B670" i="5"/>
  <c r="A671" i="5"/>
  <c r="B671" i="5"/>
  <c r="A672" i="5"/>
  <c r="B672" i="5"/>
  <c r="A673" i="5"/>
  <c r="B673" i="5"/>
  <c r="A674" i="5"/>
  <c r="B674" i="5"/>
  <c r="A675" i="5"/>
  <c r="B675" i="5"/>
  <c r="A676" i="5"/>
  <c r="B676" i="5"/>
  <c r="A677" i="5"/>
  <c r="B677" i="5"/>
  <c r="A678" i="5"/>
  <c r="B678" i="5"/>
  <c r="A679" i="5"/>
  <c r="B679" i="5"/>
  <c r="A680" i="5"/>
  <c r="B680" i="5"/>
  <c r="A681" i="5"/>
  <c r="B681" i="5"/>
  <c r="A682" i="5"/>
  <c r="B682" i="5"/>
  <c r="A683" i="5"/>
  <c r="B683" i="5"/>
  <c r="A684" i="5"/>
  <c r="B684" i="5"/>
  <c r="A685" i="5"/>
  <c r="B685" i="5"/>
  <c r="A686" i="5"/>
  <c r="B686" i="5"/>
  <c r="A687" i="5"/>
  <c r="B687" i="5"/>
  <c r="A688" i="5"/>
  <c r="B688" i="5"/>
  <c r="A689" i="5"/>
  <c r="B689" i="5"/>
  <c r="A690" i="5"/>
  <c r="B690" i="5"/>
  <c r="A691" i="5"/>
  <c r="B691" i="5"/>
  <c r="A692" i="5"/>
  <c r="B692" i="5"/>
  <c r="A693" i="5"/>
  <c r="B693" i="5"/>
  <c r="A694" i="5"/>
  <c r="B694" i="5"/>
  <c r="A695" i="5"/>
  <c r="B695" i="5"/>
  <c r="A696" i="5"/>
  <c r="B696" i="5"/>
  <c r="A697" i="5"/>
  <c r="B697" i="5"/>
  <c r="A698" i="5"/>
  <c r="B698" i="5"/>
  <c r="A699" i="5"/>
  <c r="B699" i="5"/>
  <c r="A700" i="5"/>
  <c r="B700" i="5"/>
  <c r="A701" i="5"/>
  <c r="B701" i="5"/>
  <c r="A702" i="5"/>
  <c r="B702" i="5"/>
  <c r="A703" i="5"/>
  <c r="B703" i="5"/>
  <c r="A704" i="5"/>
  <c r="B704" i="5"/>
  <c r="A705" i="5"/>
  <c r="B705" i="5"/>
  <c r="A706" i="5"/>
  <c r="B706" i="5"/>
  <c r="A707" i="5"/>
  <c r="B707" i="5"/>
  <c r="A708" i="5"/>
  <c r="B708" i="5"/>
  <c r="A709" i="5"/>
  <c r="B709" i="5"/>
  <c r="A710" i="5"/>
  <c r="B710" i="5"/>
  <c r="A711" i="5"/>
  <c r="B711" i="5"/>
  <c r="A712" i="5"/>
  <c r="B712" i="5"/>
  <c r="A713" i="5"/>
  <c r="B713" i="5"/>
  <c r="A714" i="5"/>
  <c r="B714" i="5"/>
  <c r="A715" i="5"/>
  <c r="B715" i="5"/>
  <c r="A716" i="5"/>
  <c r="B716" i="5"/>
  <c r="A717" i="5"/>
  <c r="B717" i="5"/>
  <c r="A718" i="5"/>
  <c r="B718" i="5"/>
  <c r="A719" i="5"/>
  <c r="B719" i="5"/>
  <c r="A720" i="5"/>
  <c r="B720" i="5"/>
  <c r="A721" i="5"/>
  <c r="B721" i="5"/>
  <c r="A722" i="5"/>
  <c r="B722" i="5"/>
  <c r="A723" i="5"/>
  <c r="B723" i="5"/>
  <c r="A724" i="5"/>
  <c r="B724" i="5"/>
  <c r="A725" i="5"/>
  <c r="B725" i="5"/>
  <c r="A726" i="5"/>
  <c r="B726" i="5"/>
  <c r="A727" i="5"/>
  <c r="B727" i="5"/>
  <c r="A728" i="5"/>
  <c r="B728" i="5"/>
  <c r="A729" i="5"/>
  <c r="B729" i="5"/>
  <c r="A730" i="5"/>
  <c r="B730" i="5"/>
  <c r="A731" i="5"/>
  <c r="B731" i="5"/>
  <c r="A732" i="5"/>
  <c r="B732" i="5"/>
  <c r="A733" i="5"/>
  <c r="B733" i="5"/>
  <c r="A734" i="5"/>
  <c r="B734" i="5"/>
  <c r="A735" i="5"/>
  <c r="B735" i="5"/>
  <c r="A736" i="5"/>
  <c r="B736" i="5"/>
  <c r="A737" i="5"/>
  <c r="B737" i="5"/>
  <c r="A738" i="5"/>
  <c r="B738" i="5"/>
  <c r="A739" i="5"/>
  <c r="B739" i="5"/>
  <c r="A740" i="5"/>
  <c r="B740" i="5"/>
  <c r="A741" i="5"/>
  <c r="B741" i="5"/>
  <c r="A742" i="5"/>
  <c r="B742" i="5"/>
  <c r="A743" i="5"/>
  <c r="B743" i="5"/>
  <c r="A744" i="5"/>
  <c r="B744" i="5"/>
  <c r="A745" i="5"/>
  <c r="B745" i="5"/>
  <c r="A746" i="5"/>
  <c r="B746" i="5"/>
  <c r="A747" i="5"/>
  <c r="B747" i="5"/>
  <c r="A748" i="5"/>
  <c r="B748" i="5"/>
  <c r="A749" i="5"/>
  <c r="B749" i="5"/>
  <c r="A750" i="5"/>
  <c r="B750" i="5"/>
  <c r="A751" i="5"/>
  <c r="B751" i="5"/>
  <c r="A752" i="5"/>
  <c r="B752" i="5"/>
  <c r="A753" i="5"/>
  <c r="B753" i="5"/>
  <c r="A754" i="5"/>
  <c r="B754" i="5"/>
  <c r="A755" i="5"/>
  <c r="B755" i="5"/>
  <c r="A756" i="5"/>
  <c r="B756" i="5"/>
  <c r="A757" i="5"/>
  <c r="B757" i="5"/>
  <c r="A758" i="5"/>
  <c r="B758" i="5"/>
  <c r="A759" i="5"/>
  <c r="B759" i="5"/>
  <c r="A760" i="5"/>
  <c r="B760" i="5"/>
  <c r="A761" i="5"/>
  <c r="B761" i="5"/>
  <c r="A762" i="5"/>
  <c r="B762" i="5"/>
  <c r="A763" i="5"/>
  <c r="B763" i="5"/>
  <c r="A764" i="5"/>
  <c r="B764" i="5"/>
  <c r="A765" i="5"/>
  <c r="B765" i="5"/>
  <c r="A766" i="5"/>
  <c r="B766" i="5"/>
  <c r="A767" i="5"/>
  <c r="B767" i="5"/>
  <c r="A768" i="5"/>
  <c r="B768" i="5"/>
  <c r="A769" i="5"/>
  <c r="B769" i="5"/>
  <c r="A770" i="5"/>
  <c r="B770" i="5"/>
  <c r="A771" i="5"/>
  <c r="B771" i="5"/>
  <c r="A772" i="5"/>
  <c r="B772" i="5"/>
  <c r="A773" i="5"/>
  <c r="B773" i="5"/>
  <c r="A774" i="5"/>
  <c r="B774" i="5"/>
  <c r="A775" i="5"/>
  <c r="B775" i="5"/>
  <c r="A776" i="5"/>
  <c r="B776" i="5"/>
  <c r="A777" i="5"/>
  <c r="B777" i="5"/>
  <c r="A778" i="5"/>
  <c r="B778" i="5"/>
  <c r="A779" i="5"/>
  <c r="B779" i="5"/>
  <c r="A780" i="5"/>
  <c r="B780" i="5"/>
  <c r="A781" i="5"/>
  <c r="B781" i="5"/>
  <c r="A782" i="5"/>
  <c r="B782" i="5"/>
  <c r="A783" i="5"/>
  <c r="B783" i="5"/>
  <c r="A784" i="5"/>
  <c r="B784" i="5"/>
  <c r="A785" i="5"/>
  <c r="B785" i="5"/>
  <c r="A786" i="5"/>
  <c r="B786" i="5"/>
  <c r="A787" i="5"/>
  <c r="B787" i="5"/>
  <c r="A788" i="5"/>
  <c r="B788" i="5"/>
  <c r="A789" i="5"/>
  <c r="B789" i="5"/>
  <c r="A790" i="5"/>
  <c r="B790" i="5"/>
  <c r="A791" i="5"/>
  <c r="B791" i="5"/>
  <c r="A792" i="5"/>
  <c r="B792" i="5"/>
  <c r="A793" i="5"/>
  <c r="B793" i="5"/>
  <c r="A794" i="5"/>
  <c r="B794" i="5"/>
  <c r="A795" i="5"/>
  <c r="B795" i="5"/>
  <c r="A796" i="5"/>
  <c r="B796" i="5"/>
  <c r="A797" i="5"/>
  <c r="B797" i="5"/>
  <c r="A798" i="5"/>
  <c r="B798" i="5"/>
  <c r="A799" i="5"/>
  <c r="B799" i="5"/>
  <c r="A800" i="5"/>
  <c r="B800" i="5"/>
  <c r="A801" i="5"/>
  <c r="B801" i="5"/>
  <c r="A802" i="5"/>
  <c r="B802" i="5"/>
  <c r="A803" i="5"/>
  <c r="B803" i="5"/>
  <c r="A804" i="5"/>
  <c r="B804" i="5"/>
  <c r="A805" i="5"/>
  <c r="B805" i="5"/>
  <c r="A806" i="5"/>
  <c r="B806" i="5"/>
  <c r="A807" i="5"/>
  <c r="B807" i="5"/>
  <c r="A808" i="5"/>
  <c r="B808" i="5"/>
  <c r="A809" i="5"/>
  <c r="B809" i="5"/>
  <c r="A810" i="5"/>
  <c r="B810" i="5"/>
  <c r="A811" i="5"/>
  <c r="B811" i="5"/>
  <c r="A812" i="5"/>
  <c r="B812" i="5"/>
  <c r="A813" i="5"/>
  <c r="B813" i="5"/>
  <c r="A814" i="5"/>
  <c r="B814" i="5"/>
  <c r="A815" i="5"/>
  <c r="B815" i="5"/>
  <c r="A816" i="5"/>
  <c r="B816" i="5"/>
  <c r="A817" i="5"/>
  <c r="B817" i="5"/>
  <c r="A818" i="5"/>
  <c r="B818" i="5"/>
  <c r="A819" i="5"/>
  <c r="B819" i="5"/>
  <c r="A820" i="5"/>
  <c r="B820" i="5"/>
  <c r="A821" i="5"/>
  <c r="B821" i="5"/>
  <c r="A822" i="5"/>
  <c r="B822" i="5"/>
  <c r="A823" i="5"/>
  <c r="B823" i="5"/>
  <c r="A824" i="5"/>
  <c r="B824" i="5"/>
  <c r="A825" i="5"/>
  <c r="B825" i="5"/>
  <c r="A826" i="5"/>
  <c r="B826" i="5"/>
  <c r="A827" i="5"/>
  <c r="B827" i="5"/>
  <c r="A828" i="5"/>
  <c r="B828" i="5"/>
  <c r="A829" i="5"/>
  <c r="B829" i="5"/>
  <c r="A830" i="5"/>
  <c r="B830" i="5"/>
  <c r="A831" i="5"/>
  <c r="B831" i="5"/>
  <c r="A832" i="5"/>
  <c r="B832" i="5"/>
  <c r="A833" i="5"/>
  <c r="B833" i="5"/>
  <c r="A834" i="5"/>
  <c r="B834" i="5"/>
  <c r="A835" i="5"/>
  <c r="B835" i="5"/>
  <c r="A836" i="5"/>
  <c r="B836" i="5"/>
  <c r="A837" i="5"/>
  <c r="B837" i="5"/>
  <c r="A838" i="5"/>
  <c r="B838" i="5"/>
  <c r="A839" i="5"/>
  <c r="B839" i="5"/>
  <c r="A840" i="5"/>
  <c r="B840" i="5"/>
  <c r="A841" i="5"/>
  <c r="B841" i="5"/>
  <c r="A842" i="5"/>
  <c r="B842" i="5"/>
  <c r="A843" i="5"/>
  <c r="B843" i="5"/>
  <c r="A844" i="5"/>
  <c r="B844" i="5"/>
  <c r="A845" i="5"/>
  <c r="B845" i="5"/>
  <c r="A846" i="5"/>
  <c r="B846" i="5"/>
  <c r="A847" i="5"/>
  <c r="B847" i="5"/>
  <c r="A848" i="5"/>
  <c r="B848" i="5"/>
  <c r="A849" i="5"/>
  <c r="B849" i="5"/>
  <c r="A850" i="5"/>
  <c r="B850" i="5"/>
  <c r="A851" i="5"/>
  <c r="B851" i="5"/>
  <c r="A852" i="5"/>
  <c r="B852" i="5"/>
  <c r="A853" i="5"/>
  <c r="B853" i="5"/>
  <c r="A854" i="5"/>
  <c r="B854" i="5"/>
  <c r="A855" i="5"/>
  <c r="B855" i="5"/>
  <c r="A856" i="5"/>
  <c r="B856" i="5"/>
  <c r="A857" i="5"/>
  <c r="B857" i="5"/>
  <c r="A858" i="5"/>
  <c r="B858" i="5"/>
  <c r="A859" i="5"/>
  <c r="B859" i="5"/>
  <c r="A860" i="5"/>
  <c r="B860" i="5"/>
  <c r="A861" i="5"/>
  <c r="B861" i="5"/>
  <c r="A862" i="5"/>
  <c r="B862" i="5"/>
  <c r="A863" i="5"/>
  <c r="B863" i="5"/>
  <c r="A864" i="5"/>
  <c r="B864" i="5"/>
  <c r="A865" i="5"/>
  <c r="B865" i="5"/>
  <c r="A866" i="5"/>
  <c r="B866" i="5"/>
  <c r="A867" i="5"/>
  <c r="B867" i="5"/>
  <c r="A868" i="5"/>
  <c r="B868" i="5"/>
  <c r="A869" i="5"/>
  <c r="B869" i="5"/>
  <c r="A870" i="5"/>
  <c r="B870" i="5"/>
  <c r="A871" i="5"/>
  <c r="B871" i="5"/>
  <c r="A872" i="5"/>
  <c r="B872" i="5"/>
  <c r="A873" i="5"/>
  <c r="B873" i="5"/>
  <c r="A874" i="5"/>
  <c r="B874" i="5"/>
  <c r="A875" i="5"/>
  <c r="B875" i="5"/>
  <c r="A876" i="5"/>
  <c r="B876" i="5"/>
  <c r="A877" i="5"/>
  <c r="B877" i="5"/>
  <c r="A878" i="5"/>
  <c r="B878" i="5"/>
  <c r="A879" i="5"/>
  <c r="B879" i="5"/>
  <c r="A880" i="5"/>
  <c r="B880" i="5"/>
  <c r="A881" i="5"/>
  <c r="B881" i="5"/>
  <c r="A882" i="5"/>
  <c r="B882" i="5"/>
  <c r="A883" i="5"/>
  <c r="B883" i="5"/>
  <c r="A884" i="5"/>
  <c r="B884" i="5"/>
  <c r="A885" i="5"/>
  <c r="B885" i="5"/>
  <c r="A886" i="5"/>
  <c r="B886" i="5"/>
  <c r="A887" i="5"/>
  <c r="B887" i="5"/>
  <c r="A888" i="5"/>
  <c r="B888" i="5"/>
  <c r="A889" i="5"/>
  <c r="B889" i="5"/>
  <c r="A890" i="5"/>
  <c r="B890" i="5"/>
  <c r="A891" i="5"/>
  <c r="B891" i="5"/>
  <c r="A892" i="5"/>
  <c r="B892" i="5"/>
  <c r="A893" i="5"/>
  <c r="B893" i="5"/>
  <c r="A894" i="5"/>
  <c r="B894" i="5"/>
  <c r="A895" i="5"/>
  <c r="B895" i="5"/>
  <c r="A896" i="5"/>
  <c r="B896" i="5"/>
  <c r="A897" i="5"/>
  <c r="B897" i="5"/>
  <c r="A898" i="5"/>
  <c r="B898" i="5"/>
  <c r="A899" i="5"/>
  <c r="B899" i="5"/>
  <c r="A900" i="5"/>
  <c r="B900" i="5"/>
  <c r="A901" i="5"/>
  <c r="B901" i="5"/>
  <c r="A902" i="5"/>
  <c r="B902" i="5"/>
  <c r="A903" i="5"/>
  <c r="B903" i="5"/>
  <c r="A904" i="5"/>
  <c r="B904" i="5"/>
  <c r="A905" i="5"/>
  <c r="B905" i="5"/>
  <c r="A906" i="5"/>
  <c r="B906" i="5"/>
  <c r="A907" i="5"/>
  <c r="B907" i="5"/>
  <c r="A908" i="5"/>
  <c r="B908" i="5"/>
  <c r="A909" i="5"/>
  <c r="B909" i="5"/>
  <c r="A910" i="5"/>
  <c r="B910" i="5"/>
  <c r="A911" i="5"/>
  <c r="B911" i="5"/>
  <c r="A912" i="5"/>
  <c r="B912" i="5"/>
  <c r="A913" i="5"/>
  <c r="B913" i="5"/>
  <c r="A914" i="5"/>
  <c r="B914" i="5"/>
  <c r="A915" i="5"/>
  <c r="B915" i="5"/>
  <c r="A916" i="5"/>
  <c r="B916" i="5"/>
  <c r="A917" i="5"/>
  <c r="B917" i="5"/>
  <c r="A918" i="5"/>
  <c r="B918" i="5"/>
  <c r="A919" i="5"/>
  <c r="B919" i="5"/>
  <c r="A920" i="5"/>
  <c r="B920" i="5"/>
  <c r="A921" i="5"/>
  <c r="B921" i="5"/>
  <c r="A922" i="5"/>
  <c r="B922" i="5"/>
  <c r="A923" i="5"/>
  <c r="B923" i="5"/>
  <c r="A924" i="5"/>
  <c r="B924" i="5"/>
  <c r="A925" i="5"/>
  <c r="B925" i="5"/>
  <c r="A926" i="5"/>
  <c r="B926" i="5"/>
  <c r="A927" i="5"/>
  <c r="B927" i="5"/>
  <c r="A928" i="5"/>
  <c r="B928" i="5"/>
  <c r="A929" i="5"/>
  <c r="B929" i="5"/>
  <c r="A930" i="5"/>
  <c r="B930" i="5"/>
  <c r="A931" i="5"/>
  <c r="B931" i="5"/>
  <c r="A932" i="5"/>
  <c r="B932" i="5"/>
  <c r="A933" i="5"/>
  <c r="B933" i="5"/>
  <c r="A934" i="5"/>
  <c r="B934" i="5"/>
  <c r="A935" i="5"/>
  <c r="B935" i="5"/>
  <c r="A936" i="5"/>
  <c r="B936" i="5"/>
  <c r="A937" i="5"/>
  <c r="B937" i="5"/>
  <c r="A938" i="5"/>
  <c r="B938" i="5"/>
  <c r="A939" i="5"/>
  <c r="B939" i="5"/>
  <c r="A940" i="5"/>
  <c r="B940" i="5"/>
  <c r="A941" i="5"/>
  <c r="B941" i="5"/>
  <c r="A942" i="5"/>
  <c r="B942" i="5"/>
  <c r="A943" i="5"/>
  <c r="B943" i="5"/>
  <c r="A944" i="5"/>
  <c r="B944" i="5"/>
  <c r="A945" i="5"/>
  <c r="B945" i="5"/>
  <c r="A946" i="5"/>
  <c r="B946" i="5"/>
  <c r="A947" i="5"/>
  <c r="B947" i="5"/>
  <c r="A948" i="5"/>
  <c r="B948" i="5"/>
  <c r="A949" i="5"/>
  <c r="B949" i="5"/>
  <c r="A950" i="5"/>
  <c r="B950" i="5"/>
  <c r="A951" i="5"/>
  <c r="B951" i="5"/>
  <c r="A952" i="5"/>
  <c r="B952" i="5"/>
  <c r="A953" i="5"/>
  <c r="B953" i="5"/>
  <c r="A954" i="5"/>
  <c r="B954" i="5"/>
  <c r="A955" i="5"/>
  <c r="B955" i="5"/>
  <c r="A956" i="5"/>
  <c r="B956" i="5"/>
  <c r="A957" i="5"/>
  <c r="B957" i="5"/>
  <c r="A958" i="5"/>
  <c r="B958" i="5"/>
  <c r="A959" i="5"/>
  <c r="B959" i="5"/>
  <c r="A960" i="5"/>
  <c r="B960" i="5"/>
  <c r="A961" i="5"/>
  <c r="B961" i="5"/>
  <c r="A962" i="5"/>
  <c r="B962" i="5"/>
  <c r="A963" i="5"/>
  <c r="B963" i="5"/>
  <c r="A964" i="5"/>
  <c r="B964" i="5"/>
  <c r="A965" i="5"/>
  <c r="B965" i="5"/>
  <c r="A966" i="5"/>
  <c r="B966" i="5"/>
  <c r="A967" i="5"/>
  <c r="B967" i="5"/>
  <c r="A968" i="5"/>
  <c r="B968" i="5"/>
  <c r="A969" i="5"/>
  <c r="B969" i="5"/>
  <c r="A970" i="5"/>
  <c r="B970" i="5"/>
  <c r="A971" i="5"/>
  <c r="B971" i="5"/>
  <c r="A972" i="5"/>
  <c r="B972" i="5"/>
  <c r="A973" i="5"/>
  <c r="B973" i="5"/>
  <c r="A974" i="5"/>
  <c r="B974" i="5"/>
  <c r="A975" i="5"/>
  <c r="B975" i="5"/>
  <c r="A976" i="5"/>
  <c r="B976" i="5"/>
  <c r="A977" i="5"/>
  <c r="B977" i="5"/>
  <c r="A978" i="5"/>
  <c r="B978" i="5"/>
  <c r="A979" i="5"/>
  <c r="B979" i="5"/>
  <c r="A980" i="5"/>
  <c r="B980" i="5"/>
  <c r="A981" i="5"/>
  <c r="B981" i="5"/>
  <c r="A982" i="5"/>
  <c r="B982" i="5"/>
  <c r="A983" i="5"/>
  <c r="B983" i="5"/>
  <c r="A984" i="5"/>
  <c r="B984" i="5"/>
  <c r="A985" i="5"/>
  <c r="B985" i="5"/>
  <c r="A986" i="5"/>
  <c r="B986" i="5"/>
  <c r="A987" i="5"/>
  <c r="B987" i="5"/>
  <c r="A988" i="5"/>
  <c r="B988" i="5"/>
  <c r="A989" i="5"/>
  <c r="B989" i="5"/>
  <c r="A990" i="5"/>
  <c r="B990" i="5"/>
  <c r="A991" i="5"/>
  <c r="B991" i="5"/>
  <c r="A992" i="5"/>
  <c r="B992" i="5"/>
  <c r="A993" i="5"/>
  <c r="B993" i="5"/>
  <c r="A994" i="5"/>
  <c r="B994" i="5"/>
  <c r="A995" i="5"/>
  <c r="B995" i="5"/>
  <c r="A996" i="5"/>
  <c r="B996" i="5"/>
  <c r="A997" i="5"/>
  <c r="B997" i="5"/>
  <c r="A998" i="5"/>
  <c r="B998" i="5"/>
  <c r="A999" i="5"/>
  <c r="B999" i="5"/>
  <c r="A1000" i="5"/>
  <c r="B1000" i="5"/>
  <c r="A1001" i="5"/>
  <c r="B1001" i="5"/>
  <c r="A1002" i="5"/>
  <c r="B1002" i="5"/>
  <c r="A1003" i="5"/>
  <c r="B1003" i="5"/>
  <c r="A1004" i="5"/>
  <c r="B1004" i="5"/>
  <c r="A1005" i="5"/>
  <c r="B1005" i="5"/>
  <c r="A1006" i="5"/>
  <c r="B1006" i="5"/>
  <c r="A1007" i="5"/>
  <c r="B1007" i="5"/>
  <c r="A1008" i="5"/>
  <c r="B1008" i="5"/>
  <c r="A1009" i="5"/>
  <c r="B1009" i="5"/>
  <c r="A1010" i="5"/>
  <c r="B1010" i="5"/>
  <c r="A1011" i="5"/>
  <c r="B1011" i="5"/>
  <c r="A1012" i="5"/>
  <c r="B1012" i="5"/>
  <c r="A1013" i="5"/>
  <c r="B1013" i="5"/>
  <c r="A1014" i="5"/>
  <c r="B1014" i="5"/>
  <c r="A1015" i="5"/>
  <c r="B1015" i="5"/>
  <c r="A1016" i="5"/>
  <c r="B1016" i="5"/>
  <c r="A1017" i="5"/>
  <c r="B1017" i="5"/>
  <c r="A1018" i="5"/>
  <c r="B1018" i="5"/>
  <c r="A1019" i="5"/>
  <c r="B1019" i="5"/>
  <c r="A1020" i="5"/>
  <c r="B1020" i="5"/>
  <c r="A1021" i="5"/>
  <c r="B1021" i="5"/>
  <c r="A1022" i="5"/>
  <c r="B1022" i="5"/>
  <c r="A1023" i="5"/>
  <c r="B1023" i="5"/>
  <c r="A1024" i="5"/>
  <c r="B1024" i="5"/>
  <c r="A1025" i="5"/>
  <c r="B1025" i="5"/>
  <c r="A1026" i="5"/>
  <c r="B1026" i="5"/>
  <c r="A1027" i="5"/>
  <c r="B1027" i="5"/>
  <c r="A1028" i="5"/>
  <c r="B1028" i="5"/>
  <c r="A1029" i="5"/>
  <c r="B1029" i="5"/>
  <c r="A1030" i="5"/>
  <c r="B1030" i="5"/>
  <c r="A1031" i="5"/>
  <c r="B1031" i="5"/>
  <c r="A1032" i="5"/>
  <c r="B1032" i="5"/>
  <c r="A1033" i="5"/>
  <c r="B1033" i="5"/>
  <c r="A1034" i="5"/>
  <c r="B1034" i="5"/>
  <c r="A1035" i="5"/>
  <c r="B1035" i="5"/>
  <c r="A1036" i="5"/>
  <c r="B1036" i="5"/>
  <c r="A1037" i="5"/>
  <c r="B1037" i="5"/>
  <c r="A1038" i="5"/>
  <c r="B1038" i="5"/>
  <c r="A1039" i="5"/>
  <c r="B1039" i="5"/>
  <c r="A1040" i="5"/>
  <c r="B1040" i="5"/>
  <c r="A1041" i="5"/>
  <c r="B1041" i="5"/>
  <c r="A1042" i="5"/>
  <c r="B1042" i="5"/>
  <c r="A1043" i="5"/>
  <c r="B1043" i="5"/>
  <c r="A1044" i="5"/>
  <c r="B1044" i="5"/>
  <c r="A1045" i="5"/>
  <c r="B1045" i="5"/>
  <c r="A1046" i="5"/>
  <c r="B1046" i="5"/>
  <c r="A1047" i="5"/>
  <c r="B1047" i="5"/>
  <c r="A1048" i="5"/>
  <c r="B1048" i="5"/>
  <c r="A1049" i="5"/>
  <c r="B1049" i="5"/>
  <c r="A1050" i="5"/>
  <c r="B1050" i="5"/>
  <c r="A1051" i="5"/>
  <c r="B1051" i="5"/>
  <c r="A1052" i="5"/>
  <c r="B1052" i="5"/>
  <c r="A1053" i="5"/>
  <c r="B1053" i="5"/>
  <c r="A1054" i="5"/>
  <c r="B1054" i="5"/>
  <c r="A1055" i="5"/>
  <c r="B1055" i="5"/>
  <c r="A1056" i="5"/>
  <c r="B1056" i="5"/>
  <c r="A1057" i="5"/>
  <c r="B1057" i="5"/>
  <c r="A1058" i="5"/>
  <c r="B1058" i="5"/>
  <c r="A1059" i="5"/>
  <c r="B1059" i="5"/>
  <c r="A1060" i="5"/>
  <c r="B1060" i="5"/>
  <c r="A1061" i="5"/>
  <c r="B1061" i="5"/>
  <c r="A1062" i="5"/>
  <c r="B1062" i="5"/>
  <c r="A1063" i="5"/>
  <c r="B1063" i="5"/>
  <c r="A1064" i="5"/>
  <c r="B1064" i="5"/>
  <c r="A1065" i="5"/>
  <c r="B1065" i="5"/>
  <c r="A1066" i="5"/>
  <c r="B1066" i="5"/>
  <c r="A1067" i="5"/>
  <c r="B1067" i="5"/>
  <c r="A1068" i="5"/>
  <c r="B1068" i="5"/>
  <c r="A1069" i="5"/>
  <c r="B1069" i="5"/>
  <c r="A1070" i="5"/>
  <c r="B1070" i="5"/>
  <c r="A1071" i="5"/>
  <c r="B1071" i="5"/>
  <c r="A1072" i="5"/>
  <c r="B1072" i="5"/>
  <c r="A1073" i="5"/>
  <c r="B1073" i="5"/>
  <c r="A1074" i="5"/>
  <c r="B1074" i="5"/>
  <c r="A1075" i="5"/>
  <c r="B1075" i="5"/>
  <c r="A1076" i="5"/>
  <c r="B1076" i="5"/>
  <c r="A1077" i="5"/>
  <c r="B1077" i="5"/>
  <c r="A1078" i="5"/>
  <c r="B1078" i="5"/>
  <c r="A1079" i="5"/>
  <c r="B1079" i="5"/>
  <c r="A1080" i="5"/>
  <c r="B1080" i="5"/>
  <c r="A1081" i="5"/>
  <c r="B1081" i="5"/>
  <c r="A1082" i="5"/>
  <c r="B1082" i="5"/>
  <c r="A1083" i="5"/>
  <c r="B1083" i="5"/>
  <c r="A1084" i="5"/>
  <c r="B1084" i="5"/>
  <c r="A1085" i="5"/>
  <c r="B1085" i="5"/>
  <c r="A1086" i="5"/>
  <c r="B1086" i="5"/>
  <c r="A1087" i="5"/>
  <c r="B1087" i="5"/>
  <c r="A1088" i="5"/>
  <c r="B1088" i="5"/>
  <c r="A1089" i="5"/>
  <c r="B1089" i="5"/>
  <c r="A1090" i="5"/>
  <c r="B1090" i="5"/>
  <c r="A1091" i="5"/>
  <c r="B1091" i="5"/>
  <c r="A1092" i="5"/>
  <c r="B1092" i="5"/>
  <c r="A1093" i="5"/>
  <c r="B1093" i="5"/>
  <c r="A1094" i="5"/>
  <c r="B1094" i="5"/>
  <c r="A1095" i="5"/>
  <c r="B1095" i="5"/>
  <c r="A1096" i="5"/>
  <c r="B1096" i="5"/>
  <c r="A1097" i="5"/>
  <c r="B1097" i="5"/>
  <c r="A1098" i="5"/>
  <c r="B1098" i="5"/>
  <c r="A1099" i="5"/>
  <c r="B1099" i="5"/>
  <c r="A1100" i="5"/>
  <c r="B1100" i="5"/>
  <c r="A1101" i="5"/>
  <c r="B1101" i="5"/>
  <c r="A1102" i="5"/>
  <c r="B1102" i="5"/>
  <c r="A1103" i="5"/>
  <c r="B1103" i="5"/>
  <c r="A1104" i="5"/>
  <c r="B1104" i="5"/>
  <c r="A1105" i="5"/>
  <c r="B1105" i="5"/>
  <c r="A1106" i="5"/>
  <c r="B1106" i="5"/>
  <c r="A1107" i="5"/>
  <c r="B1107" i="5"/>
  <c r="A1108" i="5"/>
  <c r="B1108" i="5"/>
  <c r="A1109" i="5"/>
  <c r="B1109" i="5"/>
  <c r="A1110" i="5"/>
  <c r="B1110" i="5"/>
  <c r="A1111" i="5"/>
  <c r="B1111" i="5"/>
  <c r="A1112" i="5"/>
  <c r="B1112" i="5"/>
  <c r="A1113" i="5"/>
  <c r="B1113" i="5"/>
  <c r="A1114" i="5"/>
  <c r="B1114" i="5"/>
  <c r="A1115" i="5"/>
  <c r="B1115" i="5"/>
  <c r="A1116" i="5"/>
  <c r="B1116" i="5"/>
  <c r="A1117" i="5"/>
  <c r="B1117" i="5"/>
  <c r="A1118" i="5"/>
  <c r="B1118" i="5"/>
  <c r="A1119" i="5"/>
  <c r="B1119" i="5"/>
  <c r="A1120" i="5"/>
  <c r="B1120" i="5"/>
  <c r="A1121" i="5"/>
  <c r="B1121" i="5"/>
  <c r="A1122" i="5"/>
  <c r="B1122" i="5"/>
  <c r="A1123" i="5"/>
  <c r="B1123" i="5"/>
  <c r="A1124" i="5"/>
  <c r="B1124" i="5"/>
  <c r="A1125" i="5"/>
  <c r="B1125" i="5"/>
  <c r="A1126" i="5"/>
  <c r="B1126" i="5"/>
  <c r="A1127" i="5"/>
  <c r="B1127" i="5"/>
  <c r="A1128" i="5"/>
  <c r="B1128" i="5"/>
  <c r="A1129" i="5"/>
  <c r="B1129" i="5"/>
  <c r="A1130" i="5"/>
  <c r="B1130" i="5"/>
  <c r="A1131" i="5"/>
  <c r="B1131" i="5"/>
  <c r="A1132" i="5"/>
  <c r="B1132" i="5"/>
  <c r="A1133" i="5"/>
  <c r="B1133" i="5"/>
  <c r="A1134" i="5"/>
  <c r="B1134" i="5"/>
  <c r="A1135" i="5"/>
  <c r="B1135" i="5"/>
  <c r="A1136" i="5"/>
  <c r="B1136" i="5"/>
  <c r="A1137" i="5"/>
  <c r="B1137" i="5"/>
  <c r="A1138" i="5"/>
  <c r="B1138" i="5"/>
  <c r="A1139" i="5"/>
  <c r="B1139" i="5"/>
  <c r="A1140" i="5"/>
  <c r="B1140" i="5"/>
  <c r="A1141" i="5"/>
  <c r="B1141" i="5"/>
  <c r="A1142" i="5"/>
  <c r="B1142" i="5"/>
  <c r="A1143" i="5"/>
  <c r="B1143" i="5"/>
  <c r="A1144" i="5"/>
  <c r="B1144" i="5"/>
  <c r="A1145" i="5"/>
  <c r="B1145" i="5"/>
  <c r="A1146" i="5"/>
  <c r="B1146" i="5"/>
  <c r="A1147" i="5"/>
  <c r="B1147" i="5"/>
  <c r="A1148" i="5"/>
  <c r="B1148" i="5"/>
  <c r="A1149" i="5"/>
  <c r="B1149" i="5"/>
  <c r="A1150" i="5"/>
  <c r="B1150" i="5"/>
  <c r="A1151" i="5"/>
  <c r="B1151" i="5"/>
  <c r="A1152" i="5"/>
  <c r="B1152" i="5"/>
  <c r="A1153" i="5"/>
  <c r="B1153" i="5"/>
  <c r="A1154" i="5"/>
  <c r="B1154" i="5"/>
  <c r="A1155" i="5"/>
  <c r="B1155" i="5"/>
  <c r="A1156" i="5"/>
  <c r="B1156" i="5"/>
  <c r="A1157" i="5"/>
  <c r="B1157" i="5"/>
  <c r="A1158" i="5"/>
  <c r="B1158" i="5"/>
  <c r="A1159" i="5"/>
  <c r="B1159" i="5"/>
  <c r="A1160" i="5"/>
  <c r="B1160" i="5"/>
  <c r="A1161" i="5"/>
  <c r="B1161" i="5"/>
  <c r="A1162" i="5"/>
  <c r="B1162" i="5"/>
  <c r="A1163" i="5"/>
  <c r="B1163" i="5"/>
  <c r="A1164" i="5"/>
  <c r="B1164" i="5"/>
  <c r="A1165" i="5"/>
  <c r="B1165" i="5"/>
  <c r="A1166" i="5"/>
  <c r="B1166" i="5"/>
  <c r="A1167" i="5"/>
  <c r="B1167" i="5"/>
  <c r="A1168" i="5"/>
  <c r="B1168" i="5"/>
  <c r="A1169" i="5"/>
  <c r="B1169" i="5"/>
  <c r="A1170" i="5"/>
  <c r="B1170" i="5"/>
  <c r="A1171" i="5"/>
  <c r="B1171" i="5"/>
  <c r="A1172" i="5"/>
  <c r="B1172" i="5"/>
  <c r="A1173" i="5"/>
  <c r="B1173" i="5"/>
  <c r="A1174" i="5"/>
  <c r="B1174" i="5"/>
  <c r="A1175" i="5"/>
  <c r="B1175" i="5"/>
  <c r="A1176" i="5"/>
  <c r="B1176" i="5"/>
  <c r="A1177" i="5"/>
  <c r="B1177" i="5"/>
  <c r="A1178" i="5"/>
  <c r="B1178" i="5"/>
  <c r="A1179" i="5"/>
  <c r="B1179" i="5"/>
  <c r="A1180" i="5"/>
  <c r="B1180" i="5"/>
  <c r="A1181" i="5"/>
  <c r="B1181" i="5"/>
  <c r="A1182" i="5"/>
  <c r="B1182" i="5"/>
  <c r="A1183" i="5"/>
  <c r="B1183" i="5"/>
  <c r="A1184" i="5"/>
  <c r="B1184" i="5"/>
  <c r="A1185" i="5"/>
  <c r="B1185" i="5"/>
  <c r="A1186" i="5"/>
  <c r="B1186" i="5"/>
  <c r="A1187" i="5"/>
  <c r="B1187" i="5"/>
  <c r="A1188" i="5"/>
  <c r="B1188" i="5"/>
  <c r="A1189" i="5"/>
  <c r="B1189" i="5"/>
  <c r="A1190" i="5"/>
  <c r="B1190" i="5"/>
  <c r="A1191" i="5"/>
  <c r="B1191" i="5"/>
  <c r="A1192" i="5"/>
  <c r="B1192" i="5"/>
  <c r="A1193" i="5"/>
  <c r="B1193" i="5"/>
  <c r="A1194" i="5"/>
  <c r="B1194" i="5"/>
  <c r="A1195" i="5"/>
  <c r="B1195" i="5"/>
  <c r="A1196" i="5"/>
  <c r="B1196" i="5"/>
  <c r="A1197" i="5"/>
  <c r="B1197" i="5"/>
  <c r="A1198" i="5"/>
  <c r="B1198" i="5"/>
  <c r="A1199" i="5"/>
  <c r="B1199" i="5"/>
  <c r="A1200" i="5"/>
  <c r="B1200" i="5"/>
  <c r="A1201" i="5"/>
  <c r="B1201" i="5"/>
  <c r="A1202" i="5"/>
  <c r="B1202" i="5"/>
  <c r="A1203" i="5"/>
  <c r="B1203" i="5"/>
  <c r="A1204" i="5"/>
  <c r="B1204" i="5"/>
  <c r="A1205" i="5"/>
  <c r="B1205" i="5"/>
  <c r="A1206" i="5"/>
  <c r="B1206" i="5"/>
  <c r="A1207" i="5"/>
  <c r="B1207" i="5"/>
  <c r="A1208" i="5"/>
  <c r="B1208" i="5"/>
  <c r="A1209" i="5"/>
  <c r="B1209" i="5"/>
  <c r="A1210" i="5"/>
  <c r="B1210" i="5"/>
  <c r="A1211" i="5"/>
  <c r="B1211" i="5"/>
  <c r="A1212" i="5"/>
  <c r="B1212" i="5"/>
  <c r="A1213" i="5"/>
  <c r="B1213" i="5"/>
  <c r="A1214" i="5"/>
  <c r="B1214" i="5"/>
  <c r="A1215" i="5"/>
  <c r="B1215" i="5"/>
  <c r="A1216" i="5"/>
  <c r="B1216" i="5"/>
  <c r="A1217" i="5"/>
  <c r="B1217" i="5"/>
  <c r="A1218" i="5"/>
  <c r="B1218" i="5"/>
  <c r="A1219" i="5"/>
  <c r="B1219" i="5"/>
  <c r="A1220" i="5"/>
  <c r="B1220" i="5"/>
  <c r="A1221" i="5"/>
  <c r="B1221" i="5"/>
  <c r="A1222" i="5"/>
  <c r="B1222" i="5"/>
  <c r="A1223" i="5"/>
  <c r="B1223" i="5"/>
  <c r="A1224" i="5"/>
  <c r="B1224" i="5"/>
  <c r="A1225" i="5"/>
  <c r="B1225" i="5"/>
  <c r="A1226" i="5"/>
  <c r="B1226" i="5"/>
  <c r="A1227" i="5"/>
  <c r="B1227" i="5"/>
  <c r="A1228" i="5"/>
  <c r="B1228" i="5"/>
  <c r="A1229" i="5"/>
  <c r="B1229" i="5"/>
  <c r="A1230" i="5"/>
  <c r="B1230" i="5"/>
  <c r="A1231" i="5"/>
  <c r="B1231" i="5"/>
  <c r="A1232" i="5"/>
  <c r="B1232" i="5"/>
  <c r="A1233" i="5"/>
  <c r="B1233" i="5"/>
  <c r="A1234" i="5"/>
  <c r="B1234" i="5"/>
  <c r="A1235" i="5"/>
  <c r="B1235" i="5"/>
  <c r="A1236" i="5"/>
  <c r="B1236" i="5"/>
  <c r="A1237" i="5"/>
  <c r="B1237" i="5"/>
  <c r="A1238" i="5"/>
  <c r="B1238" i="5"/>
  <c r="A1239" i="5"/>
  <c r="B1239" i="5"/>
  <c r="A1240" i="5"/>
  <c r="B1240" i="5"/>
  <c r="A1241" i="5"/>
  <c r="B1241" i="5"/>
  <c r="A1242" i="5"/>
  <c r="B1242" i="5"/>
  <c r="A1243" i="5"/>
  <c r="B1243" i="5"/>
  <c r="A1244" i="5"/>
  <c r="B1244" i="5"/>
  <c r="A1245" i="5"/>
  <c r="B1245" i="5"/>
  <c r="A1246" i="5"/>
  <c r="B1246" i="5"/>
  <c r="A1247" i="5"/>
  <c r="B1247" i="5"/>
  <c r="A1248" i="5"/>
  <c r="B1248" i="5"/>
  <c r="A1249" i="5"/>
  <c r="B1249" i="5"/>
  <c r="A1250" i="5"/>
  <c r="B1250" i="5"/>
  <c r="A1251" i="5"/>
  <c r="B1251" i="5"/>
  <c r="A1252" i="5"/>
  <c r="B1252" i="5"/>
  <c r="A1253" i="5"/>
  <c r="B1253" i="5"/>
  <c r="A1254" i="5"/>
  <c r="B1254" i="5"/>
  <c r="A1255" i="5"/>
  <c r="B1255" i="5"/>
  <c r="A1256" i="5"/>
  <c r="B1256" i="5"/>
  <c r="A1257" i="5"/>
  <c r="B1257" i="5"/>
  <c r="A1258" i="5"/>
  <c r="B1258" i="5"/>
  <c r="A1259" i="5"/>
  <c r="B1259" i="5"/>
  <c r="A1260" i="5"/>
  <c r="B1260" i="5"/>
  <c r="A1261" i="5"/>
  <c r="B1261" i="5"/>
  <c r="A1262" i="5"/>
  <c r="B1262" i="5"/>
  <c r="A1263" i="5"/>
  <c r="B1263" i="5"/>
  <c r="A1264" i="5"/>
  <c r="B1264" i="5"/>
  <c r="A1265" i="5"/>
  <c r="B1265" i="5"/>
  <c r="A1266" i="5"/>
  <c r="B1266" i="5"/>
  <c r="A1267" i="5"/>
  <c r="B1267" i="5"/>
  <c r="A1268" i="5"/>
  <c r="B1268" i="5"/>
  <c r="A1269" i="5"/>
  <c r="B1269" i="5"/>
  <c r="A1270" i="5"/>
  <c r="B1270" i="5"/>
  <c r="A1271" i="5"/>
  <c r="B1271" i="5"/>
  <c r="A1272" i="5"/>
  <c r="B1272" i="5"/>
  <c r="A1273" i="5"/>
  <c r="B1273" i="5"/>
  <c r="A1274" i="5"/>
  <c r="B1274" i="5"/>
  <c r="A1275" i="5"/>
  <c r="B1275" i="5"/>
  <c r="A1276" i="5"/>
  <c r="B1276" i="5"/>
  <c r="A1277" i="5"/>
  <c r="B1277" i="5"/>
  <c r="A1278" i="5"/>
  <c r="B1278" i="5"/>
  <c r="A1279" i="5"/>
  <c r="B1279" i="5"/>
  <c r="A1280" i="5"/>
  <c r="B1280" i="5"/>
  <c r="A1281" i="5"/>
  <c r="B1281" i="5"/>
  <c r="A1282" i="5"/>
  <c r="B1282" i="5"/>
  <c r="A1283" i="5"/>
  <c r="B1283" i="5"/>
  <c r="A1284" i="5"/>
  <c r="B1284" i="5"/>
  <c r="A1285" i="5"/>
  <c r="B1285" i="5"/>
  <c r="A1286" i="5"/>
  <c r="B1286" i="5"/>
  <c r="A1287" i="5"/>
  <c r="B1287" i="5"/>
  <c r="A1288" i="5"/>
  <c r="B1288" i="5"/>
  <c r="A1289" i="5"/>
  <c r="B1289" i="5"/>
  <c r="A1290" i="5"/>
  <c r="B1290" i="5"/>
  <c r="A1291" i="5"/>
  <c r="B1291" i="5"/>
  <c r="A1292" i="5"/>
  <c r="B1292" i="5"/>
  <c r="A1293" i="5"/>
  <c r="B1293" i="5"/>
  <c r="A1294" i="5"/>
  <c r="B1294" i="5"/>
  <c r="A1295" i="5"/>
  <c r="B1295" i="5"/>
  <c r="A1296" i="5"/>
  <c r="B1296" i="5"/>
  <c r="A1297" i="5"/>
  <c r="B1297" i="5"/>
  <c r="A1298" i="5"/>
  <c r="B1298" i="5"/>
  <c r="A1299" i="5"/>
  <c r="B1299" i="5"/>
  <c r="A1300" i="5"/>
  <c r="B1300" i="5"/>
  <c r="A1301" i="5"/>
  <c r="B1301" i="5"/>
  <c r="A1302" i="5"/>
  <c r="B1302" i="5"/>
  <c r="A1303" i="5"/>
  <c r="B1303" i="5"/>
  <c r="A1304" i="5"/>
  <c r="B1304" i="5"/>
  <c r="A1305" i="5"/>
  <c r="B1305" i="5"/>
  <c r="A1306" i="5"/>
  <c r="B1306" i="5"/>
  <c r="A1307" i="5"/>
  <c r="B1307" i="5"/>
  <c r="A1308" i="5"/>
  <c r="B1308" i="5"/>
  <c r="A1309" i="5"/>
  <c r="B1309" i="5"/>
  <c r="A1310" i="5"/>
  <c r="B1310" i="5"/>
  <c r="A1311" i="5"/>
  <c r="B1311" i="5"/>
  <c r="A1312" i="5"/>
  <c r="B1312" i="5"/>
  <c r="A1313" i="5"/>
  <c r="B1313" i="5"/>
  <c r="A1314" i="5"/>
  <c r="B1314" i="5"/>
  <c r="A1315" i="5"/>
  <c r="B1315" i="5"/>
  <c r="A1316" i="5"/>
  <c r="B1316" i="5"/>
  <c r="A1317" i="5"/>
  <c r="B1317" i="5"/>
  <c r="A1318" i="5"/>
  <c r="B1318" i="5"/>
  <c r="A1319" i="5"/>
  <c r="B1319" i="5"/>
  <c r="A1320" i="5"/>
  <c r="B1320" i="5"/>
  <c r="A1321" i="5"/>
  <c r="B1321" i="5"/>
  <c r="A1322" i="5"/>
  <c r="B1322" i="5"/>
  <c r="A1323" i="5"/>
  <c r="B1323" i="5"/>
  <c r="A1324" i="5"/>
  <c r="B1324" i="5"/>
  <c r="A1325" i="5"/>
  <c r="B1325" i="5"/>
  <c r="A1326" i="5"/>
  <c r="B1326" i="5"/>
  <c r="A1327" i="5"/>
  <c r="B1327" i="5"/>
  <c r="A1328" i="5"/>
  <c r="B1328" i="5"/>
  <c r="A1329" i="5"/>
  <c r="B1329" i="5"/>
  <c r="A1330" i="5"/>
  <c r="B1330" i="5"/>
  <c r="A1331" i="5"/>
  <c r="B1331" i="5"/>
  <c r="A1332" i="5"/>
  <c r="B1332" i="5"/>
  <c r="A1333" i="5"/>
  <c r="B1333" i="5"/>
  <c r="A1334" i="5"/>
  <c r="B1334" i="5"/>
  <c r="A1335" i="5"/>
  <c r="B1335" i="5"/>
  <c r="A1336" i="5"/>
  <c r="B1336" i="5"/>
  <c r="A1337" i="5"/>
  <c r="B1337" i="5"/>
  <c r="A1338" i="5"/>
  <c r="B1338" i="5"/>
  <c r="A1339" i="5"/>
  <c r="B1339" i="5"/>
  <c r="A1340" i="5"/>
  <c r="B1340" i="5"/>
  <c r="A1341" i="5"/>
  <c r="B1341" i="5"/>
  <c r="A1342" i="5"/>
  <c r="B1342" i="5"/>
  <c r="A1343" i="5"/>
  <c r="B1343" i="5"/>
  <c r="A1344" i="5"/>
  <c r="B1344" i="5"/>
  <c r="A1345" i="5"/>
  <c r="B1345" i="5"/>
  <c r="A1346" i="5"/>
  <c r="B1346" i="5"/>
  <c r="A1347" i="5"/>
  <c r="B1347" i="5"/>
  <c r="A1348" i="5"/>
  <c r="B1348" i="5"/>
  <c r="A1349" i="5"/>
  <c r="B1349" i="5"/>
  <c r="A1350" i="5"/>
  <c r="B1350" i="5"/>
  <c r="A1351" i="5"/>
  <c r="B1351" i="5"/>
  <c r="A1352" i="5"/>
  <c r="B1352" i="5"/>
  <c r="A1353" i="5"/>
  <c r="B1353" i="5"/>
  <c r="A1354" i="5"/>
  <c r="B1354" i="5"/>
  <c r="A1355" i="5"/>
  <c r="B1355" i="5"/>
  <c r="A1356" i="5"/>
  <c r="B1356" i="5"/>
  <c r="A1357" i="5"/>
  <c r="B1357" i="5"/>
  <c r="A1358" i="5"/>
  <c r="B1358" i="5"/>
  <c r="A1359" i="5"/>
  <c r="B1359" i="5"/>
  <c r="A1360" i="5"/>
  <c r="B1360" i="5"/>
  <c r="A1361" i="5"/>
  <c r="B1361" i="5"/>
  <c r="A1362" i="5"/>
  <c r="B1362" i="5"/>
  <c r="A1363" i="5"/>
  <c r="B1363" i="5"/>
  <c r="A1364" i="5"/>
  <c r="B1364" i="5"/>
  <c r="A1365" i="5"/>
  <c r="B1365" i="5"/>
  <c r="A1366" i="5"/>
  <c r="B1366" i="5"/>
  <c r="A1367" i="5"/>
  <c r="B1367" i="5"/>
  <c r="A1368" i="5"/>
  <c r="B1368" i="5"/>
  <c r="A1369" i="5"/>
  <c r="B1369" i="5"/>
  <c r="A1370" i="5"/>
  <c r="B1370" i="5"/>
  <c r="A1371" i="5"/>
  <c r="B1371" i="5"/>
  <c r="A1372" i="5"/>
  <c r="B1372" i="5"/>
  <c r="A1373" i="5"/>
  <c r="B1373" i="5"/>
  <c r="A1374" i="5"/>
  <c r="B1374" i="5"/>
  <c r="A1375" i="5"/>
  <c r="B1375" i="5"/>
  <c r="A1376" i="5"/>
  <c r="B1376" i="5"/>
  <c r="A1377" i="5"/>
  <c r="B1377" i="5"/>
  <c r="A1378" i="5"/>
  <c r="B1378" i="5"/>
  <c r="A1379" i="5"/>
  <c r="B1379" i="5"/>
  <c r="A1380" i="5"/>
  <c r="B1380" i="5"/>
  <c r="A1381" i="5"/>
  <c r="B1381" i="5"/>
  <c r="A1382" i="5"/>
  <c r="B1382" i="5"/>
  <c r="A1383" i="5"/>
  <c r="B1383" i="5"/>
  <c r="A1384" i="5"/>
  <c r="B1384" i="5"/>
  <c r="A1385" i="5"/>
  <c r="B1385" i="5"/>
  <c r="A1386" i="5"/>
  <c r="B1386" i="5"/>
  <c r="A1387" i="5"/>
  <c r="B1387" i="5"/>
  <c r="A1388" i="5"/>
  <c r="B1388" i="5"/>
  <c r="A1389" i="5"/>
  <c r="B1389" i="5"/>
  <c r="A1390" i="5"/>
  <c r="B1390" i="5"/>
  <c r="A1391" i="5"/>
  <c r="B1391" i="5"/>
  <c r="A1392" i="5"/>
  <c r="B1392" i="5"/>
  <c r="A1393" i="5"/>
  <c r="B1393" i="5"/>
  <c r="A1394" i="5"/>
  <c r="B1394" i="5"/>
  <c r="A1395" i="5"/>
  <c r="B1395" i="5"/>
  <c r="A1396" i="5"/>
  <c r="B1396" i="5"/>
  <c r="A1397" i="5"/>
  <c r="B1397" i="5"/>
  <c r="A1398" i="5"/>
  <c r="B1398" i="5"/>
  <c r="A1399" i="5"/>
  <c r="B1399" i="5"/>
  <c r="A1400" i="5"/>
  <c r="B1400" i="5"/>
  <c r="A1401" i="5"/>
  <c r="B1401" i="5"/>
  <c r="A1402" i="5"/>
  <c r="B1402" i="5"/>
  <c r="A1403" i="5"/>
  <c r="B1403" i="5"/>
  <c r="A1404" i="5"/>
  <c r="B1404" i="5"/>
  <c r="A1405" i="5"/>
  <c r="B1405" i="5"/>
  <c r="A1406" i="5"/>
  <c r="B1406" i="5"/>
  <c r="A1407" i="5"/>
  <c r="B1407" i="5"/>
  <c r="A1408" i="5"/>
  <c r="B1408" i="5"/>
  <c r="A1409" i="5"/>
  <c r="B1409" i="5"/>
  <c r="A1410" i="5"/>
  <c r="B1410" i="5"/>
  <c r="A1411" i="5"/>
  <c r="B1411" i="5"/>
  <c r="A1412" i="5"/>
  <c r="B1412" i="5"/>
  <c r="A1413" i="5"/>
  <c r="B1413" i="5"/>
  <c r="A1414" i="5"/>
  <c r="B1414" i="5"/>
  <c r="A1415" i="5"/>
  <c r="B1415" i="5"/>
  <c r="A1416" i="5"/>
  <c r="B1416" i="5"/>
  <c r="A1417" i="5"/>
  <c r="B1417" i="5"/>
  <c r="A1418" i="5"/>
  <c r="B1418" i="5"/>
  <c r="A1419" i="5"/>
  <c r="B1419" i="5"/>
  <c r="A1420" i="5"/>
  <c r="B1420" i="5"/>
  <c r="A1421" i="5"/>
  <c r="B1421" i="5"/>
  <c r="A1422" i="5"/>
  <c r="B1422" i="5"/>
  <c r="A1423" i="5"/>
  <c r="B1423" i="5"/>
  <c r="A1424" i="5"/>
  <c r="B1424" i="5"/>
  <c r="A1425" i="5"/>
  <c r="B1425" i="5"/>
  <c r="A1426" i="5"/>
  <c r="B1426" i="5"/>
  <c r="A1427" i="5"/>
  <c r="B1427" i="5"/>
  <c r="A1428" i="5"/>
  <c r="B1428" i="5"/>
  <c r="A1429" i="5"/>
  <c r="B1429" i="5"/>
  <c r="A1430" i="5"/>
  <c r="B1430" i="5"/>
  <c r="A1431" i="5"/>
  <c r="B1431" i="5"/>
  <c r="A1432" i="5"/>
  <c r="B1432" i="5"/>
  <c r="A1433" i="5"/>
  <c r="B1433" i="5"/>
  <c r="A1434" i="5"/>
  <c r="B1434" i="5"/>
  <c r="A1435" i="5"/>
  <c r="B1435" i="5"/>
  <c r="A1436" i="5"/>
  <c r="B1436" i="5"/>
  <c r="A1437" i="5"/>
  <c r="B1437" i="5"/>
  <c r="A1438" i="5"/>
  <c r="B1438" i="5"/>
  <c r="A1439" i="5"/>
  <c r="B1439" i="5"/>
  <c r="A1440" i="5"/>
  <c r="B1440" i="5"/>
  <c r="A1441" i="5"/>
  <c r="B1441" i="5"/>
  <c r="A1442" i="5"/>
  <c r="B1442" i="5"/>
  <c r="A1443" i="5"/>
  <c r="B1443" i="5"/>
  <c r="A1444" i="5"/>
  <c r="B1444" i="5"/>
  <c r="A1445" i="5"/>
  <c r="B1445" i="5"/>
  <c r="A1446" i="5"/>
  <c r="B1446" i="5"/>
  <c r="A1447" i="5"/>
  <c r="B1447" i="5"/>
  <c r="A1448" i="5"/>
  <c r="B1448" i="5"/>
  <c r="A1449" i="5"/>
  <c r="B1449" i="5"/>
  <c r="A1450" i="5"/>
  <c r="B1450" i="5"/>
  <c r="A1451" i="5"/>
  <c r="B1451" i="5"/>
  <c r="A1452" i="5"/>
  <c r="B1452" i="5"/>
  <c r="A1453" i="5"/>
  <c r="B1453" i="5"/>
  <c r="A1454" i="5"/>
  <c r="B1454" i="5"/>
  <c r="A1455" i="5"/>
  <c r="B1455" i="5"/>
  <c r="A1456" i="5"/>
  <c r="B1456" i="5"/>
  <c r="A1457" i="5"/>
  <c r="B1457" i="5"/>
  <c r="A1458" i="5"/>
  <c r="B1458" i="5"/>
  <c r="A1459" i="5"/>
  <c r="B1459" i="5"/>
  <c r="A1460" i="5"/>
  <c r="B1460" i="5"/>
  <c r="A1461" i="5"/>
  <c r="B1461" i="5"/>
  <c r="A1462" i="5"/>
  <c r="B1462" i="5"/>
  <c r="A1463" i="5"/>
  <c r="B1463" i="5"/>
  <c r="A1464" i="5"/>
  <c r="B1464" i="5"/>
  <c r="A1465" i="5"/>
  <c r="B1465" i="5"/>
  <c r="A1466" i="5"/>
  <c r="B1466" i="5"/>
  <c r="A1467" i="5"/>
  <c r="B1467" i="5"/>
  <c r="A1468" i="5"/>
  <c r="B1468" i="5"/>
  <c r="A1469" i="5"/>
  <c r="B1469" i="5"/>
  <c r="A1470" i="5"/>
  <c r="B1470" i="5"/>
  <c r="A1471" i="5"/>
  <c r="B1471" i="5"/>
  <c r="A1472" i="5"/>
  <c r="B1472" i="5"/>
  <c r="A1473" i="5"/>
  <c r="B1473" i="5"/>
  <c r="A1474" i="5"/>
  <c r="B1474" i="5"/>
  <c r="A1475" i="5"/>
  <c r="B1475" i="5"/>
  <c r="A1476" i="5"/>
  <c r="B1476" i="5"/>
  <c r="A1477" i="5"/>
  <c r="B1477" i="5"/>
  <c r="A1478" i="5"/>
  <c r="B1478" i="5"/>
  <c r="A1479" i="5"/>
  <c r="B1479" i="5"/>
  <c r="A1480" i="5"/>
  <c r="B1480" i="5"/>
  <c r="A1481" i="5"/>
  <c r="B1481" i="5"/>
  <c r="A1482" i="5"/>
  <c r="B1482" i="5"/>
  <c r="A1483" i="5"/>
  <c r="B1483" i="5"/>
  <c r="A1484" i="5"/>
  <c r="B1484" i="5"/>
  <c r="A1485" i="5"/>
  <c r="B1485" i="5"/>
  <c r="A1486" i="5"/>
  <c r="B1486" i="5"/>
  <c r="A1487" i="5"/>
  <c r="B1487" i="5"/>
  <c r="A1488" i="5"/>
  <c r="B1488" i="5"/>
  <c r="A1489" i="5"/>
  <c r="B1489" i="5"/>
  <c r="A1490" i="5"/>
  <c r="B1490" i="5"/>
  <c r="A1491" i="5"/>
  <c r="B1491" i="5"/>
  <c r="A1492" i="5"/>
  <c r="B1492" i="5"/>
  <c r="A1493" i="5"/>
  <c r="B1493" i="5"/>
  <c r="A1494" i="5"/>
  <c r="B1494" i="5"/>
  <c r="A1495" i="5"/>
  <c r="B1495" i="5"/>
  <c r="A1496" i="5"/>
  <c r="B1496" i="5"/>
  <c r="A1497" i="5"/>
  <c r="B1497" i="5"/>
  <c r="A1498" i="5"/>
  <c r="B1498" i="5"/>
  <c r="A1499" i="5"/>
  <c r="B1499" i="5"/>
  <c r="A1500" i="5"/>
  <c r="B1500" i="5"/>
  <c r="A1501" i="5"/>
  <c r="B1501" i="5"/>
  <c r="A1502" i="5"/>
  <c r="B1502" i="5"/>
  <c r="A1503" i="5"/>
  <c r="B1503" i="5"/>
  <c r="A1504" i="5"/>
  <c r="B1504" i="5"/>
  <c r="A1505" i="5"/>
  <c r="B1505" i="5"/>
  <c r="A1506" i="5"/>
  <c r="B1506" i="5"/>
  <c r="A1507" i="5"/>
  <c r="B1507" i="5"/>
  <c r="A1508" i="5"/>
  <c r="B1508" i="5"/>
  <c r="A1509" i="5"/>
  <c r="B1509" i="5"/>
  <c r="A1510" i="5"/>
  <c r="B1510" i="5"/>
  <c r="A1511" i="5"/>
  <c r="B1511" i="5"/>
  <c r="A1512" i="5"/>
  <c r="B1512" i="5"/>
  <c r="A1513" i="5"/>
  <c r="B1513" i="5"/>
  <c r="A1514" i="5"/>
  <c r="B1514" i="5"/>
  <c r="A1515" i="5"/>
  <c r="B1515" i="5"/>
  <c r="A1516" i="5"/>
  <c r="B1516" i="5"/>
  <c r="A1517" i="5"/>
  <c r="B1517" i="5"/>
  <c r="A1518" i="5"/>
  <c r="B1518" i="5"/>
  <c r="A1519" i="5"/>
  <c r="B1519" i="5"/>
  <c r="A1520" i="5"/>
  <c r="B1520" i="5"/>
  <c r="A1521" i="5"/>
  <c r="B1521" i="5"/>
  <c r="A1522" i="5"/>
  <c r="B1522" i="5"/>
  <c r="A1523" i="5"/>
  <c r="B1523" i="5"/>
  <c r="A1524" i="5"/>
  <c r="B1524" i="5"/>
  <c r="A1525" i="5"/>
  <c r="B1525" i="5"/>
  <c r="A1526" i="5"/>
  <c r="B1526" i="5"/>
  <c r="A1527" i="5"/>
  <c r="B1527" i="5"/>
  <c r="A1528" i="5"/>
  <c r="B1528" i="5"/>
  <c r="A1529" i="5"/>
  <c r="B1529" i="5"/>
  <c r="A1530" i="5"/>
  <c r="B1530" i="5"/>
  <c r="A1531" i="5"/>
  <c r="B1531" i="5"/>
  <c r="A1532" i="5"/>
  <c r="B1532" i="5"/>
  <c r="A1533" i="5"/>
  <c r="B1533" i="5"/>
  <c r="A1534" i="5"/>
  <c r="B1534" i="5"/>
  <c r="A1535" i="5"/>
  <c r="B1535" i="5"/>
  <c r="A1536" i="5"/>
  <c r="B1536" i="5"/>
  <c r="A1537" i="5"/>
  <c r="B1537" i="5"/>
  <c r="A1538" i="5"/>
  <c r="B1538" i="5"/>
  <c r="A1539" i="5"/>
  <c r="B1539" i="5"/>
  <c r="A1540" i="5"/>
  <c r="B1540" i="5"/>
  <c r="A1541" i="5"/>
  <c r="B1541" i="5"/>
  <c r="A1542" i="5"/>
  <c r="B1542" i="5"/>
  <c r="A1543" i="5"/>
  <c r="B1543" i="5"/>
  <c r="A1544" i="5"/>
  <c r="B1544" i="5"/>
  <c r="A1545" i="5"/>
  <c r="B1545" i="5"/>
  <c r="A1546" i="5"/>
  <c r="B1546" i="5"/>
  <c r="A1547" i="5"/>
  <c r="B1547" i="5"/>
  <c r="A1548" i="5"/>
  <c r="B1548" i="5"/>
  <c r="A1549" i="5"/>
  <c r="B1549" i="5"/>
  <c r="A1550" i="5"/>
  <c r="B1550" i="5"/>
  <c r="A1551" i="5"/>
  <c r="B1551" i="5"/>
  <c r="A1552" i="5"/>
  <c r="B1552" i="5"/>
  <c r="A1553" i="5"/>
  <c r="B1553" i="5"/>
  <c r="A1554" i="5"/>
  <c r="B1554" i="5"/>
  <c r="A1555" i="5"/>
  <c r="B1555" i="5"/>
  <c r="A1556" i="5"/>
  <c r="B1556" i="5"/>
  <c r="A1557" i="5"/>
  <c r="B1557" i="5"/>
  <c r="A1558" i="5"/>
  <c r="B1558" i="5"/>
  <c r="A1559" i="5"/>
  <c r="B1559" i="5"/>
  <c r="A1560" i="5"/>
  <c r="B1560" i="5"/>
  <c r="A1561" i="5"/>
  <c r="B1561" i="5"/>
  <c r="A1562" i="5"/>
  <c r="B1562" i="5"/>
  <c r="A1563" i="5"/>
  <c r="B1563" i="5"/>
  <c r="A1564" i="5"/>
  <c r="B1564" i="5"/>
  <c r="A1565" i="5"/>
  <c r="B1565" i="5"/>
  <c r="A1566" i="5"/>
  <c r="B1566" i="5"/>
  <c r="A1567" i="5"/>
  <c r="B1567" i="5"/>
  <c r="A1568" i="5"/>
  <c r="B1568" i="5"/>
  <c r="A1569" i="5"/>
  <c r="B1569" i="5"/>
  <c r="A1570" i="5"/>
  <c r="B1570" i="5"/>
  <c r="A1571" i="5"/>
  <c r="B1571" i="5"/>
  <c r="A1572" i="5"/>
  <c r="B1572" i="5"/>
  <c r="A1573" i="5"/>
  <c r="B1573" i="5"/>
  <c r="A1574" i="5"/>
  <c r="B1574" i="5"/>
  <c r="A1575" i="5"/>
  <c r="B1575" i="5"/>
  <c r="A1576" i="5"/>
  <c r="B1576" i="5"/>
  <c r="A1577" i="5"/>
  <c r="B1577" i="5"/>
  <c r="A1578" i="5"/>
  <c r="B1578" i="5"/>
  <c r="A1579" i="5"/>
  <c r="B1579" i="5"/>
  <c r="A1580" i="5"/>
  <c r="B1580" i="5"/>
  <c r="A1581" i="5"/>
  <c r="B1581" i="5"/>
  <c r="A1582" i="5"/>
  <c r="B1582" i="5"/>
  <c r="A1583" i="5"/>
  <c r="B1583" i="5"/>
  <c r="A1584" i="5"/>
  <c r="B1584" i="5"/>
  <c r="A1585" i="5"/>
  <c r="B1585" i="5"/>
  <c r="A1586" i="5"/>
  <c r="B1586" i="5"/>
  <c r="A1587" i="5"/>
  <c r="B1587" i="5"/>
  <c r="A1588" i="5"/>
  <c r="B1588" i="5"/>
  <c r="A1589" i="5"/>
  <c r="B1589" i="5"/>
  <c r="A1590" i="5"/>
  <c r="B1590" i="5"/>
  <c r="A1591" i="5"/>
  <c r="B1591" i="5"/>
  <c r="A1592" i="5"/>
  <c r="B1592" i="5"/>
  <c r="A1593" i="5"/>
  <c r="B1593" i="5"/>
  <c r="A1594" i="5"/>
  <c r="B1594" i="5"/>
  <c r="A1595" i="5"/>
  <c r="B1595" i="5"/>
  <c r="A1596" i="5"/>
  <c r="B1596" i="5"/>
  <c r="A1597" i="5"/>
  <c r="B1597" i="5"/>
  <c r="A1598" i="5"/>
  <c r="B1598" i="5"/>
  <c r="A1599" i="5"/>
  <c r="B1599" i="5"/>
  <c r="A1600" i="5"/>
  <c r="B1600" i="5"/>
  <c r="A1601" i="5"/>
  <c r="B1601" i="5"/>
  <c r="A1602" i="5"/>
  <c r="B1602" i="5"/>
  <c r="A1603" i="5"/>
  <c r="B1603" i="5"/>
  <c r="A1604" i="5"/>
  <c r="B1604" i="5"/>
  <c r="A1605" i="5"/>
  <c r="B1605" i="5"/>
  <c r="A1606" i="5"/>
  <c r="B1606" i="5"/>
  <c r="A1607" i="5"/>
  <c r="B1607" i="5"/>
  <c r="A1608" i="5"/>
  <c r="B1608" i="5"/>
  <c r="A1609" i="5"/>
  <c r="B1609" i="5"/>
  <c r="A1610" i="5"/>
  <c r="B1610" i="5"/>
  <c r="A1611" i="5"/>
  <c r="B1611" i="5"/>
  <c r="A1612" i="5"/>
  <c r="B1612" i="5"/>
  <c r="A1613" i="5"/>
  <c r="B1613" i="5"/>
  <c r="A1614" i="5"/>
  <c r="B1614" i="5"/>
  <c r="A1615" i="5"/>
  <c r="B1615" i="5"/>
  <c r="A1616" i="5"/>
  <c r="B1616" i="5"/>
  <c r="A1617" i="5"/>
  <c r="B1617" i="5"/>
  <c r="A1618" i="5"/>
  <c r="B1618" i="5"/>
  <c r="A1619" i="5"/>
  <c r="B1619" i="5"/>
  <c r="A1620" i="5"/>
  <c r="B1620" i="5"/>
  <c r="A1621" i="5"/>
  <c r="B1621" i="5"/>
  <c r="A1622" i="5"/>
  <c r="B1622" i="5"/>
  <c r="A1623" i="5"/>
  <c r="B1623" i="5"/>
  <c r="A1624" i="5"/>
  <c r="B1624" i="5"/>
  <c r="A1625" i="5"/>
  <c r="B1625" i="5"/>
  <c r="A1626" i="5"/>
  <c r="B1626" i="5"/>
  <c r="A1627" i="5"/>
  <c r="B1627" i="5"/>
  <c r="A1628" i="5"/>
  <c r="B1628" i="5"/>
  <c r="A1629" i="5"/>
  <c r="B1629" i="5"/>
  <c r="A1630" i="5"/>
  <c r="B1630" i="5"/>
  <c r="A1631" i="5"/>
  <c r="B1631" i="5"/>
  <c r="A1632" i="5"/>
  <c r="B1632" i="5"/>
  <c r="A1633" i="5"/>
  <c r="B1633" i="5"/>
  <c r="A1634" i="5"/>
  <c r="B1634" i="5"/>
  <c r="A1635" i="5"/>
  <c r="B1635" i="5"/>
  <c r="A1636" i="5"/>
  <c r="B1636" i="5"/>
  <c r="A1637" i="5"/>
  <c r="B1637" i="5"/>
  <c r="A1638" i="5"/>
  <c r="B1638" i="5"/>
  <c r="A1639" i="5"/>
  <c r="B1639" i="5"/>
  <c r="A1640" i="5"/>
  <c r="B1640" i="5"/>
  <c r="A1641" i="5"/>
  <c r="B1641" i="5"/>
  <c r="A1642" i="5"/>
  <c r="B1642" i="5"/>
  <c r="A1643" i="5"/>
  <c r="B1643" i="5"/>
  <c r="A1644" i="5"/>
  <c r="B1644" i="5"/>
  <c r="A1645" i="5"/>
  <c r="B1645" i="5"/>
  <c r="A1646" i="5"/>
  <c r="B1646" i="5"/>
  <c r="A1647" i="5"/>
  <c r="B1647" i="5"/>
  <c r="A1648" i="5"/>
  <c r="B1648" i="5"/>
  <c r="A1649" i="5"/>
  <c r="B1649" i="5"/>
  <c r="A1650" i="5"/>
  <c r="B1650" i="5"/>
  <c r="A1651" i="5"/>
  <c r="B1651" i="5"/>
  <c r="A1652" i="5"/>
  <c r="B1652" i="5"/>
  <c r="A1653" i="5"/>
  <c r="B1653" i="5"/>
  <c r="A1654" i="5"/>
  <c r="B1654" i="5"/>
  <c r="A1655" i="5"/>
  <c r="B1655" i="5"/>
  <c r="A1656" i="5"/>
  <c r="B1656" i="5"/>
  <c r="A1657" i="5"/>
  <c r="B1657" i="5"/>
  <c r="A1658" i="5"/>
  <c r="B1658" i="5"/>
  <c r="A1659" i="5"/>
  <c r="B1659" i="5"/>
  <c r="A1660" i="5"/>
  <c r="B1660" i="5"/>
  <c r="A1661" i="5"/>
  <c r="B1661" i="5"/>
  <c r="A1662" i="5"/>
  <c r="B1662" i="5"/>
  <c r="A1663" i="5"/>
  <c r="B1663" i="5"/>
  <c r="A1664" i="5"/>
  <c r="B1664" i="5"/>
  <c r="A1665" i="5"/>
  <c r="B1665" i="5"/>
  <c r="A1666" i="5"/>
  <c r="B1666" i="5"/>
  <c r="A1667" i="5"/>
  <c r="B1667" i="5"/>
  <c r="A1668" i="5"/>
  <c r="B1668" i="5"/>
  <c r="A1669" i="5"/>
  <c r="B1669" i="5"/>
  <c r="A1670" i="5"/>
  <c r="B1670" i="5"/>
  <c r="A1671" i="5"/>
  <c r="B1671" i="5"/>
  <c r="A1672" i="5"/>
  <c r="B1672" i="5"/>
  <c r="A1673" i="5"/>
  <c r="B1673" i="5"/>
  <c r="A1674" i="5"/>
  <c r="B1674" i="5"/>
  <c r="A1675" i="5"/>
  <c r="B1675" i="5"/>
  <c r="A1676" i="5"/>
  <c r="B1676" i="5"/>
  <c r="A1677" i="5"/>
  <c r="B1677" i="5"/>
  <c r="A1678" i="5"/>
  <c r="B1678" i="5"/>
  <c r="A1679" i="5"/>
  <c r="B1679" i="5"/>
  <c r="A1680" i="5"/>
  <c r="B1680" i="5"/>
  <c r="A1681" i="5"/>
  <c r="B1681" i="5"/>
  <c r="A1682" i="5"/>
  <c r="B1682" i="5"/>
  <c r="A1683" i="5"/>
  <c r="B1683" i="5"/>
  <c r="A1684" i="5"/>
  <c r="B1684" i="5"/>
  <c r="A1685" i="5"/>
  <c r="B1685" i="5"/>
  <c r="A1686" i="5"/>
  <c r="B1686" i="5"/>
  <c r="A1687" i="5"/>
  <c r="B1687" i="5"/>
  <c r="A1688" i="5"/>
  <c r="B1688" i="5"/>
  <c r="A1689" i="5"/>
  <c r="B1689" i="5"/>
  <c r="A1690" i="5"/>
  <c r="B1690" i="5"/>
  <c r="A1691" i="5"/>
  <c r="B1691" i="5"/>
  <c r="A1692" i="5"/>
  <c r="B1692" i="5"/>
  <c r="A1693" i="5"/>
  <c r="B1693" i="5"/>
  <c r="A1694" i="5"/>
  <c r="B1694" i="5"/>
  <c r="A1695" i="5"/>
  <c r="B1695" i="5"/>
  <c r="A1696" i="5"/>
  <c r="B1696" i="5"/>
  <c r="A1697" i="5"/>
  <c r="B1697" i="5"/>
  <c r="A1698" i="5"/>
  <c r="B1698" i="5"/>
  <c r="A1699" i="5"/>
  <c r="B1699" i="5"/>
  <c r="A1700" i="5"/>
  <c r="B1700" i="5"/>
  <c r="A1701" i="5"/>
  <c r="B1701" i="5"/>
  <c r="A1702" i="5"/>
  <c r="B1702" i="5"/>
  <c r="A1703" i="5"/>
  <c r="B1703" i="5"/>
  <c r="A1704" i="5"/>
  <c r="B1704" i="5"/>
  <c r="A1705" i="5"/>
  <c r="B1705" i="5"/>
  <c r="A1706" i="5"/>
  <c r="B1706" i="5"/>
  <c r="A1707" i="5"/>
  <c r="B1707" i="5"/>
  <c r="A1708" i="5"/>
  <c r="B1708" i="5"/>
  <c r="A1709" i="5"/>
  <c r="B1709" i="5"/>
  <c r="A1710" i="5"/>
  <c r="B1710" i="5"/>
  <c r="A1711" i="5"/>
  <c r="B1711" i="5"/>
  <c r="A1712" i="5"/>
  <c r="B1712" i="5"/>
  <c r="A1713" i="5"/>
  <c r="B1713" i="5"/>
  <c r="A1714" i="5"/>
  <c r="B1714" i="5"/>
  <c r="A1715" i="5"/>
  <c r="B1715" i="5"/>
  <c r="A1716" i="5"/>
  <c r="B1716" i="5"/>
  <c r="A1717" i="5"/>
  <c r="B1717" i="5"/>
  <c r="A1718" i="5"/>
  <c r="B1718" i="5"/>
  <c r="A1719" i="5"/>
  <c r="B1719" i="5"/>
  <c r="A1720" i="5"/>
  <c r="B1720" i="5"/>
  <c r="A1721" i="5"/>
  <c r="B1721" i="5"/>
  <c r="A1722" i="5"/>
  <c r="B1722" i="5"/>
  <c r="A1723" i="5"/>
  <c r="B1723" i="5"/>
  <c r="A1724" i="5"/>
  <c r="B1724" i="5"/>
  <c r="A1725" i="5"/>
  <c r="B1725" i="5"/>
  <c r="A1726" i="5"/>
  <c r="B1726" i="5"/>
  <c r="A1727" i="5"/>
  <c r="B1727" i="5"/>
  <c r="A1728" i="5"/>
  <c r="B1728" i="5"/>
  <c r="A1729" i="5"/>
  <c r="B1729" i="5"/>
  <c r="A1730" i="5"/>
  <c r="B1730" i="5"/>
  <c r="A1731" i="5"/>
  <c r="B1731" i="5"/>
  <c r="A1732" i="5"/>
  <c r="B1732" i="5"/>
  <c r="A1733" i="5"/>
  <c r="B1733" i="5"/>
  <c r="A1734" i="5"/>
  <c r="B1734" i="5"/>
  <c r="A1735" i="5"/>
  <c r="B1735" i="5"/>
  <c r="A1736" i="5"/>
  <c r="B1736" i="5"/>
  <c r="A1737" i="5"/>
  <c r="B1737" i="5"/>
  <c r="A1738" i="5"/>
  <c r="B1738" i="5"/>
  <c r="A1739" i="5"/>
  <c r="B1739" i="5"/>
  <c r="A1740" i="5"/>
  <c r="B1740" i="5"/>
  <c r="A1741" i="5"/>
  <c r="B1741" i="5"/>
  <c r="A1742" i="5"/>
  <c r="B1742" i="5"/>
  <c r="A1743" i="5"/>
  <c r="B1743" i="5"/>
  <c r="A1744" i="5"/>
  <c r="B1744" i="5"/>
  <c r="A1745" i="5"/>
  <c r="B1745" i="5"/>
  <c r="A1746" i="5"/>
  <c r="B1746" i="5"/>
  <c r="A1747" i="5"/>
  <c r="B1747" i="5"/>
  <c r="A1748" i="5"/>
  <c r="B1748" i="5"/>
  <c r="A1749" i="5"/>
  <c r="B1749" i="5"/>
  <c r="A1750" i="5"/>
  <c r="B1750" i="5"/>
  <c r="A1751" i="5"/>
  <c r="B1751" i="5"/>
  <c r="A1752" i="5"/>
  <c r="B1752" i="5"/>
  <c r="A1753" i="5"/>
  <c r="B1753" i="5"/>
  <c r="A1754" i="5"/>
  <c r="B1754" i="5"/>
  <c r="A1755" i="5"/>
  <c r="B1755" i="5"/>
  <c r="A1756" i="5"/>
  <c r="B1756" i="5"/>
  <c r="A1757" i="5"/>
  <c r="B1757" i="5"/>
  <c r="A1758" i="5"/>
  <c r="B1758" i="5"/>
  <c r="A1759" i="5"/>
  <c r="B1759" i="5"/>
  <c r="A1760" i="5"/>
  <c r="B1760" i="5"/>
  <c r="A1761" i="5"/>
  <c r="B1761" i="5"/>
  <c r="A1762" i="5"/>
  <c r="B1762" i="5"/>
  <c r="A1763" i="5"/>
  <c r="B1763" i="5"/>
  <c r="A1764" i="5"/>
  <c r="B1764" i="5"/>
  <c r="A1765" i="5"/>
  <c r="B1765" i="5"/>
  <c r="A1766" i="5"/>
  <c r="B1766" i="5"/>
  <c r="A1767" i="5"/>
  <c r="B1767" i="5"/>
  <c r="A1768" i="5"/>
  <c r="B1768" i="5"/>
  <c r="A1769" i="5"/>
  <c r="B1769" i="5"/>
  <c r="A1770" i="5"/>
  <c r="B1770" i="5"/>
  <c r="A1771" i="5"/>
  <c r="B1771" i="5"/>
  <c r="A1772" i="5"/>
  <c r="B1772" i="5"/>
  <c r="A1773" i="5"/>
  <c r="B1773" i="5"/>
  <c r="A1774" i="5"/>
  <c r="B1774" i="5"/>
  <c r="A1775" i="5"/>
  <c r="B1775" i="5"/>
  <c r="A1776" i="5"/>
  <c r="B1776" i="5"/>
  <c r="A1777" i="5"/>
  <c r="B1777" i="5"/>
  <c r="A1778" i="5"/>
  <c r="B1778" i="5"/>
  <c r="A1779" i="5"/>
  <c r="B1779" i="5"/>
  <c r="A1780" i="5"/>
  <c r="B1780" i="5"/>
  <c r="A1781" i="5"/>
  <c r="B1781" i="5"/>
  <c r="A1782" i="5"/>
  <c r="B1782" i="5"/>
  <c r="A1783" i="5"/>
  <c r="B1783" i="5"/>
  <c r="A1784" i="5"/>
  <c r="B1784" i="5"/>
  <c r="A1785" i="5"/>
  <c r="B1785" i="5"/>
  <c r="A1786" i="5"/>
  <c r="B1786" i="5"/>
  <c r="A1787" i="5"/>
  <c r="B1787" i="5"/>
  <c r="A1788" i="5"/>
  <c r="B1788" i="5"/>
  <c r="A1789" i="5"/>
  <c r="B1789" i="5"/>
  <c r="A1790" i="5"/>
  <c r="B1790" i="5"/>
  <c r="A1791" i="5"/>
  <c r="B1791" i="5"/>
  <c r="A1792" i="5"/>
  <c r="B1792" i="5"/>
  <c r="A1793" i="5"/>
  <c r="B1793" i="5"/>
  <c r="A1794" i="5"/>
  <c r="B1794" i="5"/>
  <c r="A1795" i="5"/>
  <c r="B1795" i="5"/>
  <c r="A1796" i="5"/>
  <c r="B1796" i="5"/>
  <c r="A1797" i="5"/>
  <c r="B1797" i="5"/>
  <c r="A1798" i="5"/>
  <c r="B1798" i="5"/>
  <c r="A1799" i="5"/>
  <c r="B1799" i="5"/>
  <c r="A1800" i="5"/>
  <c r="B1800" i="5"/>
  <c r="A1801" i="5"/>
  <c r="B1801" i="5"/>
  <c r="A1802" i="5"/>
  <c r="B1802" i="5"/>
  <c r="A1803" i="5"/>
  <c r="B1803" i="5"/>
  <c r="A1804" i="5"/>
  <c r="B1804" i="5"/>
  <c r="A1805" i="5"/>
  <c r="B1805" i="5"/>
  <c r="A1806" i="5"/>
  <c r="B1806" i="5"/>
  <c r="A1807" i="5"/>
  <c r="B1807" i="5"/>
  <c r="A1808" i="5"/>
  <c r="B1808" i="5"/>
  <c r="A1809" i="5"/>
  <c r="B1809" i="5"/>
  <c r="A1810" i="5"/>
  <c r="B1810" i="5"/>
  <c r="A1811" i="5"/>
  <c r="B1811" i="5"/>
  <c r="A1812" i="5"/>
  <c r="B1812" i="5"/>
  <c r="A1813" i="5"/>
  <c r="B1813" i="5"/>
  <c r="A1814" i="5"/>
  <c r="B1814" i="5"/>
  <c r="A1815" i="5"/>
  <c r="B1815" i="5"/>
  <c r="A1816" i="5"/>
  <c r="B1816" i="5"/>
  <c r="A1817" i="5"/>
  <c r="B1817" i="5"/>
  <c r="A1818" i="5"/>
  <c r="B1818" i="5"/>
  <c r="A1819" i="5"/>
  <c r="B1819" i="5"/>
  <c r="A1820" i="5"/>
  <c r="B1820" i="5"/>
  <c r="A1821" i="5"/>
  <c r="B1821" i="5"/>
  <c r="A1822" i="5"/>
  <c r="B1822" i="5"/>
  <c r="A1823" i="5"/>
  <c r="B1823" i="5"/>
  <c r="A1824" i="5"/>
  <c r="B1824" i="5"/>
  <c r="A1825" i="5"/>
  <c r="B1825" i="5"/>
  <c r="A1826" i="5"/>
  <c r="B1826" i="5"/>
  <c r="A1827" i="5"/>
  <c r="B1827" i="5"/>
  <c r="A1828" i="5"/>
  <c r="B1828" i="5"/>
  <c r="A1829" i="5"/>
  <c r="B1829" i="5"/>
  <c r="A1830" i="5"/>
  <c r="B1830" i="5"/>
  <c r="A1831" i="5"/>
  <c r="B1831" i="5"/>
  <c r="A1832" i="5"/>
  <c r="B1832" i="5"/>
  <c r="A1833" i="5"/>
  <c r="B1833" i="5"/>
  <c r="A1834" i="5"/>
  <c r="B1834" i="5"/>
  <c r="A1835" i="5"/>
  <c r="B1835" i="5"/>
  <c r="A1836" i="5"/>
  <c r="B1836" i="5"/>
  <c r="A1837" i="5"/>
  <c r="B1837" i="5"/>
  <c r="A1838" i="5"/>
  <c r="B1838" i="5"/>
  <c r="A1839" i="5"/>
  <c r="B1839" i="5"/>
  <c r="A1840" i="5"/>
  <c r="B1840" i="5"/>
  <c r="A1841" i="5"/>
  <c r="B1841" i="5"/>
  <c r="A1842" i="5"/>
  <c r="B1842" i="5"/>
  <c r="A1843" i="5"/>
  <c r="B1843" i="5"/>
  <c r="A1844" i="5"/>
  <c r="B1844" i="5"/>
  <c r="A1845" i="5"/>
  <c r="B1845" i="5"/>
  <c r="A1846" i="5"/>
  <c r="B1846" i="5"/>
  <c r="A1847" i="5"/>
  <c r="B1847" i="5"/>
  <c r="A1848" i="5"/>
  <c r="B1848" i="5"/>
  <c r="A1849" i="5"/>
  <c r="B1849" i="5"/>
  <c r="A1850" i="5"/>
  <c r="B1850" i="5"/>
  <c r="A1851" i="5"/>
  <c r="B1851" i="5"/>
  <c r="A1852" i="5"/>
  <c r="B1852" i="5"/>
  <c r="A1853" i="5"/>
  <c r="B1853" i="5"/>
  <c r="A1854" i="5"/>
  <c r="B1854" i="5"/>
  <c r="A1855" i="5"/>
  <c r="B1855" i="5"/>
  <c r="A1856" i="5"/>
  <c r="B1856" i="5"/>
  <c r="A1857" i="5"/>
  <c r="B1857" i="5"/>
  <c r="A1858" i="5"/>
  <c r="B1858" i="5"/>
  <c r="A1859" i="5"/>
  <c r="B1859" i="5"/>
  <c r="A1860" i="5"/>
  <c r="B1860" i="5"/>
  <c r="A1861" i="5"/>
  <c r="B1861" i="5"/>
  <c r="A1862" i="5"/>
  <c r="B1862" i="5"/>
  <c r="A1863" i="5"/>
  <c r="B1863" i="5"/>
  <c r="A1864" i="5"/>
  <c r="B1864" i="5"/>
  <c r="A1865" i="5"/>
  <c r="B1865" i="5"/>
  <c r="A1866" i="5"/>
  <c r="B1866" i="5"/>
  <c r="A1867" i="5"/>
  <c r="B1867" i="5"/>
  <c r="A1868" i="5"/>
  <c r="B1868" i="5"/>
  <c r="A1869" i="5"/>
  <c r="B1869" i="5"/>
  <c r="A1870" i="5"/>
  <c r="B1870" i="5"/>
  <c r="A1871" i="5"/>
  <c r="B1871" i="5"/>
  <c r="A1872" i="5"/>
  <c r="B1872" i="5"/>
  <c r="A1873" i="5"/>
  <c r="B1873" i="5"/>
  <c r="A1874" i="5"/>
  <c r="B1874" i="5"/>
  <c r="A1875" i="5"/>
  <c r="B1875" i="5"/>
  <c r="A1876" i="5"/>
  <c r="B1876" i="5"/>
  <c r="A1877" i="5"/>
  <c r="B1877" i="5"/>
  <c r="A1878" i="5"/>
  <c r="B1878" i="5"/>
  <c r="A1879" i="5"/>
  <c r="B1879" i="5"/>
  <c r="A1880" i="5"/>
  <c r="B1880" i="5"/>
  <c r="A1881" i="5"/>
  <c r="B1881" i="5"/>
  <c r="A1882" i="5"/>
  <c r="B1882" i="5"/>
  <c r="A1883" i="5"/>
  <c r="B1883" i="5"/>
  <c r="A1884" i="5"/>
  <c r="B1884" i="5"/>
  <c r="A1885" i="5"/>
  <c r="B1885" i="5"/>
  <c r="A1886" i="5"/>
  <c r="B1886" i="5"/>
  <c r="A1887" i="5"/>
  <c r="B1887" i="5"/>
  <c r="A1888" i="5"/>
  <c r="B1888" i="5"/>
  <c r="A1889" i="5"/>
  <c r="B1889" i="5"/>
  <c r="A1890" i="5"/>
  <c r="B1890" i="5"/>
  <c r="A1891" i="5"/>
  <c r="B1891" i="5"/>
  <c r="A1892" i="5"/>
  <c r="B1892" i="5"/>
  <c r="A1893" i="5"/>
  <c r="B1893" i="5"/>
  <c r="A1894" i="5"/>
  <c r="B1894" i="5"/>
  <c r="A1895" i="5"/>
  <c r="B1895" i="5"/>
  <c r="A1896" i="5"/>
  <c r="B1896" i="5"/>
  <c r="A1897" i="5"/>
  <c r="B1897" i="5"/>
  <c r="A1898" i="5"/>
  <c r="B1898" i="5"/>
  <c r="A1899" i="5"/>
  <c r="B1899" i="5"/>
  <c r="A1900" i="5"/>
  <c r="B1900" i="5"/>
  <c r="A1901" i="5"/>
  <c r="B1901" i="5"/>
  <c r="A1902" i="5"/>
  <c r="B1902" i="5"/>
  <c r="A1903" i="5"/>
  <c r="B1903" i="5"/>
  <c r="A1904" i="5"/>
  <c r="B1904" i="5"/>
  <c r="A1905" i="5"/>
  <c r="B1905" i="5"/>
  <c r="A1906" i="5"/>
  <c r="B1906" i="5"/>
  <c r="A1907" i="5"/>
  <c r="B1907" i="5"/>
  <c r="A1908" i="5"/>
  <c r="B1908" i="5"/>
  <c r="A1909" i="5"/>
  <c r="B1909" i="5"/>
  <c r="A1910" i="5"/>
  <c r="B1910" i="5"/>
  <c r="A1911" i="5"/>
  <c r="B1911" i="5"/>
  <c r="A1912" i="5"/>
  <c r="B1912" i="5"/>
  <c r="A1913" i="5"/>
  <c r="B1913" i="5"/>
  <c r="A1914" i="5"/>
  <c r="B1914" i="5"/>
  <c r="A1915" i="5"/>
  <c r="B1915" i="5"/>
  <c r="A1916" i="5"/>
  <c r="B1916" i="5"/>
  <c r="A1917" i="5"/>
  <c r="B1917" i="5"/>
  <c r="A1918" i="5"/>
  <c r="B1918" i="5"/>
  <c r="A1919" i="5"/>
  <c r="B1919" i="5"/>
  <c r="A1920" i="5"/>
  <c r="B1920" i="5"/>
  <c r="A1921" i="5"/>
  <c r="B1921" i="5"/>
  <c r="A1922" i="5"/>
  <c r="B1922" i="5"/>
  <c r="A1923" i="5"/>
  <c r="B1923" i="5"/>
  <c r="A1924" i="5"/>
  <c r="B1924" i="5"/>
  <c r="A1925" i="5"/>
  <c r="B1925" i="5"/>
  <c r="A1926" i="5"/>
  <c r="B1926" i="5"/>
  <c r="A1927" i="5"/>
  <c r="B1927" i="5"/>
  <c r="A1928" i="5"/>
  <c r="B1928" i="5"/>
  <c r="A1929" i="5"/>
  <c r="B1929" i="5"/>
  <c r="A1930" i="5"/>
  <c r="B1930" i="5"/>
  <c r="A1931" i="5"/>
  <c r="B1931" i="5"/>
  <c r="A1932" i="5"/>
  <c r="B1932" i="5"/>
  <c r="A1933" i="5"/>
  <c r="B1933" i="5"/>
  <c r="A1934" i="5"/>
  <c r="B1934" i="5"/>
  <c r="A1935" i="5"/>
  <c r="B1935" i="5"/>
  <c r="A1936" i="5"/>
  <c r="B1936" i="5"/>
  <c r="A1937" i="5"/>
  <c r="B1937" i="5"/>
  <c r="A1938" i="5"/>
  <c r="B1938" i="5"/>
  <c r="A1939" i="5"/>
  <c r="B1939" i="5"/>
  <c r="A1940" i="5"/>
  <c r="B1940" i="5"/>
  <c r="A1941" i="5"/>
  <c r="B1941" i="5"/>
  <c r="A1942" i="5"/>
  <c r="B1942" i="5"/>
  <c r="A1943" i="5"/>
  <c r="B1943" i="5"/>
  <c r="A1944" i="5"/>
  <c r="B1944" i="5"/>
  <c r="A1945" i="5"/>
  <c r="B1945" i="5"/>
  <c r="A1946" i="5"/>
  <c r="B1946" i="5"/>
  <c r="A1947" i="5"/>
  <c r="B1947" i="5"/>
  <c r="A1948" i="5"/>
  <c r="B1948" i="5"/>
  <c r="A1949" i="5"/>
  <c r="B1949" i="5"/>
  <c r="A1950" i="5"/>
  <c r="B1950" i="5"/>
  <c r="A1951" i="5"/>
  <c r="B1951" i="5"/>
  <c r="A1952" i="5"/>
  <c r="B1952" i="5"/>
  <c r="A1953" i="5"/>
  <c r="B1953" i="5"/>
  <c r="A1954" i="5"/>
  <c r="B1954" i="5"/>
  <c r="A1955" i="5"/>
  <c r="B1955" i="5"/>
  <c r="A1956" i="5"/>
  <c r="B1956" i="5"/>
  <c r="A1957" i="5"/>
  <c r="B1957" i="5"/>
  <c r="A1958" i="5"/>
  <c r="B1958" i="5"/>
  <c r="A1959" i="5"/>
  <c r="B1959" i="5"/>
  <c r="A1960" i="5"/>
  <c r="B1960" i="5"/>
  <c r="A1961" i="5"/>
  <c r="B1961" i="5"/>
  <c r="A1962" i="5"/>
  <c r="B1962" i="5"/>
  <c r="A1963" i="5"/>
  <c r="B1963" i="5"/>
  <c r="A1964" i="5"/>
  <c r="B1964" i="5"/>
  <c r="A1965" i="5"/>
  <c r="B1965" i="5"/>
  <c r="A1966" i="5"/>
  <c r="B1966" i="5"/>
  <c r="A1967" i="5"/>
  <c r="B1967" i="5"/>
  <c r="A1968" i="5"/>
  <c r="B1968" i="5"/>
  <c r="A1969" i="5"/>
  <c r="B1969" i="5"/>
  <c r="A1970" i="5"/>
  <c r="B1970" i="5"/>
  <c r="A1971" i="5"/>
  <c r="B1971" i="5"/>
  <c r="A1972" i="5"/>
  <c r="B1972" i="5"/>
  <c r="A1973" i="5"/>
  <c r="B1973" i="5"/>
  <c r="A1974" i="5"/>
  <c r="B1974" i="5"/>
  <c r="A1975" i="5"/>
  <c r="B1975" i="5"/>
  <c r="A1976" i="5"/>
  <c r="B1976" i="5"/>
  <c r="A1977" i="5"/>
  <c r="B1977" i="5"/>
  <c r="A1978" i="5"/>
  <c r="B1978" i="5"/>
  <c r="A1979" i="5"/>
  <c r="B1979" i="5"/>
  <c r="A1980" i="5"/>
  <c r="B1980" i="5"/>
  <c r="A1981" i="5"/>
  <c r="B1981" i="5"/>
  <c r="A1982" i="5"/>
  <c r="B1982" i="5"/>
  <c r="A1983" i="5"/>
  <c r="B1983" i="5"/>
  <c r="A1984" i="5"/>
  <c r="B1984" i="5"/>
  <c r="A1985" i="5"/>
  <c r="B1985" i="5"/>
  <c r="A1986" i="5"/>
  <c r="B1986" i="5"/>
  <c r="A1987" i="5"/>
  <c r="B1987" i="5"/>
  <c r="A1988" i="5"/>
  <c r="B1988" i="5"/>
  <c r="A1989" i="5"/>
  <c r="B1989" i="5"/>
  <c r="A1990" i="5"/>
  <c r="B1990" i="5"/>
  <c r="A1991" i="5"/>
  <c r="B1991" i="5"/>
  <c r="A1992" i="5"/>
  <c r="B1992" i="5"/>
  <c r="A1993" i="5"/>
  <c r="B1993" i="5"/>
  <c r="A1994" i="5"/>
  <c r="B1994" i="5"/>
  <c r="A1995" i="5"/>
  <c r="B1995" i="5"/>
  <c r="A1996" i="5"/>
  <c r="B1996" i="5"/>
  <c r="A1997" i="5"/>
  <c r="B1997" i="5"/>
  <c r="A1998" i="5"/>
  <c r="B1998" i="5"/>
  <c r="A1999" i="5"/>
  <c r="B1999" i="5"/>
  <c r="A2000" i="5"/>
  <c r="B2000" i="5"/>
  <c r="A2001" i="5"/>
  <c r="B2001" i="5"/>
  <c r="A2002" i="5"/>
  <c r="B2002" i="5"/>
  <c r="A2003" i="5"/>
  <c r="B2003" i="5"/>
  <c r="A2004" i="5"/>
  <c r="B2004" i="5"/>
  <c r="A2005" i="5"/>
  <c r="B2005" i="5"/>
  <c r="A2006" i="5"/>
  <c r="B2006" i="5"/>
  <c r="A2007" i="5"/>
  <c r="B2007" i="5"/>
  <c r="A2008" i="5"/>
  <c r="B2008" i="5"/>
  <c r="A2009" i="5"/>
  <c r="B2009" i="5"/>
  <c r="A2010" i="5"/>
  <c r="B2010" i="5"/>
  <c r="A2011" i="5"/>
  <c r="B2011" i="5"/>
  <c r="A2012" i="5"/>
  <c r="B2012" i="5"/>
  <c r="A2013" i="5"/>
  <c r="B2013" i="5"/>
  <c r="A2014" i="5"/>
  <c r="B2014" i="5"/>
  <c r="A2015" i="5"/>
  <c r="B2015" i="5"/>
  <c r="A2016" i="5"/>
  <c r="B2016" i="5"/>
  <c r="A2017" i="5"/>
  <c r="B2017" i="5"/>
  <c r="A2018" i="5"/>
  <c r="B2018" i="5"/>
  <c r="A2019" i="5"/>
  <c r="B2019" i="5"/>
  <c r="A2020" i="5"/>
  <c r="B2020" i="5"/>
  <c r="A2021" i="5"/>
  <c r="B2021" i="5"/>
  <c r="A2022" i="5"/>
  <c r="B2022" i="5"/>
  <c r="A2023" i="5"/>
  <c r="B2023" i="5"/>
  <c r="A2024" i="5"/>
  <c r="B2024" i="5"/>
  <c r="A2025" i="5"/>
  <c r="B2025" i="5"/>
  <c r="A2026" i="5"/>
  <c r="B2026" i="5"/>
  <c r="A2027" i="5"/>
  <c r="B2027" i="5"/>
  <c r="A2028" i="5"/>
  <c r="B2028" i="5"/>
  <c r="A2029" i="5"/>
  <c r="B2029" i="5"/>
  <c r="A2030" i="5"/>
  <c r="B2030" i="5"/>
  <c r="A2031" i="5"/>
  <c r="B2031" i="5"/>
  <c r="A2032" i="5"/>
  <c r="B2032" i="5"/>
  <c r="A2033" i="5"/>
  <c r="B2033" i="5"/>
  <c r="A2034" i="5"/>
  <c r="B2034" i="5"/>
  <c r="A2035" i="5"/>
  <c r="B2035" i="5"/>
  <c r="A2036" i="5"/>
  <c r="B2036" i="5"/>
  <c r="A2037" i="5"/>
  <c r="B2037" i="5"/>
  <c r="A2038" i="5"/>
  <c r="B2038" i="5"/>
  <c r="A2039" i="5"/>
  <c r="B2039" i="5"/>
  <c r="A2040" i="5"/>
  <c r="B2040" i="5"/>
  <c r="A2041" i="5"/>
  <c r="B2041" i="5"/>
  <c r="A2042" i="5"/>
  <c r="B2042" i="5"/>
  <c r="A2043" i="5"/>
  <c r="B2043" i="5"/>
  <c r="A2044" i="5"/>
  <c r="B2044" i="5"/>
  <c r="A2045" i="5"/>
  <c r="B2045" i="5"/>
  <c r="A2046" i="5"/>
  <c r="B2046" i="5"/>
  <c r="A2047" i="5"/>
  <c r="B2047" i="5"/>
  <c r="A2048" i="5"/>
  <c r="B2048" i="5"/>
  <c r="A2049" i="5"/>
  <c r="B2049" i="5"/>
  <c r="A2050" i="5"/>
  <c r="B2050" i="5"/>
  <c r="A2051" i="5"/>
  <c r="B2051" i="5"/>
  <c r="A2052" i="5"/>
  <c r="B2052" i="5"/>
  <c r="A2053" i="5"/>
  <c r="B2053" i="5"/>
  <c r="A2054" i="5"/>
  <c r="B2054" i="5"/>
  <c r="A2055" i="5"/>
  <c r="B2055" i="5"/>
  <c r="A2056" i="5"/>
  <c r="B2056" i="5"/>
  <c r="A2057" i="5"/>
  <c r="B2057" i="5"/>
  <c r="A2058" i="5"/>
  <c r="B2058" i="5"/>
  <c r="A2059" i="5"/>
  <c r="B2059" i="5"/>
  <c r="A2060" i="5"/>
  <c r="B2060" i="5"/>
  <c r="A2061" i="5"/>
  <c r="B2061" i="5"/>
  <c r="A2062" i="5"/>
  <c r="B2062" i="5"/>
  <c r="A2063" i="5"/>
  <c r="B2063" i="5"/>
  <c r="A2064" i="5"/>
  <c r="B2064" i="5"/>
  <c r="A2065" i="5"/>
  <c r="B2065" i="5"/>
  <c r="A2066" i="5"/>
  <c r="B2066" i="5"/>
  <c r="A2067" i="5"/>
  <c r="B2067" i="5"/>
  <c r="A2068" i="5"/>
  <c r="B2068" i="5"/>
  <c r="A2069" i="5"/>
  <c r="B2069" i="5"/>
  <c r="A2070" i="5"/>
  <c r="B2070" i="5"/>
  <c r="A2071" i="5"/>
  <c r="B2071" i="5"/>
  <c r="A2072" i="5"/>
  <c r="B2072" i="5"/>
  <c r="A2073" i="5"/>
  <c r="B2073" i="5"/>
  <c r="A2074" i="5"/>
  <c r="B2074" i="5"/>
  <c r="A2075" i="5"/>
  <c r="B2075" i="5"/>
  <c r="A2076" i="5"/>
  <c r="B2076" i="5"/>
  <c r="A2077" i="5"/>
  <c r="B2077" i="5"/>
  <c r="A2078" i="5"/>
  <c r="B2078" i="5"/>
  <c r="A2079" i="5"/>
  <c r="B2079" i="5"/>
  <c r="A2080" i="5"/>
  <c r="B2080" i="5"/>
  <c r="A2081" i="5"/>
  <c r="B2081" i="5"/>
  <c r="A2082" i="5"/>
  <c r="B2082" i="5"/>
  <c r="A2083" i="5"/>
  <c r="B2083" i="5"/>
  <c r="A2084" i="5"/>
  <c r="B2084" i="5"/>
  <c r="A2085" i="5"/>
  <c r="B2085" i="5"/>
  <c r="A2086" i="5"/>
  <c r="B2086" i="5"/>
  <c r="A2087" i="5"/>
  <c r="B2087" i="5"/>
  <c r="A2088" i="5"/>
  <c r="B2088" i="5"/>
  <c r="A2089" i="5"/>
  <c r="B2089" i="5"/>
  <c r="A2090" i="5"/>
  <c r="B2090" i="5"/>
  <c r="A2091" i="5"/>
  <c r="B2091" i="5"/>
  <c r="A2092" i="5"/>
  <c r="B2092" i="5"/>
  <c r="A2093" i="5"/>
  <c r="B2093" i="5"/>
  <c r="A2094" i="5"/>
  <c r="B2094" i="5"/>
  <c r="A2095" i="5"/>
  <c r="B2095" i="5"/>
  <c r="A2096" i="5"/>
  <c r="B2096" i="5"/>
  <c r="A2097" i="5"/>
  <c r="B2097" i="5"/>
  <c r="A2098" i="5"/>
  <c r="B2098" i="5"/>
  <c r="A2099" i="5"/>
  <c r="B2099" i="5"/>
  <c r="A2100" i="5"/>
  <c r="B2100" i="5"/>
  <c r="A2101" i="5"/>
  <c r="B2101" i="5"/>
  <c r="A2102" i="5"/>
  <c r="B2102" i="5"/>
  <c r="A2103" i="5"/>
  <c r="B2103" i="5"/>
  <c r="A2104" i="5"/>
  <c r="B2104" i="5"/>
  <c r="A2105" i="5"/>
  <c r="B2105" i="5"/>
  <c r="A2106" i="5"/>
  <c r="B2106" i="5"/>
  <c r="A2107" i="5"/>
  <c r="B2107" i="5"/>
  <c r="A2108" i="5"/>
  <c r="B2108" i="5"/>
  <c r="A2109" i="5"/>
  <c r="B2109" i="5"/>
  <c r="A2110" i="5"/>
  <c r="B2110" i="5"/>
  <c r="A2111" i="5"/>
  <c r="B2111" i="5"/>
  <c r="A2112" i="5"/>
  <c r="B2112" i="5"/>
  <c r="A2113" i="5"/>
  <c r="B2113" i="5"/>
  <c r="A2114" i="5"/>
  <c r="B2114" i="5"/>
  <c r="A2115" i="5"/>
  <c r="B2115" i="5"/>
  <c r="A2116" i="5"/>
  <c r="B2116" i="5"/>
  <c r="A2117" i="5"/>
  <c r="B2117" i="5"/>
  <c r="A2118" i="5"/>
  <c r="B2118" i="5"/>
  <c r="A2119" i="5"/>
  <c r="B2119" i="5"/>
  <c r="A2120" i="5"/>
  <c r="B2120" i="5"/>
  <c r="A2121" i="5"/>
  <c r="B2121" i="5"/>
  <c r="A2122" i="5"/>
  <c r="B2122" i="5"/>
  <c r="A2123" i="5"/>
  <c r="B2123" i="5"/>
  <c r="A2124" i="5"/>
  <c r="B2124" i="5"/>
  <c r="A2125" i="5"/>
  <c r="B2125" i="5"/>
  <c r="A2126" i="5"/>
  <c r="B2126" i="5"/>
  <c r="A2127" i="5"/>
  <c r="B2127" i="5"/>
  <c r="A2128" i="5"/>
  <c r="B2128" i="5"/>
  <c r="A2129" i="5"/>
  <c r="B2129" i="5"/>
  <c r="A2130" i="5"/>
  <c r="B2130" i="5"/>
  <c r="A2131" i="5"/>
  <c r="B2131" i="5"/>
  <c r="A2132" i="5"/>
  <c r="B2132" i="5"/>
  <c r="A2133" i="5"/>
  <c r="B2133" i="5"/>
  <c r="A2134" i="5"/>
  <c r="B2134" i="5"/>
  <c r="A2135" i="5"/>
  <c r="B2135" i="5"/>
  <c r="A2136" i="5"/>
  <c r="B2136" i="5"/>
  <c r="A2137" i="5"/>
  <c r="B2137" i="5"/>
  <c r="A2138" i="5"/>
  <c r="B2138" i="5"/>
  <c r="A2139" i="5"/>
  <c r="B2139" i="5"/>
  <c r="A2140" i="5"/>
  <c r="B2140" i="5"/>
  <c r="A2141" i="5"/>
  <c r="B2141" i="5"/>
  <c r="A2142" i="5"/>
  <c r="B2142" i="5"/>
  <c r="A2143" i="5"/>
  <c r="B2143" i="5"/>
  <c r="A2144" i="5"/>
  <c r="B2144" i="5"/>
  <c r="A2145" i="5"/>
  <c r="B2145" i="5"/>
  <c r="A2146" i="5"/>
  <c r="B2146" i="5"/>
  <c r="A2147" i="5"/>
  <c r="B2147" i="5"/>
  <c r="A2148" i="5"/>
  <c r="B2148" i="5"/>
  <c r="A2149" i="5"/>
  <c r="B2149" i="5"/>
  <c r="A2150" i="5"/>
  <c r="B2150" i="5"/>
  <c r="A2151" i="5"/>
  <c r="B2151" i="5"/>
  <c r="A2152" i="5"/>
  <c r="B2152" i="5"/>
  <c r="A2153" i="5"/>
  <c r="B2153" i="5"/>
  <c r="A2154" i="5"/>
  <c r="B2154" i="5"/>
  <c r="A2155" i="5"/>
  <c r="B2155" i="5"/>
  <c r="A2156" i="5"/>
  <c r="B2156" i="5"/>
  <c r="A2157" i="5"/>
  <c r="B2157" i="5"/>
  <c r="A2158" i="5"/>
  <c r="B2158" i="5"/>
  <c r="A2159" i="5"/>
  <c r="B2159" i="5"/>
  <c r="A2160" i="5"/>
  <c r="B2160" i="5"/>
  <c r="A2161" i="5"/>
  <c r="B2161" i="5"/>
  <c r="A2162" i="5"/>
  <c r="B2162" i="5"/>
  <c r="A2163" i="5"/>
  <c r="B2163" i="5"/>
  <c r="A2164" i="5"/>
  <c r="B2164" i="5"/>
  <c r="A2165" i="5"/>
  <c r="B2165" i="5"/>
  <c r="A2166" i="5"/>
  <c r="B2166" i="5"/>
  <c r="A2167" i="5"/>
  <c r="B2167" i="5"/>
  <c r="A2168" i="5"/>
  <c r="B2168" i="5"/>
  <c r="A2169" i="5"/>
  <c r="B2169" i="5"/>
  <c r="A2170" i="5"/>
  <c r="B2170" i="5"/>
  <c r="A2171" i="5"/>
  <c r="B2171" i="5"/>
  <c r="A2172" i="5"/>
  <c r="B2172" i="5"/>
  <c r="A2173" i="5"/>
  <c r="B2173" i="5"/>
  <c r="A2174" i="5"/>
  <c r="B2174" i="5"/>
  <c r="A2175" i="5"/>
  <c r="B2175" i="5"/>
  <c r="A2176" i="5"/>
  <c r="B2176" i="5"/>
  <c r="A2177" i="5"/>
  <c r="B2177" i="5"/>
  <c r="A2178" i="5"/>
  <c r="B2178" i="5"/>
  <c r="A2179" i="5"/>
  <c r="B2179" i="5"/>
  <c r="A2180" i="5"/>
  <c r="B2180" i="5"/>
  <c r="A2181" i="5"/>
  <c r="B2181" i="5"/>
  <c r="A2182" i="5"/>
  <c r="B2182" i="5"/>
  <c r="A2183" i="5"/>
  <c r="B2183" i="5"/>
  <c r="A2184" i="5"/>
  <c r="B2184" i="5"/>
  <c r="A2185" i="5"/>
  <c r="B2185" i="5"/>
  <c r="A2186" i="5"/>
  <c r="B2186" i="5"/>
  <c r="A2187" i="5"/>
  <c r="B2187" i="5"/>
  <c r="A2188" i="5"/>
  <c r="B2188" i="5"/>
  <c r="A2189" i="5"/>
  <c r="B2189" i="5"/>
  <c r="A2190" i="5"/>
  <c r="B2190" i="5"/>
  <c r="A2191" i="5"/>
  <c r="B2191" i="5"/>
  <c r="A2192" i="5"/>
  <c r="B2192" i="5"/>
  <c r="A2193" i="5"/>
  <c r="B2193" i="5"/>
  <c r="A2194" i="5"/>
  <c r="B2194" i="5"/>
  <c r="A2195" i="5"/>
  <c r="B2195" i="5"/>
  <c r="A2196" i="5"/>
  <c r="B2196" i="5"/>
  <c r="A2197" i="5"/>
  <c r="B2197" i="5"/>
  <c r="A2198" i="5"/>
  <c r="B2198" i="5"/>
  <c r="A2199" i="5"/>
  <c r="B2199" i="5"/>
  <c r="A2200" i="5"/>
  <c r="B2200" i="5"/>
  <c r="A2201" i="5"/>
  <c r="B2201" i="5"/>
  <c r="A2202" i="5"/>
  <c r="B2202" i="5"/>
  <c r="A2203" i="5"/>
  <c r="B2203" i="5"/>
  <c r="A2204" i="5"/>
  <c r="B2204" i="5"/>
  <c r="A2205" i="5"/>
  <c r="B2205" i="5"/>
  <c r="A2206" i="5"/>
  <c r="B2206" i="5"/>
  <c r="A2207" i="5"/>
  <c r="B2207" i="5"/>
  <c r="A2208" i="5"/>
  <c r="B2208" i="5"/>
  <c r="A2209" i="5"/>
  <c r="B2209" i="5"/>
  <c r="A2210" i="5"/>
  <c r="B2210" i="5"/>
  <c r="A2211" i="5"/>
  <c r="B2211" i="5"/>
  <c r="A2212" i="5"/>
  <c r="B2212" i="5"/>
  <c r="A2213" i="5"/>
  <c r="B2213" i="5"/>
  <c r="A2214" i="5"/>
  <c r="B2214" i="5"/>
  <c r="A2215" i="5"/>
  <c r="B2215" i="5"/>
  <c r="A2216" i="5"/>
  <c r="B2216" i="5"/>
  <c r="A2217" i="5"/>
  <c r="B2217" i="5"/>
  <c r="A2218" i="5"/>
  <c r="B2218" i="5"/>
  <c r="A2219" i="5"/>
  <c r="B2219" i="5"/>
  <c r="A2220" i="5"/>
  <c r="B2220" i="5"/>
  <c r="A2221" i="5"/>
  <c r="B2221" i="5"/>
  <c r="A2222" i="5"/>
  <c r="B2222" i="5"/>
  <c r="A2223" i="5"/>
  <c r="B2223" i="5"/>
  <c r="A2224" i="5"/>
  <c r="B2224" i="5"/>
  <c r="A2225" i="5"/>
  <c r="B2225" i="5"/>
  <c r="A2226" i="5"/>
  <c r="B2226" i="5"/>
  <c r="A2227" i="5"/>
  <c r="B2227" i="5"/>
  <c r="A2228" i="5"/>
  <c r="B2228" i="5"/>
  <c r="A2229" i="5"/>
  <c r="B2229" i="5"/>
  <c r="A2230" i="5"/>
  <c r="B2230" i="5"/>
  <c r="A2231" i="5"/>
  <c r="B2231" i="5"/>
  <c r="A2232" i="5"/>
  <c r="B2232" i="5"/>
  <c r="A2233" i="5"/>
  <c r="B2233" i="5"/>
  <c r="A2234" i="5"/>
  <c r="B2234" i="5"/>
  <c r="A2235" i="5"/>
  <c r="B2235" i="5"/>
  <c r="A2236" i="5"/>
  <c r="B2236" i="5"/>
  <c r="A2237" i="5"/>
  <c r="B2237" i="5"/>
  <c r="A2238" i="5"/>
  <c r="B2238" i="5"/>
  <c r="A2239" i="5"/>
  <c r="B2239" i="5"/>
  <c r="A2240" i="5"/>
  <c r="B2240" i="5"/>
  <c r="A2241" i="5"/>
  <c r="B2241" i="5"/>
  <c r="A2242" i="5"/>
  <c r="B2242" i="5"/>
  <c r="A2243" i="5"/>
  <c r="B2243" i="5"/>
  <c r="A2244" i="5"/>
  <c r="B2244" i="5"/>
  <c r="A2245" i="5"/>
  <c r="B2245" i="5"/>
  <c r="A2246" i="5"/>
  <c r="B2246" i="5"/>
  <c r="A2247" i="5"/>
  <c r="B2247" i="5"/>
  <c r="A2248" i="5"/>
  <c r="B2248" i="5"/>
  <c r="A2249" i="5"/>
  <c r="B2249" i="5"/>
  <c r="A2250" i="5"/>
  <c r="B2250" i="5"/>
  <c r="A2251" i="5"/>
  <c r="B2251" i="5"/>
  <c r="A2252" i="5"/>
  <c r="B2252" i="5"/>
  <c r="A2253" i="5"/>
  <c r="B2253" i="5"/>
  <c r="A2254" i="5"/>
  <c r="B2254" i="5"/>
  <c r="A2255" i="5"/>
  <c r="B2255" i="5"/>
  <c r="A2256" i="5"/>
  <c r="B2256" i="5"/>
  <c r="A2257" i="5"/>
  <c r="B2257" i="5"/>
  <c r="A2258" i="5"/>
  <c r="B2258" i="5"/>
  <c r="A2259" i="5"/>
  <c r="B2259" i="5"/>
  <c r="A2260" i="5"/>
  <c r="B2260" i="5"/>
  <c r="A2261" i="5"/>
  <c r="B2261" i="5"/>
  <c r="A2262" i="5"/>
  <c r="B2262" i="5"/>
  <c r="A2263" i="5"/>
  <c r="B2263" i="5"/>
  <c r="A2264" i="5"/>
  <c r="B2264" i="5"/>
  <c r="A2265" i="5"/>
  <c r="B2265" i="5"/>
  <c r="A2266" i="5"/>
  <c r="B2266" i="5"/>
  <c r="A2267" i="5"/>
  <c r="B2267" i="5"/>
  <c r="A2268" i="5"/>
  <c r="B2268" i="5"/>
  <c r="A2269" i="5"/>
  <c r="B2269" i="5"/>
  <c r="A2270" i="5"/>
  <c r="B2270" i="5"/>
  <c r="A2271" i="5"/>
  <c r="B2271" i="5"/>
  <c r="A2272" i="5"/>
  <c r="B2272" i="5"/>
  <c r="A2273" i="5"/>
  <c r="B2273" i="5"/>
  <c r="A2274" i="5"/>
  <c r="B2274" i="5"/>
  <c r="A2275" i="5"/>
  <c r="B2275" i="5"/>
  <c r="A2276" i="5"/>
  <c r="B2276" i="5"/>
  <c r="A2277" i="5"/>
  <c r="B2277" i="5"/>
  <c r="A2278" i="5"/>
  <c r="B2278" i="5"/>
  <c r="A2279" i="5"/>
  <c r="B2279" i="5"/>
  <c r="A2280" i="5"/>
  <c r="B2280" i="5"/>
  <c r="A2281" i="5"/>
  <c r="B2281" i="5"/>
  <c r="A2282" i="5"/>
  <c r="B2282" i="5"/>
  <c r="A2283" i="5"/>
  <c r="B2283" i="5"/>
  <c r="A2284" i="5"/>
  <c r="B2284" i="5"/>
  <c r="A2285" i="5"/>
  <c r="B2285" i="5"/>
  <c r="A2286" i="5"/>
  <c r="B2286" i="5"/>
  <c r="A2287" i="5"/>
  <c r="B2287" i="5"/>
  <c r="A2288" i="5"/>
  <c r="B2288" i="5"/>
  <c r="A2289" i="5"/>
  <c r="B2289" i="5"/>
  <c r="A2290" i="5"/>
  <c r="B2290" i="5"/>
  <c r="A2291" i="5"/>
  <c r="B2291" i="5"/>
  <c r="A2292" i="5"/>
  <c r="B2292" i="5"/>
  <c r="A2293" i="5"/>
  <c r="B2293" i="5"/>
  <c r="A2294" i="5"/>
  <c r="B2294" i="5"/>
  <c r="A2295" i="5"/>
  <c r="B2295" i="5"/>
  <c r="A2296" i="5"/>
  <c r="B2296" i="5"/>
  <c r="A2297" i="5"/>
  <c r="B2297" i="5"/>
  <c r="A2298" i="5"/>
  <c r="B2298" i="5"/>
  <c r="A2299" i="5"/>
  <c r="B2299" i="5"/>
  <c r="A2300" i="5"/>
  <c r="B2300" i="5"/>
  <c r="A2301" i="5"/>
  <c r="B2301" i="5"/>
  <c r="A2302" i="5"/>
  <c r="B2302" i="5"/>
  <c r="A2303" i="5"/>
  <c r="B2303" i="5"/>
  <c r="A2304" i="5"/>
  <c r="B2304" i="5"/>
  <c r="A2305" i="5"/>
  <c r="B2305" i="5"/>
  <c r="A2306" i="5"/>
  <c r="B2306" i="5"/>
  <c r="A2307" i="5"/>
  <c r="B2307" i="5"/>
  <c r="A2308" i="5"/>
  <c r="B2308" i="5"/>
  <c r="A2309" i="5"/>
  <c r="B2309" i="5"/>
  <c r="A2310" i="5"/>
  <c r="B2310" i="5"/>
  <c r="A2311" i="5"/>
  <c r="B2311" i="5"/>
  <c r="A2312" i="5"/>
  <c r="B2312" i="5"/>
  <c r="A2313" i="5"/>
  <c r="B2313" i="5"/>
  <c r="A2314" i="5"/>
  <c r="B2314" i="5"/>
  <c r="A2315" i="5"/>
  <c r="B2315" i="5"/>
  <c r="A2316" i="5"/>
  <c r="B2316" i="5"/>
  <c r="A2317" i="5"/>
  <c r="B2317" i="5"/>
  <c r="A2318" i="5"/>
  <c r="B2318" i="5"/>
  <c r="A2319" i="5"/>
  <c r="B2319" i="5"/>
  <c r="A2320" i="5"/>
  <c r="B2320" i="5"/>
  <c r="A2321" i="5"/>
  <c r="B2321" i="5"/>
  <c r="A2322" i="5"/>
  <c r="B2322" i="5"/>
  <c r="A2323" i="5"/>
  <c r="B2323" i="5"/>
  <c r="A2324" i="5"/>
  <c r="B2324" i="5"/>
  <c r="A2325" i="5"/>
  <c r="B2325" i="5"/>
  <c r="A2326" i="5"/>
  <c r="B2326" i="5"/>
  <c r="A2327" i="5"/>
  <c r="B2327" i="5"/>
  <c r="A2328" i="5"/>
  <c r="B2328" i="5"/>
  <c r="A2329" i="5"/>
  <c r="B2329" i="5"/>
  <c r="A2330" i="5"/>
  <c r="B2330" i="5"/>
  <c r="A2331" i="5"/>
  <c r="B2331" i="5"/>
  <c r="A2332" i="5"/>
  <c r="B2332" i="5"/>
  <c r="A2333" i="5"/>
  <c r="B2333" i="5"/>
  <c r="A2334" i="5"/>
  <c r="B2334" i="5"/>
  <c r="A2335" i="5"/>
  <c r="B2335" i="5"/>
  <c r="A2336" i="5"/>
  <c r="B2336" i="5"/>
  <c r="A2337" i="5"/>
  <c r="B2337" i="5"/>
  <c r="A2338" i="5"/>
  <c r="B2338" i="5"/>
  <c r="A2339" i="5"/>
  <c r="B2339" i="5"/>
  <c r="A2340" i="5"/>
  <c r="B2340" i="5"/>
  <c r="A2341" i="5"/>
  <c r="B2341" i="5"/>
  <c r="A2342" i="5"/>
  <c r="B2342" i="5"/>
  <c r="A2343" i="5"/>
  <c r="B2343" i="5"/>
  <c r="A2344" i="5"/>
  <c r="B2344" i="5"/>
  <c r="A2345" i="5"/>
  <c r="B2345" i="5"/>
  <c r="A2346" i="5"/>
  <c r="B2346" i="5"/>
  <c r="A2347" i="5"/>
  <c r="B2347" i="5"/>
  <c r="A2348" i="5"/>
  <c r="B2348" i="5"/>
  <c r="A2349" i="5"/>
  <c r="B2349" i="5"/>
  <c r="A2350" i="5"/>
  <c r="B2350" i="5"/>
  <c r="A2351" i="5"/>
  <c r="B2351" i="5"/>
  <c r="A2352" i="5"/>
  <c r="B2352" i="5"/>
  <c r="A2353" i="5"/>
  <c r="B2353" i="5"/>
  <c r="A2354" i="5"/>
  <c r="B2354" i="5"/>
  <c r="A2355" i="5"/>
  <c r="B2355" i="5"/>
  <c r="A2356" i="5"/>
  <c r="B2356" i="5"/>
  <c r="A2357" i="5"/>
  <c r="B2357" i="5"/>
  <c r="A2358" i="5"/>
  <c r="B2358" i="5"/>
  <c r="A2359" i="5"/>
  <c r="B2359" i="5"/>
  <c r="A2360" i="5"/>
  <c r="B2360" i="5"/>
  <c r="A2361" i="5"/>
  <c r="B2361" i="5"/>
  <c r="A2362" i="5"/>
  <c r="B2362" i="5"/>
  <c r="A2363" i="5"/>
  <c r="B2363" i="5"/>
  <c r="A2364" i="5"/>
  <c r="B2364" i="5"/>
  <c r="A2365" i="5"/>
  <c r="B2365" i="5"/>
  <c r="A2366" i="5"/>
  <c r="B2366" i="5"/>
  <c r="A2367" i="5"/>
  <c r="B2367" i="5"/>
  <c r="A2368" i="5"/>
  <c r="B2368" i="5"/>
  <c r="A2369" i="5"/>
  <c r="B2369" i="5"/>
  <c r="A2370" i="5"/>
  <c r="B2370" i="5"/>
  <c r="A2371" i="5"/>
  <c r="B2371" i="5"/>
  <c r="A2372" i="5"/>
  <c r="B2372" i="5"/>
  <c r="A2373" i="5"/>
  <c r="B2373" i="5"/>
  <c r="A2374" i="5"/>
  <c r="B2374" i="5"/>
  <c r="A2375" i="5"/>
  <c r="B2375" i="5"/>
  <c r="A2376" i="5"/>
  <c r="B2376" i="5"/>
  <c r="A2377" i="5"/>
  <c r="B2377" i="5"/>
  <c r="A2378" i="5"/>
  <c r="B2378" i="5"/>
  <c r="A2379" i="5"/>
  <c r="B2379" i="5"/>
  <c r="A2380" i="5"/>
  <c r="B2380" i="5"/>
  <c r="A2381" i="5"/>
  <c r="B2381" i="5"/>
  <c r="A2382" i="5"/>
  <c r="B2382" i="5"/>
  <c r="A2383" i="5"/>
  <c r="B2383" i="5"/>
  <c r="A2384" i="5"/>
  <c r="B2384" i="5"/>
  <c r="A2385" i="5"/>
  <c r="B2385" i="5"/>
  <c r="A2386" i="5"/>
  <c r="B2386" i="5"/>
  <c r="A2387" i="5"/>
  <c r="B2387" i="5"/>
  <c r="A2388" i="5"/>
  <c r="B2388" i="5"/>
  <c r="A2389" i="5"/>
  <c r="B2389" i="5"/>
  <c r="A2390" i="5"/>
  <c r="B2390" i="5"/>
  <c r="A2391" i="5"/>
  <c r="B2391" i="5"/>
  <c r="A2392" i="5"/>
  <c r="B2392" i="5"/>
  <c r="A2393" i="5"/>
  <c r="B2393" i="5"/>
  <c r="A2394" i="5"/>
  <c r="B2394" i="5"/>
  <c r="A2395" i="5"/>
  <c r="B2395" i="5"/>
  <c r="A2396" i="5"/>
  <c r="B2396" i="5"/>
  <c r="A2397" i="5"/>
  <c r="B2397" i="5"/>
  <c r="A2398" i="5"/>
  <c r="B2398" i="5"/>
  <c r="A2399" i="5"/>
  <c r="B2399" i="5"/>
  <c r="A2400" i="5"/>
  <c r="B2400" i="5"/>
  <c r="A2401" i="5"/>
  <c r="B2401" i="5"/>
  <c r="A2402" i="5"/>
  <c r="B2402" i="5"/>
  <c r="A2403" i="5"/>
  <c r="B2403" i="5"/>
  <c r="A2404" i="5"/>
  <c r="B2404" i="5"/>
  <c r="A2405" i="5"/>
  <c r="B2405" i="5"/>
  <c r="A2406" i="5"/>
  <c r="B2406" i="5"/>
  <c r="A2407" i="5"/>
  <c r="B2407" i="5"/>
  <c r="A2408" i="5"/>
  <c r="B2408" i="5"/>
  <c r="A2409" i="5"/>
  <c r="B2409" i="5"/>
  <c r="A2410" i="5"/>
  <c r="B2410" i="5"/>
  <c r="A2411" i="5"/>
  <c r="B2411" i="5"/>
  <c r="A2412" i="5"/>
  <c r="B2412" i="5"/>
  <c r="A2413" i="5"/>
  <c r="B2413" i="5"/>
  <c r="A2414" i="5"/>
  <c r="B2414" i="5"/>
  <c r="A2415" i="5"/>
  <c r="B2415" i="5"/>
  <c r="A2416" i="5"/>
  <c r="B2416" i="5"/>
  <c r="A2417" i="5"/>
  <c r="B2417" i="5"/>
  <c r="A2418" i="5"/>
  <c r="B2418" i="5"/>
  <c r="A2419" i="5"/>
  <c r="B2419" i="5"/>
  <c r="A2420" i="5"/>
  <c r="B2420" i="5"/>
  <c r="A2421" i="5"/>
  <c r="B2421" i="5"/>
  <c r="A2422" i="5"/>
  <c r="B2422" i="5"/>
  <c r="A2423" i="5"/>
  <c r="B2423" i="5"/>
  <c r="A2424" i="5"/>
  <c r="B2424" i="5"/>
  <c r="A2425" i="5"/>
  <c r="B2425" i="5"/>
  <c r="A2426" i="5"/>
  <c r="B2426" i="5"/>
  <c r="A2427" i="5"/>
  <c r="B2427" i="5"/>
  <c r="A2428" i="5"/>
  <c r="B2428" i="5"/>
  <c r="A2429" i="5"/>
  <c r="B2429" i="5"/>
  <c r="A2430" i="5"/>
  <c r="B2430" i="5"/>
  <c r="A2431" i="5"/>
  <c r="B2431" i="5"/>
  <c r="A2432" i="5"/>
  <c r="B2432" i="5"/>
  <c r="A2433" i="5"/>
  <c r="B2433" i="5"/>
  <c r="A2434" i="5"/>
  <c r="B2434" i="5"/>
  <c r="A2435" i="5"/>
  <c r="B2435" i="5"/>
  <c r="A2436" i="5"/>
  <c r="B2436" i="5"/>
  <c r="A2437" i="5"/>
  <c r="B2437" i="5"/>
  <c r="A2438" i="5"/>
  <c r="B2438" i="5"/>
  <c r="A2439" i="5"/>
  <c r="B2439" i="5"/>
  <c r="A2440" i="5"/>
  <c r="B2440" i="5"/>
  <c r="A2441" i="5"/>
  <c r="B2441" i="5"/>
  <c r="A2442" i="5"/>
  <c r="B2442" i="5"/>
  <c r="A2443" i="5"/>
  <c r="B2443" i="5"/>
  <c r="A2444" i="5"/>
  <c r="B2444" i="5"/>
  <c r="A2445" i="5"/>
  <c r="B2445" i="5"/>
  <c r="A2446" i="5"/>
  <c r="B2446" i="5"/>
  <c r="A2447" i="5"/>
  <c r="B2447" i="5"/>
  <c r="A2448" i="5"/>
  <c r="B2448" i="5"/>
  <c r="A2449" i="5"/>
  <c r="B2449" i="5"/>
  <c r="A2450" i="5"/>
  <c r="B2450" i="5"/>
  <c r="A2451" i="5"/>
  <c r="B2451" i="5"/>
  <c r="A2452" i="5"/>
  <c r="B2452" i="5"/>
  <c r="A2453" i="5"/>
  <c r="B2453" i="5"/>
  <c r="A2454" i="5"/>
  <c r="B2454" i="5"/>
  <c r="A2455" i="5"/>
  <c r="B2455" i="5"/>
  <c r="A2456" i="5"/>
  <c r="B2456" i="5"/>
  <c r="A2457" i="5"/>
  <c r="B2457" i="5"/>
  <c r="A2458" i="5"/>
  <c r="B2458" i="5"/>
  <c r="A2459" i="5"/>
  <c r="B2459" i="5"/>
  <c r="A2460" i="5"/>
  <c r="B2460" i="5"/>
  <c r="A2461" i="5"/>
  <c r="B2461" i="5"/>
  <c r="A2462" i="5"/>
  <c r="B2462" i="5"/>
  <c r="A2463" i="5"/>
  <c r="B2463" i="5"/>
  <c r="A2464" i="5"/>
  <c r="B2464" i="5"/>
  <c r="A2465" i="5"/>
  <c r="B2465" i="5"/>
  <c r="A2466" i="5"/>
  <c r="B2466" i="5"/>
  <c r="A2467" i="5"/>
  <c r="B2467" i="5"/>
  <c r="A2468" i="5"/>
  <c r="B2468" i="5"/>
  <c r="A2469" i="5"/>
  <c r="B2469" i="5"/>
  <c r="A2470" i="5"/>
  <c r="B2470" i="5"/>
  <c r="A2471" i="5"/>
  <c r="B2471" i="5"/>
  <c r="A2472" i="5"/>
  <c r="B2472" i="5"/>
  <c r="A2473" i="5"/>
  <c r="B2473" i="5"/>
  <c r="A2474" i="5"/>
  <c r="B2474" i="5"/>
  <c r="A2475" i="5"/>
  <c r="B2475" i="5"/>
  <c r="A2476" i="5"/>
  <c r="B2476" i="5"/>
  <c r="A2477" i="5"/>
  <c r="B2477" i="5"/>
  <c r="A2478" i="5"/>
  <c r="B2478" i="5"/>
  <c r="A2479" i="5"/>
  <c r="B2479" i="5"/>
  <c r="A2480" i="5"/>
  <c r="B2480" i="5"/>
  <c r="A2481" i="5"/>
  <c r="B2481" i="5"/>
  <c r="A2482" i="5"/>
  <c r="B2482" i="5"/>
  <c r="A2483" i="5"/>
  <c r="B2483" i="5"/>
  <c r="A2484" i="5"/>
  <c r="B2484" i="5"/>
  <c r="A2485" i="5"/>
  <c r="B2485" i="5"/>
  <c r="A2486" i="5"/>
  <c r="B2486" i="5"/>
  <c r="A2487" i="5"/>
  <c r="B2487" i="5"/>
  <c r="A2488" i="5"/>
  <c r="B2488" i="5"/>
  <c r="A2489" i="5"/>
  <c r="B2489" i="5"/>
  <c r="A2490" i="5"/>
  <c r="B2490" i="5"/>
  <c r="A2491" i="5"/>
  <c r="B2491" i="5"/>
  <c r="A2492" i="5"/>
  <c r="B2492" i="5"/>
  <c r="A2493" i="5"/>
  <c r="B2493" i="5"/>
  <c r="A2494" i="5"/>
  <c r="B2494" i="5"/>
  <c r="A2495" i="5"/>
  <c r="B2495" i="5"/>
  <c r="A2496" i="5"/>
  <c r="B2496" i="5"/>
  <c r="A2497" i="5"/>
  <c r="B2497" i="5"/>
  <c r="A2498" i="5"/>
  <c r="B2498" i="5"/>
  <c r="A2499" i="5"/>
  <c r="B2499" i="5"/>
  <c r="A2500" i="5"/>
  <c r="B2500" i="5"/>
  <c r="A2501" i="5"/>
  <c r="B2501" i="5"/>
  <c r="A2502" i="5"/>
  <c r="B2502" i="5"/>
  <c r="A2503" i="5"/>
  <c r="B2503" i="5"/>
  <c r="A2504" i="5"/>
  <c r="B2504" i="5"/>
  <c r="A2505" i="5"/>
  <c r="B2505" i="5"/>
  <c r="A2506" i="5"/>
  <c r="B2506" i="5"/>
  <c r="A2507" i="5"/>
  <c r="B2507" i="5"/>
  <c r="A2508" i="5"/>
  <c r="B2508" i="5"/>
  <c r="A2509" i="5"/>
  <c r="B2509" i="5"/>
  <c r="A2510" i="5"/>
  <c r="B2510" i="5"/>
  <c r="A2511" i="5"/>
  <c r="B2511" i="5"/>
  <c r="A2512" i="5"/>
  <c r="B2512" i="5"/>
  <c r="A2513" i="5"/>
  <c r="B2513" i="5"/>
  <c r="A2514" i="5"/>
  <c r="B2514" i="5"/>
  <c r="A2515" i="5"/>
  <c r="B2515" i="5"/>
  <c r="A2516" i="5"/>
  <c r="B2516" i="5"/>
  <c r="A2517" i="5"/>
  <c r="B2517" i="5"/>
  <c r="A2518" i="5"/>
  <c r="B2518" i="5"/>
  <c r="A2519" i="5"/>
  <c r="B2519" i="5"/>
  <c r="A2520" i="5"/>
  <c r="B2520" i="5"/>
  <c r="A2521" i="5"/>
  <c r="B2521" i="5"/>
  <c r="A2522" i="5"/>
  <c r="B2522" i="5"/>
  <c r="A2523" i="5"/>
  <c r="B2523" i="5"/>
  <c r="A2524" i="5"/>
  <c r="B2524" i="5"/>
  <c r="A2525" i="5"/>
  <c r="B2525" i="5"/>
  <c r="A2526" i="5"/>
  <c r="B2526" i="5"/>
  <c r="A2527" i="5"/>
  <c r="B2527" i="5"/>
  <c r="A2528" i="5"/>
  <c r="B2528" i="5"/>
  <c r="A2529" i="5"/>
  <c r="B2529" i="5"/>
  <c r="A2530" i="5"/>
  <c r="B2530" i="5"/>
  <c r="A2531" i="5"/>
  <c r="B2531" i="5"/>
  <c r="A2532" i="5"/>
  <c r="B2532" i="5"/>
  <c r="A2533" i="5"/>
  <c r="B2533" i="5"/>
  <c r="A2534" i="5"/>
  <c r="B2534" i="5"/>
  <c r="A2535" i="5"/>
  <c r="B2535" i="5"/>
  <c r="A2536" i="5"/>
  <c r="B2536" i="5"/>
  <c r="A2537" i="5"/>
  <c r="B2537" i="5"/>
  <c r="A2538" i="5"/>
  <c r="B2538" i="5"/>
  <c r="A2539" i="5"/>
  <c r="B2539" i="5"/>
  <c r="A2540" i="5"/>
  <c r="B2540" i="5"/>
  <c r="A2541" i="5"/>
  <c r="B2541" i="5"/>
  <c r="A2542" i="5"/>
  <c r="B2542" i="5"/>
  <c r="A2543" i="5"/>
  <c r="B2543" i="5"/>
  <c r="A2544" i="5"/>
  <c r="B2544" i="5"/>
  <c r="A2545" i="5"/>
  <c r="B2545" i="5"/>
  <c r="A2546" i="5"/>
  <c r="B2546" i="5"/>
  <c r="A2547" i="5"/>
  <c r="B2547" i="5"/>
  <c r="A2548" i="5"/>
  <c r="B2548" i="5"/>
  <c r="A2549" i="5"/>
  <c r="B2549" i="5"/>
  <c r="A2550" i="5"/>
  <c r="B2550" i="5"/>
  <c r="A2551" i="5"/>
  <c r="B2551" i="5"/>
  <c r="A2552" i="5"/>
  <c r="B2552" i="5"/>
  <c r="A2553" i="5"/>
  <c r="B2553" i="5"/>
  <c r="A2554" i="5"/>
  <c r="B2554" i="5"/>
  <c r="A2555" i="5"/>
  <c r="B2555" i="5"/>
  <c r="A2556" i="5"/>
  <c r="B2556" i="5"/>
  <c r="A2557" i="5"/>
  <c r="B2557" i="5"/>
  <c r="A2558" i="5"/>
  <c r="B2558" i="5"/>
  <c r="A2559" i="5"/>
  <c r="B2559" i="5"/>
  <c r="A2560" i="5"/>
  <c r="B2560" i="5"/>
  <c r="A2561" i="5"/>
  <c r="B2561" i="5"/>
  <c r="A2562" i="5"/>
  <c r="B2562" i="5"/>
  <c r="A2563" i="5"/>
  <c r="B2563" i="5"/>
  <c r="A2564" i="5"/>
  <c r="B2564" i="5"/>
  <c r="A2565" i="5"/>
  <c r="B2565" i="5"/>
  <c r="A2566" i="5"/>
  <c r="B2566" i="5"/>
  <c r="A2567" i="5"/>
  <c r="B2567" i="5"/>
  <c r="A2568" i="5"/>
  <c r="B2568" i="5"/>
  <c r="A2569" i="5"/>
  <c r="B2569" i="5"/>
  <c r="A2570" i="5"/>
  <c r="B2570" i="5"/>
  <c r="A2571" i="5"/>
  <c r="B2571" i="5"/>
  <c r="A2572" i="5"/>
  <c r="B2572" i="5"/>
  <c r="A2573" i="5"/>
  <c r="B2573" i="5"/>
  <c r="A2574" i="5"/>
  <c r="B2574" i="5"/>
  <c r="A2575" i="5"/>
  <c r="B2575" i="5"/>
  <c r="A2576" i="5"/>
  <c r="B2576" i="5"/>
  <c r="A2577" i="5"/>
  <c r="B2577" i="5"/>
  <c r="A2578" i="5"/>
  <c r="B2578" i="5"/>
  <c r="A2579" i="5"/>
  <c r="B2579" i="5"/>
  <c r="A2580" i="5"/>
  <c r="B2580" i="5"/>
  <c r="A2581" i="5"/>
  <c r="B2581" i="5"/>
  <c r="A2582" i="5"/>
  <c r="B2582" i="5"/>
  <c r="A2583" i="5"/>
  <c r="B2583" i="5"/>
  <c r="A2584" i="5"/>
  <c r="B2584" i="5"/>
  <c r="A2585" i="5"/>
  <c r="B2585" i="5"/>
  <c r="A2586" i="5"/>
  <c r="B2586" i="5"/>
  <c r="A2587" i="5"/>
  <c r="B2587" i="5"/>
  <c r="A2588" i="5"/>
  <c r="B2588" i="5"/>
  <c r="A2589" i="5"/>
  <c r="B2589" i="5"/>
  <c r="A2590" i="5"/>
  <c r="B2590" i="5"/>
  <c r="A2591" i="5"/>
  <c r="B2591" i="5"/>
  <c r="A2592" i="5"/>
  <c r="B2592" i="5"/>
  <c r="A2593" i="5"/>
  <c r="B2593" i="5"/>
  <c r="A2594" i="5"/>
  <c r="B2594" i="5"/>
  <c r="A2595" i="5"/>
  <c r="B2595" i="5"/>
  <c r="A2596" i="5"/>
  <c r="B2596" i="5"/>
  <c r="A2597" i="5"/>
  <c r="B2597" i="5"/>
  <c r="A2598" i="5"/>
  <c r="B2598" i="5"/>
  <c r="A2599" i="5"/>
  <c r="B2599" i="5"/>
  <c r="A2600" i="5"/>
  <c r="B2600" i="5"/>
  <c r="A2601" i="5"/>
  <c r="B2601" i="5"/>
  <c r="A2602" i="5"/>
  <c r="B2602" i="5"/>
  <c r="A2603" i="5"/>
  <c r="B2603" i="5"/>
  <c r="A2604" i="5"/>
  <c r="B2604" i="5"/>
  <c r="A2605" i="5"/>
  <c r="B2605" i="5"/>
  <c r="A2606" i="5"/>
  <c r="B2606" i="5"/>
  <c r="A2607" i="5"/>
  <c r="B2607" i="5"/>
  <c r="A2608" i="5"/>
  <c r="B2608" i="5"/>
  <c r="A2609" i="5"/>
  <c r="B2609" i="5"/>
  <c r="A2610" i="5"/>
  <c r="B2610" i="5"/>
  <c r="A2611" i="5"/>
  <c r="B2611" i="5"/>
  <c r="A2612" i="5"/>
  <c r="B2612" i="5"/>
  <c r="A2613" i="5"/>
  <c r="B2613" i="5"/>
  <c r="A2614" i="5"/>
  <c r="B2614" i="5"/>
  <c r="A2615" i="5"/>
  <c r="B2615" i="5"/>
  <c r="A2616" i="5"/>
  <c r="B2616" i="5"/>
  <c r="A2617" i="5"/>
  <c r="B2617" i="5"/>
  <c r="A2618" i="5"/>
  <c r="B2618" i="5"/>
  <c r="A2619" i="5"/>
  <c r="B2619" i="5"/>
  <c r="A2620" i="5"/>
  <c r="B2620" i="5"/>
  <c r="A2621" i="5"/>
  <c r="B2621" i="5"/>
  <c r="A2622" i="5"/>
  <c r="B2622" i="5"/>
  <c r="A2623" i="5"/>
  <c r="B2623" i="5"/>
  <c r="A2624" i="5"/>
  <c r="B2624" i="5"/>
  <c r="A2625" i="5"/>
  <c r="B2625" i="5"/>
  <c r="A2626" i="5"/>
  <c r="B2626" i="5"/>
  <c r="A2627" i="5"/>
  <c r="B2627" i="5"/>
  <c r="A2628" i="5"/>
  <c r="B2628" i="5"/>
  <c r="A2629" i="5"/>
  <c r="B2629" i="5"/>
  <c r="A2630" i="5"/>
  <c r="B2630" i="5"/>
  <c r="A2631" i="5"/>
  <c r="B2631" i="5"/>
  <c r="A2632" i="5"/>
  <c r="B2632" i="5"/>
  <c r="A2633" i="5"/>
  <c r="B2633" i="5"/>
  <c r="A2634" i="5"/>
  <c r="B2634" i="5"/>
  <c r="A2635" i="5"/>
  <c r="B2635" i="5"/>
  <c r="A2636" i="5"/>
  <c r="B2636" i="5"/>
  <c r="A2637" i="5"/>
  <c r="B2637" i="5"/>
  <c r="A2638" i="5"/>
  <c r="B2638" i="5"/>
  <c r="A2639" i="5"/>
  <c r="B2639" i="5"/>
  <c r="A2640" i="5"/>
  <c r="B2640" i="5"/>
  <c r="A2641" i="5"/>
  <c r="B2641" i="5"/>
  <c r="A2642" i="5"/>
  <c r="B2642" i="5"/>
  <c r="A2643" i="5"/>
  <c r="B2643" i="5"/>
  <c r="A2644" i="5"/>
  <c r="B2644" i="5"/>
  <c r="A2645" i="5"/>
  <c r="B2645" i="5"/>
  <c r="A2646" i="5"/>
  <c r="B2646" i="5"/>
  <c r="A2647" i="5"/>
  <c r="B2647" i="5"/>
  <c r="A2648" i="5"/>
  <c r="B2648" i="5"/>
  <c r="A2649" i="5"/>
  <c r="B2649" i="5"/>
  <c r="A2650" i="5"/>
  <c r="B2650" i="5"/>
  <c r="A2651" i="5"/>
  <c r="B2651" i="5"/>
  <c r="A2652" i="5"/>
  <c r="B2652" i="5"/>
  <c r="A2653" i="5"/>
  <c r="B2653" i="5"/>
  <c r="A2654" i="5"/>
  <c r="B2654" i="5"/>
  <c r="A2655" i="5"/>
  <c r="B2655" i="5"/>
  <c r="A2656" i="5"/>
  <c r="B2656" i="5"/>
  <c r="A2657" i="5"/>
  <c r="B2657" i="5"/>
  <c r="A2658" i="5"/>
  <c r="B2658" i="5"/>
  <c r="A2659" i="5"/>
  <c r="B2659" i="5"/>
  <c r="A2660" i="5"/>
  <c r="B2660" i="5"/>
  <c r="A2661" i="5"/>
  <c r="B2661" i="5"/>
  <c r="A2662" i="5"/>
  <c r="B2662" i="5"/>
  <c r="A2663" i="5"/>
  <c r="B2663" i="5"/>
  <c r="A2664" i="5"/>
  <c r="B2664" i="5"/>
  <c r="A2665" i="5"/>
  <c r="B2665" i="5"/>
  <c r="A2666" i="5"/>
  <c r="B2666" i="5"/>
  <c r="A2667" i="5"/>
  <c r="B2667" i="5"/>
  <c r="A2668" i="5"/>
  <c r="B2668" i="5"/>
  <c r="A2669" i="5"/>
  <c r="B2669" i="5"/>
  <c r="A2670" i="5"/>
  <c r="B2670" i="5"/>
  <c r="A2671" i="5"/>
  <c r="B2671" i="5"/>
  <c r="A2672" i="5"/>
  <c r="B2672" i="5"/>
  <c r="A2673" i="5"/>
  <c r="B2673" i="5"/>
  <c r="A2674" i="5"/>
  <c r="B2674" i="5"/>
  <c r="A2675" i="5"/>
  <c r="B2675" i="5"/>
  <c r="A2676" i="5"/>
  <c r="B2676" i="5"/>
  <c r="A2677" i="5"/>
  <c r="B2677" i="5"/>
  <c r="A2678" i="5"/>
  <c r="B2678" i="5"/>
  <c r="A2679" i="5"/>
  <c r="B2679" i="5"/>
  <c r="A2680" i="5"/>
  <c r="B2680" i="5"/>
  <c r="A2681" i="5"/>
  <c r="B2681" i="5"/>
  <c r="A2682" i="5"/>
  <c r="B2682" i="5"/>
  <c r="A2683" i="5"/>
  <c r="B2683" i="5"/>
  <c r="A2684" i="5"/>
  <c r="B2684" i="5"/>
  <c r="A2685" i="5"/>
  <c r="B2685" i="5"/>
  <c r="A2686" i="5"/>
  <c r="B2686" i="5"/>
  <c r="A2687" i="5"/>
  <c r="B2687" i="5"/>
  <c r="A2688" i="5"/>
  <c r="B2688" i="5"/>
  <c r="A2689" i="5"/>
  <c r="B2689" i="5"/>
  <c r="A2690" i="5"/>
  <c r="B2690" i="5"/>
  <c r="A2691" i="5"/>
  <c r="B2691" i="5"/>
  <c r="A2692" i="5"/>
  <c r="B2692" i="5"/>
  <c r="A2693" i="5"/>
  <c r="B2693" i="5"/>
  <c r="A2694" i="5"/>
  <c r="B2694" i="5"/>
  <c r="A2695" i="5"/>
  <c r="B2695" i="5"/>
  <c r="A2696" i="5"/>
  <c r="B2696" i="5"/>
  <c r="A2697" i="5"/>
  <c r="B2697" i="5"/>
  <c r="A2698" i="5"/>
  <c r="B2698" i="5"/>
  <c r="A2699" i="5"/>
  <c r="B2699" i="5"/>
  <c r="A2700" i="5"/>
  <c r="B2700" i="5"/>
  <c r="A2701" i="5"/>
  <c r="B2701" i="5"/>
  <c r="A2702" i="5"/>
  <c r="B2702" i="5"/>
  <c r="A2703" i="5"/>
  <c r="B2703" i="5"/>
  <c r="A2704" i="5"/>
  <c r="B2704" i="5"/>
  <c r="A2705" i="5"/>
  <c r="B2705" i="5"/>
  <c r="A2706" i="5"/>
  <c r="B2706" i="5"/>
  <c r="A2707" i="5"/>
  <c r="B2707" i="5"/>
  <c r="A2708" i="5"/>
  <c r="B2708" i="5"/>
  <c r="A2709" i="5"/>
  <c r="B2709" i="5"/>
  <c r="A2710" i="5"/>
  <c r="B2710" i="5"/>
  <c r="A2711" i="5"/>
  <c r="B2711" i="5"/>
  <c r="A2712" i="5"/>
  <c r="B2712" i="5"/>
  <c r="A2713" i="5"/>
  <c r="B2713" i="5"/>
  <c r="A2714" i="5"/>
  <c r="B2714" i="5"/>
  <c r="A2715" i="5"/>
  <c r="B2715" i="5"/>
  <c r="A2716" i="5"/>
  <c r="B2716" i="5"/>
  <c r="A2717" i="5"/>
  <c r="B2717" i="5"/>
  <c r="A2718" i="5"/>
  <c r="B2718" i="5"/>
  <c r="A2719" i="5"/>
  <c r="B2719" i="5"/>
  <c r="A2720" i="5"/>
  <c r="B2720" i="5"/>
  <c r="A2721" i="5"/>
  <c r="B2721" i="5"/>
  <c r="A2722" i="5"/>
  <c r="B2722" i="5"/>
  <c r="A2723" i="5"/>
  <c r="B2723" i="5"/>
  <c r="A2724" i="5"/>
  <c r="B2724" i="5"/>
  <c r="A2725" i="5"/>
  <c r="B2725" i="5"/>
  <c r="A2726" i="5"/>
  <c r="B2726" i="5"/>
  <c r="A2727" i="5"/>
  <c r="B2727" i="5"/>
  <c r="A2728" i="5"/>
  <c r="B2728" i="5"/>
  <c r="A2729" i="5"/>
  <c r="B2729" i="5"/>
  <c r="A2730" i="5"/>
  <c r="B2730" i="5"/>
  <c r="A2731" i="5"/>
  <c r="B2731" i="5"/>
  <c r="A2732" i="5"/>
  <c r="B2732" i="5"/>
  <c r="A2733" i="5"/>
  <c r="B2733" i="5"/>
  <c r="A2734" i="5"/>
  <c r="B2734" i="5"/>
  <c r="A2735" i="5"/>
  <c r="B2735" i="5"/>
  <c r="A2736" i="5"/>
  <c r="B2736" i="5"/>
  <c r="A2737" i="5"/>
  <c r="B2737" i="5"/>
  <c r="A2738" i="5"/>
  <c r="B2738" i="5"/>
  <c r="A2739" i="5"/>
  <c r="B2739" i="5"/>
  <c r="A2740" i="5"/>
  <c r="B2740" i="5"/>
  <c r="A2741" i="5"/>
  <c r="B2741" i="5"/>
  <c r="A2742" i="5"/>
  <c r="B2742" i="5"/>
  <c r="A2743" i="5"/>
  <c r="B2743" i="5"/>
  <c r="A2744" i="5"/>
  <c r="B2744" i="5"/>
  <c r="A2745" i="5"/>
  <c r="B2745" i="5"/>
  <c r="A2746" i="5"/>
  <c r="B2746" i="5"/>
  <c r="A2747" i="5"/>
  <c r="B2747" i="5"/>
  <c r="A2748" i="5"/>
  <c r="B2748" i="5"/>
  <c r="A2749" i="5"/>
  <c r="B2749" i="5"/>
  <c r="A2750" i="5"/>
  <c r="B2750" i="5"/>
  <c r="A2751" i="5"/>
  <c r="B2751" i="5"/>
  <c r="A2752" i="5"/>
  <c r="B2752" i="5"/>
  <c r="A2753" i="5"/>
  <c r="B2753" i="5"/>
  <c r="A2754" i="5"/>
  <c r="B2754" i="5"/>
  <c r="A2755" i="5"/>
  <c r="B2755" i="5"/>
  <c r="A2756" i="5"/>
  <c r="B2756" i="5"/>
  <c r="A2757" i="5"/>
  <c r="B2757" i="5"/>
  <c r="A2758" i="5"/>
  <c r="B2758" i="5"/>
  <c r="A2759" i="5"/>
  <c r="B2759" i="5"/>
  <c r="A2760" i="5"/>
  <c r="B2760" i="5"/>
  <c r="A2761" i="5"/>
  <c r="B2761" i="5"/>
  <c r="A2762" i="5"/>
  <c r="B2762" i="5"/>
  <c r="A2763" i="5"/>
  <c r="B2763" i="5"/>
  <c r="A2764" i="5"/>
  <c r="B2764" i="5"/>
  <c r="A2765" i="5"/>
  <c r="B2765" i="5"/>
  <c r="A2766" i="5"/>
  <c r="B2766" i="5"/>
  <c r="A2767" i="5"/>
  <c r="B2767" i="5"/>
  <c r="A2768" i="5"/>
  <c r="B2768" i="5"/>
  <c r="A2769" i="5"/>
  <c r="B2769" i="5"/>
  <c r="A2770" i="5"/>
  <c r="B2770" i="5"/>
  <c r="A2771" i="5"/>
  <c r="B2771" i="5"/>
  <c r="A2772" i="5"/>
  <c r="B2772" i="5"/>
  <c r="A2773" i="5"/>
  <c r="B2773" i="5"/>
  <c r="A2774" i="5"/>
  <c r="B2774" i="5"/>
  <c r="A2775" i="5"/>
  <c r="B2775" i="5"/>
  <c r="A2776" i="5"/>
  <c r="B2776" i="5"/>
  <c r="A2777" i="5"/>
  <c r="B2777" i="5"/>
  <c r="A2778" i="5"/>
  <c r="B2778" i="5"/>
  <c r="A2779" i="5"/>
  <c r="B2779" i="5"/>
  <c r="A2780" i="5"/>
  <c r="B2780" i="5"/>
  <c r="A2781" i="5"/>
  <c r="B2781" i="5"/>
  <c r="A2782" i="5"/>
  <c r="B2782" i="5"/>
  <c r="A2783" i="5"/>
  <c r="B2783" i="5"/>
  <c r="A2784" i="5"/>
  <c r="B2784" i="5"/>
  <c r="A2785" i="5"/>
  <c r="B2785" i="5"/>
  <c r="A2786" i="5"/>
  <c r="B2786" i="5"/>
  <c r="A2787" i="5"/>
  <c r="B2787" i="5"/>
  <c r="A2788" i="5"/>
  <c r="B2788" i="5"/>
  <c r="A2789" i="5"/>
  <c r="B2789" i="5"/>
  <c r="A2790" i="5"/>
  <c r="B2790" i="5"/>
  <c r="A2791" i="5"/>
  <c r="B2791" i="5"/>
  <c r="A2792" i="5"/>
  <c r="B2792" i="5"/>
  <c r="A2793" i="5"/>
  <c r="B2793" i="5"/>
  <c r="A2794" i="5"/>
  <c r="B2794" i="5"/>
  <c r="A2795" i="5"/>
  <c r="B2795" i="5"/>
  <c r="A2796" i="5"/>
  <c r="B2796" i="5"/>
  <c r="A2797" i="5"/>
  <c r="B2797" i="5"/>
  <c r="A2798" i="5"/>
  <c r="B2798" i="5"/>
  <c r="A2799" i="5"/>
  <c r="B2799" i="5"/>
  <c r="A2800" i="5"/>
  <c r="B2800" i="5"/>
  <c r="A2801" i="5"/>
  <c r="B2801" i="5"/>
  <c r="A2802" i="5"/>
  <c r="B2802" i="5"/>
  <c r="A2803" i="5"/>
  <c r="B2803" i="5"/>
  <c r="A2804" i="5"/>
  <c r="B2804" i="5"/>
  <c r="A2805" i="5"/>
  <c r="B2805" i="5"/>
  <c r="A2806" i="5"/>
  <c r="B2806" i="5"/>
  <c r="A2807" i="5"/>
  <c r="B2807" i="5"/>
  <c r="A2808" i="5"/>
  <c r="B2808" i="5"/>
  <c r="A2809" i="5"/>
  <c r="B2809" i="5"/>
  <c r="A2810" i="5"/>
  <c r="B2810" i="5"/>
  <c r="A2811" i="5"/>
  <c r="B2811" i="5"/>
  <c r="A2812" i="5"/>
  <c r="B2812" i="5"/>
  <c r="A2813" i="5"/>
  <c r="B2813" i="5"/>
  <c r="A2814" i="5"/>
  <c r="B2814" i="5"/>
  <c r="A2815" i="5"/>
  <c r="B2815" i="5"/>
  <c r="A2816" i="5"/>
  <c r="B2816" i="5"/>
  <c r="A2817" i="5"/>
  <c r="B2817" i="5"/>
  <c r="A2818" i="5"/>
  <c r="B2818" i="5"/>
  <c r="A2819" i="5"/>
  <c r="B2819" i="5"/>
  <c r="A2820" i="5"/>
  <c r="B2820" i="5"/>
  <c r="A2821" i="5"/>
  <c r="B2821" i="5"/>
  <c r="A2822" i="5"/>
  <c r="B2822" i="5"/>
  <c r="A2823" i="5"/>
  <c r="B2823" i="5"/>
  <c r="A2824" i="5"/>
  <c r="B2824" i="5"/>
  <c r="A2825" i="5"/>
  <c r="B2825" i="5"/>
  <c r="A2826" i="5"/>
  <c r="B2826" i="5"/>
  <c r="A2827" i="5"/>
  <c r="B2827" i="5"/>
  <c r="A2828" i="5"/>
  <c r="B2828" i="5"/>
  <c r="A2829" i="5"/>
  <c r="B2829" i="5"/>
  <c r="A2830" i="5"/>
  <c r="B2830" i="5"/>
  <c r="A2831" i="5"/>
  <c r="B2831" i="5"/>
  <c r="A2832" i="5"/>
  <c r="B2832" i="5"/>
  <c r="A2833" i="5"/>
  <c r="B2833" i="5"/>
  <c r="A2834" i="5"/>
  <c r="B2834" i="5"/>
  <c r="A2835" i="5"/>
  <c r="B2835" i="5"/>
  <c r="A2836" i="5"/>
  <c r="B2836" i="5"/>
  <c r="A2837" i="5"/>
  <c r="B2837" i="5"/>
  <c r="A2838" i="5"/>
  <c r="B2838" i="5"/>
  <c r="A2839" i="5"/>
  <c r="B2839" i="5"/>
  <c r="A2840" i="5"/>
  <c r="B2840" i="5"/>
  <c r="A2841" i="5"/>
  <c r="B2841" i="5"/>
  <c r="A2842" i="5"/>
  <c r="B2842" i="5"/>
  <c r="A2843" i="5"/>
  <c r="B2843" i="5"/>
  <c r="A2844" i="5"/>
  <c r="B2844" i="5"/>
  <c r="A2845" i="5"/>
  <c r="B2845" i="5"/>
  <c r="A2846" i="5"/>
  <c r="B2846" i="5"/>
  <c r="A2847" i="5"/>
  <c r="B2847" i="5"/>
  <c r="A2848" i="5"/>
  <c r="B2848" i="5"/>
  <c r="A2849" i="5"/>
  <c r="B2849" i="5"/>
  <c r="A2850" i="5"/>
  <c r="B2850" i="5"/>
  <c r="A2851" i="5"/>
  <c r="B2851" i="5"/>
  <c r="A2852" i="5"/>
  <c r="B2852" i="5"/>
  <c r="A2853" i="5"/>
  <c r="B2853" i="5"/>
  <c r="A2854" i="5"/>
  <c r="B2854" i="5"/>
  <c r="A2855" i="5"/>
  <c r="B2855" i="5"/>
  <c r="A2856" i="5"/>
  <c r="B2856" i="5"/>
  <c r="A2857" i="5"/>
  <c r="B2857" i="5"/>
  <c r="A2858" i="5"/>
  <c r="B2858" i="5"/>
  <c r="A2859" i="5"/>
  <c r="B2859" i="5"/>
  <c r="A2860" i="5"/>
  <c r="B2860" i="5"/>
  <c r="A2861" i="5"/>
  <c r="B2861" i="5"/>
  <c r="A2862" i="5"/>
  <c r="B2862" i="5"/>
  <c r="A2863" i="5"/>
  <c r="B2863" i="5"/>
  <c r="A2864" i="5"/>
  <c r="B2864" i="5"/>
  <c r="A2865" i="5"/>
  <c r="B2865" i="5"/>
  <c r="A2866" i="5"/>
  <c r="B2866" i="5"/>
  <c r="A2867" i="5"/>
  <c r="B2867" i="5"/>
  <c r="A2868" i="5"/>
  <c r="B2868" i="5"/>
  <c r="A2869" i="5"/>
  <c r="B2869" i="5"/>
  <c r="A2870" i="5"/>
  <c r="B2870" i="5"/>
  <c r="A2871" i="5"/>
  <c r="B2871" i="5"/>
  <c r="A2872" i="5"/>
  <c r="B2872" i="5"/>
  <c r="A2873" i="5"/>
  <c r="B2873" i="5"/>
  <c r="A2874" i="5"/>
  <c r="B2874" i="5"/>
  <c r="A2875" i="5"/>
  <c r="B2875" i="5"/>
  <c r="A2876" i="5"/>
  <c r="B2876" i="5"/>
  <c r="A2877" i="5"/>
  <c r="B2877" i="5"/>
  <c r="A2878" i="5"/>
  <c r="B2878" i="5"/>
  <c r="A2879" i="5"/>
  <c r="B2879" i="5"/>
  <c r="A2880" i="5"/>
  <c r="B2880" i="5"/>
  <c r="A2881" i="5"/>
  <c r="B2881" i="5"/>
  <c r="A2882" i="5"/>
  <c r="B2882" i="5"/>
  <c r="A2883" i="5"/>
  <c r="B2883" i="5"/>
  <c r="A2884" i="5"/>
  <c r="B2884" i="5"/>
  <c r="A2885" i="5"/>
  <c r="B2885" i="5"/>
  <c r="A2886" i="5"/>
  <c r="B2886" i="5"/>
  <c r="A2887" i="5"/>
  <c r="B2887" i="5"/>
  <c r="A2888" i="5"/>
  <c r="B2888" i="5"/>
  <c r="A2889" i="5"/>
  <c r="B2889" i="5"/>
  <c r="A2890" i="5"/>
  <c r="B2890" i="5"/>
  <c r="A2891" i="5"/>
  <c r="B2891" i="5"/>
  <c r="A2892" i="5"/>
  <c r="B2892" i="5"/>
  <c r="A2893" i="5"/>
  <c r="B2893" i="5"/>
  <c r="A2894" i="5"/>
  <c r="B2894" i="5"/>
  <c r="A2895" i="5"/>
  <c r="B2895" i="5"/>
  <c r="A2896" i="5"/>
  <c r="B2896" i="5"/>
  <c r="A2897" i="5"/>
  <c r="B2897" i="5"/>
  <c r="A2898" i="5"/>
  <c r="B2898" i="5"/>
  <c r="A2899" i="5"/>
  <c r="B2899" i="5"/>
  <c r="A2900" i="5"/>
  <c r="B2900" i="5"/>
  <c r="A2901" i="5"/>
  <c r="B2901" i="5"/>
  <c r="A2902" i="5"/>
  <c r="B2902" i="5"/>
  <c r="A2903" i="5"/>
  <c r="B2903" i="5"/>
  <c r="A2904" i="5"/>
  <c r="B2904" i="5"/>
  <c r="A2905" i="5"/>
  <c r="B2905" i="5"/>
  <c r="A2906" i="5"/>
  <c r="B2906" i="5"/>
  <c r="A2907" i="5"/>
  <c r="B2907" i="5"/>
  <c r="A2908" i="5"/>
  <c r="B2908" i="5"/>
  <c r="A2909" i="5"/>
  <c r="B2909" i="5"/>
  <c r="A2910" i="5"/>
  <c r="B2910" i="5"/>
  <c r="A2911" i="5"/>
  <c r="B2911" i="5"/>
  <c r="A2912" i="5"/>
  <c r="B2912" i="5"/>
  <c r="A2913" i="5"/>
  <c r="B2913" i="5"/>
  <c r="A2914" i="5"/>
  <c r="B2914" i="5"/>
  <c r="A2915" i="5"/>
  <c r="B2915" i="5"/>
  <c r="A2916" i="5"/>
  <c r="B2916" i="5"/>
  <c r="A2917" i="5"/>
  <c r="B2917" i="5"/>
  <c r="A2918" i="5"/>
  <c r="B2918" i="5"/>
  <c r="A2919" i="5"/>
  <c r="B2919" i="5"/>
  <c r="A2920" i="5"/>
  <c r="B2920" i="5"/>
  <c r="A2921" i="5"/>
  <c r="B2921" i="5"/>
  <c r="A2922" i="5"/>
  <c r="B2922" i="5"/>
  <c r="A2923" i="5"/>
  <c r="B2923" i="5"/>
  <c r="A2924" i="5"/>
  <c r="B2924" i="5"/>
  <c r="A2925" i="5"/>
  <c r="B2925" i="5"/>
  <c r="A2926" i="5"/>
  <c r="B2926" i="5"/>
  <c r="A2927" i="5"/>
  <c r="B2927" i="5"/>
  <c r="A2928" i="5"/>
  <c r="B2928" i="5"/>
  <c r="A2929" i="5"/>
  <c r="B2929" i="5"/>
  <c r="A2930" i="5"/>
  <c r="B2930" i="5"/>
  <c r="A2931" i="5"/>
  <c r="B2931" i="5"/>
  <c r="A2932" i="5"/>
  <c r="B2932" i="5"/>
  <c r="A2933" i="5"/>
  <c r="B2933" i="5"/>
  <c r="A2934" i="5"/>
  <c r="B2934" i="5"/>
  <c r="A2935" i="5"/>
  <c r="B2935" i="5"/>
  <c r="A2936" i="5"/>
  <c r="B2936" i="5"/>
  <c r="A2937" i="5"/>
  <c r="B2937" i="5"/>
  <c r="A2938" i="5"/>
  <c r="B2938" i="5"/>
  <c r="A2939" i="5"/>
  <c r="B2939" i="5"/>
  <c r="A2940" i="5"/>
  <c r="B2940" i="5"/>
  <c r="A2941" i="5"/>
  <c r="B2941" i="5"/>
  <c r="A2942" i="5"/>
  <c r="B2942" i="5"/>
  <c r="A2943" i="5"/>
  <c r="B2943" i="5"/>
  <c r="A2944" i="5"/>
  <c r="B2944" i="5"/>
  <c r="A2945" i="5"/>
  <c r="B2945" i="5"/>
  <c r="A2946" i="5"/>
  <c r="B2946" i="5"/>
  <c r="A2947" i="5"/>
  <c r="B2947" i="5"/>
  <c r="A2948" i="5"/>
  <c r="B2948" i="5"/>
  <c r="A2949" i="5"/>
  <c r="B2949" i="5"/>
  <c r="A2950" i="5"/>
  <c r="B2950" i="5"/>
  <c r="A2951" i="5"/>
  <c r="B2951" i="5"/>
  <c r="A2952" i="5"/>
  <c r="B2952" i="5"/>
  <c r="A2953" i="5"/>
  <c r="B2953" i="5"/>
  <c r="A2954" i="5"/>
  <c r="B2954" i="5"/>
  <c r="A2955" i="5"/>
  <c r="B2955" i="5"/>
  <c r="A2956" i="5"/>
  <c r="B2956" i="5"/>
  <c r="A2957" i="5"/>
  <c r="B2957" i="5"/>
  <c r="A2958" i="5"/>
  <c r="B2958" i="5"/>
  <c r="A2959" i="5"/>
  <c r="B2959" i="5"/>
  <c r="A2960" i="5"/>
  <c r="B2960" i="5"/>
  <c r="A2961" i="5"/>
  <c r="B2961" i="5"/>
  <c r="A2962" i="5"/>
  <c r="B2962" i="5"/>
  <c r="A2963" i="5"/>
  <c r="B2963" i="5"/>
  <c r="A2964" i="5"/>
  <c r="B2964" i="5"/>
  <c r="A2965" i="5"/>
  <c r="B2965" i="5"/>
  <c r="A2966" i="5"/>
  <c r="B2966" i="5"/>
  <c r="A2967" i="5"/>
  <c r="B2967" i="5"/>
  <c r="A2968" i="5"/>
  <c r="B2968" i="5"/>
  <c r="A2969" i="5"/>
  <c r="B2969" i="5"/>
  <c r="A2970" i="5"/>
  <c r="B2970" i="5"/>
  <c r="A2971" i="5"/>
  <c r="B2971" i="5"/>
  <c r="A2972" i="5"/>
  <c r="B2972" i="5"/>
  <c r="A2973" i="5"/>
  <c r="B2973" i="5"/>
  <c r="A2974" i="5"/>
  <c r="B2974" i="5"/>
  <c r="A2975" i="5"/>
  <c r="B2975" i="5"/>
  <c r="A2976" i="5"/>
  <c r="B2976" i="5"/>
  <c r="A2977" i="5"/>
  <c r="B2977" i="5"/>
  <c r="A2978" i="5"/>
  <c r="B2978" i="5"/>
  <c r="A2979" i="5"/>
  <c r="B2979" i="5"/>
  <c r="A2980" i="5"/>
  <c r="B2980" i="5"/>
  <c r="A2981" i="5"/>
  <c r="B2981" i="5"/>
  <c r="A2982" i="5"/>
  <c r="B2982" i="5"/>
  <c r="A2983" i="5"/>
  <c r="B2983" i="5"/>
  <c r="A2984" i="5"/>
  <c r="B2984" i="5"/>
  <c r="A2985" i="5"/>
  <c r="B2985" i="5"/>
  <c r="A2986" i="5"/>
  <c r="B2986" i="5"/>
  <c r="A2987" i="5"/>
  <c r="B2987" i="5"/>
  <c r="A2988" i="5"/>
  <c r="B2988" i="5"/>
  <c r="A2989" i="5"/>
  <c r="B2989" i="5"/>
  <c r="A2990" i="5"/>
  <c r="B2990" i="5"/>
  <c r="A2991" i="5"/>
  <c r="B2991" i="5"/>
  <c r="A2992" i="5"/>
  <c r="B2992" i="5"/>
  <c r="A2993" i="5"/>
  <c r="B2993" i="5"/>
  <c r="A2994" i="5"/>
  <c r="B2994" i="5"/>
  <c r="A2995" i="5"/>
  <c r="B2995" i="5"/>
  <c r="A2996" i="5"/>
  <c r="B2996" i="5"/>
  <c r="A2997" i="5"/>
  <c r="B2997" i="5"/>
  <c r="A2998" i="5"/>
  <c r="B2998" i="5"/>
  <c r="A2999" i="5"/>
  <c r="B2999" i="5"/>
  <c r="A3000" i="5"/>
  <c r="B3000" i="5"/>
  <c r="A3001" i="5"/>
  <c r="B3001" i="5"/>
  <c r="A3002" i="5"/>
  <c r="B3002" i="5"/>
  <c r="A3003" i="5"/>
  <c r="B3003" i="5"/>
  <c r="A3004" i="5"/>
  <c r="B3004" i="5"/>
  <c r="A3005" i="5"/>
  <c r="B3005" i="5"/>
  <c r="A3006" i="5"/>
  <c r="B3006" i="5"/>
  <c r="A3007" i="5"/>
  <c r="B3007" i="5"/>
  <c r="A3008" i="5"/>
  <c r="B3008" i="5"/>
  <c r="A3009" i="5"/>
  <c r="B3009" i="5"/>
  <c r="A3010" i="5"/>
  <c r="B3010" i="5"/>
  <c r="A3011" i="5"/>
  <c r="B3011" i="5"/>
  <c r="A3012" i="5"/>
  <c r="B3012" i="5"/>
  <c r="A3013" i="5"/>
  <c r="B3013" i="5"/>
  <c r="A3014" i="5"/>
  <c r="B3014" i="5"/>
  <c r="A3015" i="5"/>
  <c r="B3015" i="5"/>
  <c r="A3016" i="5"/>
  <c r="B3016" i="5"/>
  <c r="A3017" i="5"/>
  <c r="B3017" i="5"/>
  <c r="A3018" i="5"/>
  <c r="B3018" i="5"/>
  <c r="A3019" i="5"/>
  <c r="B3019" i="5"/>
  <c r="A3020" i="5"/>
  <c r="B3020" i="5"/>
  <c r="A3021" i="5"/>
  <c r="B3021" i="5"/>
  <c r="A3022" i="5"/>
  <c r="B3022" i="5"/>
  <c r="A3023" i="5"/>
  <c r="B3023" i="5"/>
  <c r="A3024" i="5"/>
  <c r="B3024" i="5"/>
  <c r="A3025" i="5"/>
  <c r="B3025" i="5"/>
  <c r="A3026" i="5"/>
  <c r="B3026" i="5"/>
  <c r="A3027" i="5"/>
  <c r="B3027" i="5"/>
  <c r="A3028" i="5"/>
  <c r="B3028" i="5"/>
  <c r="A3029" i="5"/>
  <c r="B3029" i="5"/>
  <c r="A3030" i="5"/>
  <c r="B3030" i="5"/>
  <c r="A3031" i="5"/>
  <c r="B3031" i="5"/>
  <c r="A3032" i="5"/>
  <c r="B3032" i="5"/>
  <c r="A3033" i="5"/>
  <c r="B3033" i="5"/>
  <c r="A3034" i="5"/>
  <c r="B3034" i="5"/>
  <c r="A3035" i="5"/>
  <c r="B3035" i="5"/>
  <c r="A3036" i="5"/>
  <c r="B3036" i="5"/>
  <c r="A3037" i="5"/>
  <c r="B3037" i="5"/>
  <c r="A3038" i="5"/>
  <c r="B3038" i="5"/>
  <c r="A3039" i="5"/>
  <c r="B3039" i="5"/>
  <c r="A3040" i="5"/>
  <c r="B3040" i="5"/>
  <c r="A3041" i="5"/>
  <c r="B3041" i="5"/>
  <c r="A3042" i="5"/>
  <c r="B3042" i="5"/>
  <c r="A3043" i="5"/>
  <c r="B3043" i="5"/>
  <c r="A3044" i="5"/>
  <c r="B3044" i="5"/>
  <c r="A3045" i="5"/>
  <c r="B3045" i="5"/>
  <c r="A3046" i="5"/>
  <c r="B3046" i="5"/>
  <c r="A3047" i="5"/>
  <c r="B3047" i="5"/>
  <c r="A3048" i="5"/>
  <c r="B3048" i="5"/>
  <c r="A3049" i="5"/>
  <c r="B3049" i="5"/>
  <c r="A3050" i="5"/>
  <c r="B3050" i="5"/>
  <c r="A3051" i="5"/>
  <c r="B3051" i="5"/>
  <c r="A3052" i="5"/>
  <c r="B3052" i="5"/>
  <c r="A3053" i="5"/>
  <c r="B3053" i="5"/>
  <c r="A3054" i="5"/>
  <c r="B3054" i="5"/>
  <c r="A3055" i="5"/>
  <c r="B3055" i="5"/>
  <c r="A3056" i="5"/>
  <c r="B3056" i="5"/>
  <c r="A3057" i="5"/>
  <c r="B3057" i="5"/>
  <c r="A3058" i="5"/>
  <c r="B3058" i="5"/>
  <c r="A3059" i="5"/>
  <c r="B3059" i="5"/>
  <c r="A3060" i="5"/>
  <c r="B3060" i="5"/>
  <c r="A3061" i="5"/>
  <c r="B3061" i="5"/>
  <c r="A3062" i="5"/>
  <c r="B3062" i="5"/>
  <c r="A3063" i="5"/>
  <c r="B3063" i="5"/>
  <c r="A3064" i="5"/>
  <c r="B3064" i="5"/>
  <c r="A3065" i="5"/>
  <c r="B3065" i="5"/>
  <c r="A3066" i="5"/>
  <c r="B3066" i="5"/>
  <c r="A3067" i="5"/>
  <c r="B3067" i="5"/>
  <c r="A3068" i="5"/>
  <c r="B3068" i="5"/>
  <c r="A3069" i="5"/>
  <c r="B3069" i="5"/>
  <c r="A3070" i="5"/>
  <c r="B3070" i="5"/>
  <c r="A3071" i="5"/>
  <c r="B3071" i="5"/>
  <c r="A3072" i="5"/>
  <c r="B3072" i="5"/>
  <c r="A3073" i="5"/>
  <c r="B3073" i="5"/>
  <c r="A3074" i="5"/>
  <c r="B3074" i="5"/>
  <c r="A3075" i="5"/>
  <c r="B3075" i="5"/>
  <c r="A3076" i="5"/>
  <c r="B3076" i="5"/>
  <c r="A3077" i="5"/>
  <c r="B3077" i="5"/>
  <c r="A3078" i="5"/>
  <c r="B3078" i="5"/>
  <c r="A3079" i="5"/>
  <c r="B3079" i="5"/>
  <c r="A3080" i="5"/>
  <c r="B3080" i="5"/>
  <c r="A3081" i="5"/>
  <c r="B3081" i="5"/>
  <c r="A3082" i="5"/>
  <c r="B3082" i="5"/>
  <c r="A3083" i="5"/>
  <c r="B3083" i="5"/>
  <c r="A3084" i="5"/>
  <c r="B3084" i="5"/>
  <c r="A3085" i="5"/>
  <c r="B3085" i="5"/>
  <c r="A3086" i="5"/>
  <c r="B3086" i="5"/>
  <c r="A3087" i="5"/>
  <c r="B3087" i="5"/>
  <c r="A3088" i="5"/>
  <c r="B3088" i="5"/>
  <c r="A3089" i="5"/>
  <c r="B3089" i="5"/>
  <c r="A3090" i="5"/>
  <c r="B3090" i="5"/>
  <c r="A3091" i="5"/>
  <c r="B3091" i="5"/>
  <c r="A3092" i="5"/>
  <c r="B3092" i="5"/>
  <c r="A3093" i="5"/>
  <c r="B3093" i="5"/>
  <c r="A3094" i="5"/>
  <c r="B3094" i="5"/>
  <c r="A3095" i="5"/>
  <c r="B3095" i="5"/>
  <c r="A3096" i="5"/>
  <c r="B3096" i="5"/>
  <c r="A3097" i="5"/>
  <c r="B3097" i="5"/>
  <c r="A3098" i="5"/>
  <c r="B3098" i="5"/>
  <c r="A3099" i="5"/>
  <c r="B3099" i="5"/>
  <c r="A3100" i="5"/>
  <c r="B3100" i="5"/>
  <c r="A3101" i="5"/>
  <c r="B3101" i="5"/>
  <c r="A3102" i="5"/>
  <c r="B3102" i="5"/>
  <c r="A3103" i="5"/>
  <c r="B3103" i="5"/>
  <c r="A3104" i="5"/>
  <c r="B3104" i="5"/>
  <c r="A3105" i="5"/>
  <c r="B3105" i="5"/>
  <c r="A3106" i="5"/>
  <c r="B3106" i="5"/>
  <c r="A3107" i="5"/>
  <c r="B3107" i="5"/>
  <c r="A3108" i="5"/>
  <c r="B3108" i="5"/>
  <c r="A3109" i="5"/>
  <c r="B3109" i="5"/>
  <c r="A3110" i="5"/>
  <c r="B3110" i="5"/>
  <c r="A3111" i="5"/>
  <c r="B3111" i="5"/>
  <c r="A3112" i="5"/>
  <c r="B3112" i="5"/>
  <c r="A3113" i="5"/>
  <c r="B3113" i="5"/>
  <c r="A3114" i="5"/>
  <c r="B3114" i="5"/>
  <c r="A3115" i="5"/>
  <c r="B3115" i="5"/>
  <c r="A3116" i="5"/>
  <c r="B3116" i="5"/>
  <c r="A3117" i="5"/>
  <c r="B3117" i="5"/>
  <c r="A3118" i="5"/>
  <c r="B3118" i="5"/>
  <c r="A3119" i="5"/>
  <c r="B3119" i="5"/>
  <c r="A3120" i="5"/>
  <c r="B3120" i="5"/>
  <c r="A3121" i="5"/>
  <c r="B3121" i="5"/>
  <c r="A3122" i="5"/>
  <c r="B3122" i="5"/>
  <c r="A3123" i="5"/>
  <c r="B3123" i="5"/>
  <c r="A3124" i="5"/>
  <c r="B3124" i="5"/>
  <c r="A3125" i="5"/>
  <c r="B3125" i="5"/>
  <c r="A3126" i="5"/>
  <c r="B3126" i="5"/>
  <c r="A3127" i="5"/>
  <c r="B3127" i="5"/>
  <c r="A3128" i="5"/>
  <c r="B3128" i="5"/>
  <c r="A3129" i="5"/>
  <c r="B3129" i="5"/>
  <c r="A3130" i="5"/>
  <c r="B3130" i="5"/>
  <c r="A3131" i="5"/>
  <c r="B3131" i="5"/>
  <c r="A3132" i="5"/>
  <c r="B3132" i="5"/>
  <c r="A3133" i="5"/>
  <c r="B3133" i="5"/>
  <c r="A3134" i="5"/>
  <c r="B3134" i="5"/>
  <c r="A3135" i="5"/>
  <c r="B3135" i="5"/>
  <c r="A3136" i="5"/>
  <c r="B3136" i="5"/>
  <c r="A3137" i="5"/>
  <c r="B3137" i="5"/>
  <c r="A3138" i="5"/>
  <c r="B3138" i="5"/>
  <c r="A3139" i="5"/>
  <c r="B3139" i="5"/>
  <c r="A3140" i="5"/>
  <c r="B3140" i="5"/>
  <c r="A3141" i="5"/>
  <c r="B3141" i="5"/>
  <c r="A3142" i="5"/>
  <c r="B3142" i="5"/>
  <c r="A3143" i="5"/>
  <c r="B3143" i="5"/>
  <c r="A3144" i="5"/>
  <c r="B3144" i="5"/>
  <c r="A3145" i="5"/>
  <c r="B3145" i="5"/>
  <c r="A3146" i="5"/>
  <c r="B3146" i="5"/>
  <c r="A3147" i="5"/>
  <c r="B3147" i="5"/>
  <c r="A3148" i="5"/>
  <c r="B3148" i="5"/>
  <c r="A3149" i="5"/>
  <c r="B3149" i="5"/>
  <c r="A3150" i="5"/>
  <c r="B3150" i="5"/>
  <c r="A3151" i="5"/>
  <c r="B3151" i="5"/>
  <c r="A3152" i="5"/>
  <c r="B3152" i="5"/>
  <c r="A3153" i="5"/>
  <c r="B3153" i="5"/>
  <c r="A3154" i="5"/>
  <c r="B3154" i="5"/>
  <c r="A3155" i="5"/>
  <c r="B3155" i="5"/>
  <c r="A3156" i="5"/>
  <c r="B3156" i="5"/>
  <c r="A3157" i="5"/>
  <c r="B3157" i="5"/>
  <c r="A3158" i="5"/>
  <c r="B3158" i="5"/>
  <c r="A3159" i="5"/>
  <c r="B3159" i="5"/>
  <c r="A3160" i="5"/>
  <c r="B3160" i="5"/>
  <c r="A3161" i="5"/>
  <c r="B3161" i="5"/>
  <c r="A3162" i="5"/>
  <c r="B3162" i="5"/>
  <c r="A3163" i="5"/>
  <c r="B3163" i="5"/>
  <c r="A3164" i="5"/>
  <c r="B3164" i="5"/>
  <c r="A3165" i="5"/>
  <c r="B3165" i="5"/>
  <c r="A3166" i="5"/>
  <c r="B3166" i="5"/>
  <c r="A3167" i="5"/>
  <c r="B3167" i="5"/>
  <c r="A3168" i="5"/>
  <c r="B3168" i="5"/>
  <c r="A3169" i="5"/>
  <c r="B3169" i="5"/>
  <c r="A3170" i="5"/>
  <c r="B3170" i="5"/>
  <c r="A3171" i="5"/>
  <c r="B3171" i="5"/>
  <c r="A3172" i="5"/>
  <c r="B3172" i="5"/>
  <c r="A3173" i="5"/>
  <c r="B3173" i="5"/>
  <c r="A3174" i="5"/>
  <c r="B3174" i="5"/>
  <c r="A3175" i="5"/>
  <c r="B3175" i="5"/>
  <c r="A3176" i="5"/>
  <c r="B3176" i="5"/>
  <c r="A3177" i="5"/>
  <c r="B3177" i="5"/>
  <c r="A3178" i="5"/>
  <c r="B3178" i="5"/>
  <c r="A3179" i="5"/>
  <c r="B3179" i="5"/>
  <c r="A3180" i="5"/>
  <c r="B3180" i="5"/>
  <c r="A3181" i="5"/>
  <c r="B3181" i="5"/>
  <c r="A3182" i="5"/>
  <c r="B3182" i="5"/>
  <c r="A3183" i="5"/>
  <c r="B3183" i="5"/>
  <c r="A3184" i="5"/>
  <c r="B3184" i="5"/>
  <c r="A3185" i="5"/>
  <c r="B3185" i="5"/>
  <c r="A3186" i="5"/>
  <c r="B3186" i="5"/>
  <c r="A3187" i="5"/>
  <c r="B3187" i="5"/>
  <c r="A3188" i="5"/>
  <c r="B3188" i="5"/>
  <c r="A3189" i="5"/>
  <c r="B3189" i="5"/>
  <c r="A3190" i="5"/>
  <c r="B3190" i="5"/>
  <c r="A3191" i="5"/>
  <c r="B3191" i="5"/>
  <c r="A3192" i="5"/>
  <c r="B3192" i="5"/>
  <c r="A3193" i="5"/>
  <c r="B3193" i="5"/>
  <c r="A3194" i="5"/>
  <c r="B3194" i="5"/>
  <c r="A3195" i="5"/>
  <c r="B3195" i="5"/>
  <c r="A3196" i="5"/>
  <c r="B3196" i="5"/>
  <c r="A3197" i="5"/>
  <c r="B3197" i="5"/>
  <c r="A3198" i="5"/>
  <c r="B3198" i="5"/>
  <c r="A3199" i="5"/>
  <c r="B3199" i="5"/>
  <c r="A3200" i="5"/>
  <c r="B3200" i="5"/>
  <c r="A3201" i="5"/>
  <c r="B3201" i="5"/>
  <c r="A3202" i="5"/>
  <c r="B3202" i="5"/>
  <c r="A3203" i="5"/>
  <c r="B3203" i="5"/>
  <c r="A3204" i="5"/>
  <c r="B3204" i="5"/>
  <c r="A3205" i="5"/>
  <c r="B3205" i="5"/>
  <c r="A3206" i="5"/>
  <c r="B3206" i="5"/>
  <c r="A3207" i="5"/>
  <c r="B3207" i="5"/>
  <c r="A3208" i="5"/>
  <c r="B3208" i="5"/>
  <c r="A3209" i="5"/>
  <c r="B3209" i="5"/>
  <c r="A3210" i="5"/>
  <c r="B3210" i="5"/>
  <c r="A3211" i="5"/>
  <c r="B3211" i="5"/>
  <c r="A3212" i="5"/>
  <c r="B3212" i="5"/>
  <c r="A3213" i="5"/>
  <c r="B3213" i="5"/>
  <c r="A3214" i="5"/>
  <c r="B3214" i="5"/>
  <c r="A3215" i="5"/>
  <c r="B3215" i="5"/>
  <c r="A3216" i="5"/>
  <c r="B3216" i="5"/>
  <c r="A3217" i="5"/>
  <c r="B3217" i="5"/>
  <c r="A3218" i="5"/>
  <c r="B3218" i="5"/>
  <c r="A3219" i="5"/>
  <c r="B3219" i="5"/>
  <c r="A3220" i="5"/>
  <c r="B3220" i="5"/>
  <c r="A3221" i="5"/>
  <c r="B3221" i="5"/>
  <c r="A3222" i="5"/>
  <c r="B3222" i="5"/>
  <c r="A3223" i="5"/>
  <c r="B3223" i="5"/>
  <c r="A3224" i="5"/>
  <c r="B3224" i="5"/>
  <c r="A3225" i="5"/>
  <c r="B3225" i="5"/>
  <c r="A3226" i="5"/>
  <c r="B3226" i="5"/>
  <c r="A3227" i="5"/>
  <c r="B3227" i="5"/>
  <c r="A3228" i="5"/>
  <c r="B3228" i="5"/>
  <c r="A3229" i="5"/>
  <c r="B3229" i="5"/>
  <c r="A3230" i="5"/>
  <c r="B3230" i="5"/>
  <c r="A3231" i="5"/>
  <c r="B3231" i="5"/>
  <c r="A3232" i="5"/>
  <c r="B3232" i="5"/>
  <c r="A3233" i="5"/>
  <c r="B3233" i="5"/>
  <c r="A3234" i="5"/>
  <c r="B3234" i="5"/>
  <c r="A3235" i="5"/>
  <c r="B3235" i="5"/>
  <c r="A3236" i="5"/>
  <c r="B3236" i="5"/>
  <c r="A3237" i="5"/>
  <c r="B3237" i="5"/>
  <c r="A3238" i="5"/>
  <c r="B3238" i="5"/>
  <c r="A3239" i="5"/>
  <c r="B3239" i="5"/>
  <c r="A3240" i="5"/>
  <c r="B3240" i="5"/>
  <c r="A3241" i="5"/>
  <c r="B3241" i="5"/>
  <c r="A3242" i="5"/>
  <c r="B3242" i="5"/>
  <c r="A3243" i="5"/>
  <c r="B3243" i="5"/>
  <c r="A3244" i="5"/>
  <c r="B3244" i="5"/>
  <c r="A3245" i="5"/>
  <c r="B3245" i="5"/>
  <c r="A3246" i="5"/>
  <c r="B3246" i="5"/>
  <c r="A3247" i="5"/>
  <c r="B3247" i="5"/>
  <c r="A3248" i="5"/>
  <c r="B3248" i="5"/>
  <c r="A3249" i="5"/>
  <c r="B3249" i="5"/>
  <c r="A3250" i="5"/>
  <c r="B3250" i="5"/>
  <c r="A3251" i="5"/>
  <c r="B3251" i="5"/>
  <c r="A3252" i="5"/>
  <c r="B3252" i="5"/>
  <c r="A3253" i="5"/>
  <c r="B3253" i="5"/>
  <c r="A3254" i="5"/>
  <c r="B3254" i="5"/>
  <c r="A3255" i="5"/>
  <c r="B3255" i="5"/>
  <c r="A3256" i="5"/>
  <c r="B3256" i="5"/>
  <c r="A3257" i="5"/>
  <c r="B3257" i="5"/>
  <c r="A3258" i="5"/>
  <c r="B3258" i="5"/>
  <c r="A3259" i="5"/>
  <c r="B3259" i="5"/>
  <c r="A3260" i="5"/>
  <c r="B3260" i="5"/>
  <c r="A3261" i="5"/>
  <c r="B3261" i="5"/>
  <c r="A3262" i="5"/>
  <c r="B3262" i="5"/>
  <c r="A3263" i="5"/>
  <c r="B3263" i="5"/>
  <c r="A3264" i="5"/>
  <c r="B3264" i="5"/>
  <c r="A3265" i="5"/>
  <c r="B3265" i="5"/>
  <c r="A3266" i="5"/>
  <c r="B3266" i="5"/>
  <c r="A3267" i="5"/>
  <c r="B3267" i="5"/>
  <c r="A3268" i="5"/>
  <c r="B3268" i="5"/>
  <c r="A3269" i="5"/>
  <c r="B3269" i="5"/>
  <c r="A3270" i="5"/>
  <c r="B3270" i="5"/>
  <c r="A3271" i="5"/>
  <c r="B3271" i="5"/>
  <c r="A3272" i="5"/>
  <c r="B3272" i="5"/>
  <c r="A3273" i="5"/>
  <c r="B3273" i="5"/>
  <c r="A3274" i="5"/>
  <c r="B3274" i="5"/>
  <c r="A3275" i="5"/>
  <c r="B3275" i="5"/>
  <c r="A3276" i="5"/>
  <c r="B3276" i="5"/>
  <c r="A3277" i="5"/>
  <c r="B3277" i="5"/>
  <c r="A3278" i="5"/>
  <c r="B3278" i="5"/>
  <c r="A3279" i="5"/>
  <c r="B3279" i="5"/>
  <c r="A3280" i="5"/>
  <c r="B3280" i="5"/>
  <c r="A3281" i="5"/>
  <c r="B3281" i="5"/>
  <c r="A3282" i="5"/>
  <c r="B3282" i="5"/>
  <c r="A3283" i="5"/>
  <c r="B3283" i="5"/>
  <c r="A3284" i="5"/>
  <c r="B3284" i="5"/>
  <c r="A3285" i="5"/>
  <c r="B3285" i="5"/>
  <c r="A3286" i="5"/>
  <c r="B3286" i="5"/>
  <c r="A3287" i="5"/>
  <c r="B3287" i="5"/>
  <c r="A3288" i="5"/>
  <c r="B3288" i="5"/>
  <c r="A3289" i="5"/>
  <c r="B3289" i="5"/>
  <c r="A3290" i="5"/>
  <c r="B3290" i="5"/>
  <c r="A3291" i="5"/>
  <c r="B3291" i="5"/>
  <c r="A3292" i="5"/>
  <c r="B3292" i="5"/>
  <c r="A3293" i="5"/>
  <c r="B3293" i="5"/>
  <c r="A3294" i="5"/>
  <c r="B3294" i="5"/>
  <c r="A3295" i="5"/>
  <c r="B3295" i="5"/>
  <c r="A3296" i="5"/>
  <c r="B3296" i="5"/>
  <c r="A3297" i="5"/>
  <c r="B3297" i="5"/>
  <c r="A3298" i="5"/>
  <c r="B3298" i="5"/>
  <c r="A3299" i="5"/>
  <c r="B3299" i="5"/>
  <c r="A3300" i="5"/>
  <c r="B3300" i="5"/>
  <c r="A3301" i="5"/>
  <c r="B3301" i="5"/>
  <c r="A3302" i="5"/>
  <c r="B3302" i="5"/>
  <c r="A3303" i="5"/>
  <c r="B3303" i="5"/>
  <c r="A3304" i="5"/>
  <c r="B3304" i="5"/>
  <c r="A3305" i="5"/>
  <c r="B3305" i="5"/>
  <c r="A3306" i="5"/>
  <c r="B3306" i="5"/>
  <c r="A3307" i="5"/>
  <c r="B3307" i="5"/>
  <c r="A3308" i="5"/>
  <c r="B3308" i="5"/>
  <c r="A3309" i="5"/>
  <c r="B3309" i="5"/>
  <c r="A3310" i="5"/>
  <c r="B3310" i="5"/>
  <c r="A3311" i="5"/>
  <c r="B3311" i="5"/>
  <c r="A3312" i="5"/>
  <c r="B3312" i="5"/>
  <c r="A3313" i="5"/>
  <c r="B3313" i="5"/>
  <c r="A3314" i="5"/>
  <c r="B3314" i="5"/>
  <c r="A3315" i="5"/>
  <c r="B3315" i="5"/>
  <c r="A3316" i="5"/>
  <c r="B3316" i="5"/>
  <c r="A3317" i="5"/>
  <c r="B3317" i="5"/>
  <c r="A3318" i="5"/>
  <c r="B3318" i="5"/>
  <c r="A3319" i="5"/>
  <c r="B3319" i="5"/>
  <c r="A3320" i="5"/>
  <c r="B3320" i="5"/>
  <c r="A3321" i="5"/>
  <c r="B3321" i="5"/>
  <c r="A3322" i="5"/>
  <c r="B3322" i="5"/>
  <c r="A3323" i="5"/>
  <c r="B3323" i="5"/>
  <c r="A3324" i="5"/>
  <c r="B3324" i="5"/>
  <c r="A3325" i="5"/>
  <c r="B3325" i="5"/>
  <c r="A3326" i="5"/>
  <c r="B3326" i="5"/>
  <c r="A3327" i="5"/>
  <c r="B3327" i="5"/>
  <c r="A3328" i="5"/>
  <c r="B3328" i="5"/>
  <c r="A3329" i="5"/>
  <c r="B3329" i="5"/>
  <c r="A3330" i="5"/>
  <c r="B3330" i="5"/>
  <c r="A3331" i="5"/>
  <c r="B3331" i="5"/>
  <c r="A3332" i="5"/>
  <c r="B3332" i="5"/>
  <c r="A3333" i="5"/>
  <c r="B3333" i="5"/>
  <c r="A3334" i="5"/>
  <c r="B3334" i="5"/>
  <c r="A3335" i="5"/>
  <c r="B3335" i="5"/>
  <c r="A3336" i="5"/>
  <c r="B3336" i="5"/>
  <c r="A3337" i="5"/>
  <c r="B3337" i="5"/>
  <c r="A3338" i="5"/>
  <c r="B3338" i="5"/>
  <c r="A3339" i="5"/>
  <c r="B3339" i="5"/>
  <c r="A3340" i="5"/>
  <c r="B3340" i="5"/>
  <c r="A3341" i="5"/>
  <c r="B3341" i="5"/>
  <c r="A3342" i="5"/>
  <c r="B3342" i="5"/>
  <c r="A3343" i="5"/>
  <c r="B3343" i="5"/>
  <c r="A3344" i="5"/>
  <c r="B3344" i="5"/>
  <c r="A3345" i="5"/>
  <c r="B3345" i="5"/>
  <c r="A3346" i="5"/>
  <c r="B3346" i="5"/>
  <c r="A3347" i="5"/>
  <c r="B3347" i="5"/>
  <c r="A3348" i="5"/>
  <c r="B3348" i="5"/>
  <c r="A3349" i="5"/>
  <c r="B3349" i="5"/>
  <c r="A3350" i="5"/>
  <c r="B3350" i="5"/>
  <c r="A3351" i="5"/>
  <c r="B3351" i="5"/>
  <c r="A3352" i="5"/>
  <c r="B3352" i="5"/>
  <c r="A3353" i="5"/>
  <c r="B3353" i="5"/>
  <c r="A3354" i="5"/>
  <c r="B3354" i="5"/>
  <c r="A3355" i="5"/>
  <c r="B3355" i="5"/>
  <c r="A3356" i="5"/>
  <c r="B3356" i="5"/>
  <c r="A3357" i="5"/>
  <c r="B3357" i="5"/>
  <c r="A3358" i="5"/>
  <c r="B3358" i="5"/>
  <c r="A3359" i="5"/>
  <c r="B3359" i="5"/>
  <c r="A3360" i="5"/>
  <c r="B3360" i="5"/>
  <c r="A3361" i="5"/>
  <c r="B3361" i="5"/>
  <c r="A3362" i="5"/>
  <c r="B3362" i="5"/>
  <c r="A3363" i="5"/>
  <c r="B3363" i="5"/>
  <c r="A3364" i="5"/>
  <c r="B3364" i="5"/>
  <c r="A3365" i="5"/>
  <c r="B3365" i="5"/>
  <c r="A3366" i="5"/>
  <c r="B3366" i="5"/>
  <c r="A3367" i="5"/>
  <c r="B3367" i="5"/>
  <c r="A3368" i="5"/>
  <c r="B3368" i="5"/>
  <c r="A3369" i="5"/>
  <c r="B3369" i="5"/>
  <c r="A3370" i="5"/>
  <c r="B3370" i="5"/>
  <c r="A3371" i="5"/>
  <c r="B3371" i="5"/>
  <c r="A3372" i="5"/>
  <c r="B3372" i="5"/>
  <c r="A3373" i="5"/>
  <c r="B3373" i="5"/>
  <c r="A3374" i="5"/>
  <c r="B3374" i="5"/>
  <c r="A3375" i="5"/>
  <c r="B3375" i="5"/>
  <c r="A3376" i="5"/>
  <c r="B3376" i="5"/>
  <c r="A3377" i="5"/>
  <c r="B3377" i="5"/>
  <c r="A3378" i="5"/>
  <c r="B3378" i="5"/>
  <c r="A3379" i="5"/>
  <c r="B3379" i="5"/>
  <c r="A3380" i="5"/>
  <c r="B3380" i="5"/>
  <c r="A3381" i="5"/>
  <c r="B3381" i="5"/>
  <c r="A3382" i="5"/>
  <c r="B3382" i="5"/>
  <c r="A3383" i="5"/>
  <c r="B3383" i="5"/>
  <c r="A3384" i="5"/>
  <c r="B3384" i="5"/>
  <c r="A3385" i="5"/>
  <c r="B3385" i="5"/>
  <c r="A3386" i="5"/>
  <c r="B3386" i="5"/>
  <c r="A3387" i="5"/>
  <c r="B3387" i="5"/>
  <c r="A3388" i="5"/>
  <c r="B3388" i="5"/>
  <c r="A3389" i="5"/>
  <c r="B3389" i="5"/>
  <c r="A3390" i="5"/>
  <c r="B3390" i="5"/>
  <c r="A3391" i="5"/>
  <c r="B3391" i="5"/>
  <c r="A3392" i="5"/>
  <c r="B3392" i="5"/>
  <c r="A3393" i="5"/>
  <c r="B3393" i="5"/>
  <c r="A3394" i="5"/>
  <c r="B3394" i="5"/>
  <c r="A3395" i="5"/>
  <c r="B3395" i="5"/>
  <c r="A3396" i="5"/>
  <c r="B3396" i="5"/>
  <c r="A3397" i="5"/>
  <c r="B3397" i="5"/>
  <c r="A3398" i="5"/>
  <c r="B3398" i="5"/>
  <c r="A3399" i="5"/>
  <c r="B3399" i="5"/>
  <c r="A3400" i="5"/>
  <c r="B3400" i="5"/>
  <c r="A3401" i="5"/>
  <c r="B3401" i="5"/>
  <c r="A3402" i="5"/>
  <c r="B3402" i="5"/>
  <c r="A3403" i="5"/>
  <c r="B3403" i="5"/>
  <c r="A3404" i="5"/>
  <c r="B3404" i="5"/>
  <c r="A3405" i="5"/>
  <c r="B3405" i="5"/>
  <c r="A3406" i="5"/>
  <c r="B3406" i="5"/>
  <c r="A3407" i="5"/>
  <c r="B3407" i="5"/>
  <c r="A3408" i="5"/>
  <c r="B3408" i="5"/>
  <c r="A3409" i="5"/>
  <c r="B3409" i="5"/>
  <c r="A3410" i="5"/>
  <c r="B3410" i="5"/>
  <c r="A3411" i="5"/>
  <c r="B3411" i="5"/>
  <c r="A3412" i="5"/>
  <c r="B3412" i="5"/>
  <c r="A3413" i="5"/>
  <c r="B3413" i="5"/>
  <c r="A3414" i="5"/>
  <c r="B3414" i="5"/>
  <c r="A3415" i="5"/>
  <c r="B3415" i="5"/>
  <c r="A3416" i="5"/>
  <c r="B3416" i="5"/>
  <c r="A3417" i="5"/>
  <c r="B3417" i="5"/>
  <c r="A3418" i="5"/>
  <c r="B3418" i="5"/>
  <c r="A3419" i="5"/>
  <c r="B3419" i="5"/>
  <c r="A3420" i="5"/>
  <c r="B3420" i="5"/>
  <c r="A3421" i="5"/>
  <c r="B3421" i="5"/>
  <c r="A3422" i="5"/>
  <c r="B3422" i="5"/>
  <c r="A3423" i="5"/>
  <c r="B3423" i="5"/>
  <c r="A3424" i="5"/>
  <c r="B3424" i="5"/>
  <c r="A3425" i="5"/>
  <c r="B3425" i="5"/>
  <c r="A3426" i="5"/>
  <c r="B3426" i="5"/>
  <c r="A3427" i="5"/>
  <c r="B3427" i="5"/>
  <c r="A3428" i="5"/>
  <c r="B3428" i="5"/>
  <c r="A3429" i="5"/>
  <c r="B3429" i="5"/>
  <c r="A3430" i="5"/>
  <c r="B3430" i="5"/>
  <c r="A3431" i="5"/>
  <c r="B3431" i="5"/>
  <c r="A3432" i="5"/>
  <c r="B3432" i="5"/>
  <c r="A3433" i="5"/>
  <c r="B3433" i="5"/>
  <c r="A3434" i="5"/>
  <c r="B3434" i="5"/>
  <c r="A3435" i="5"/>
  <c r="B3435" i="5"/>
  <c r="A3436" i="5"/>
  <c r="B3436" i="5"/>
  <c r="A3437" i="5"/>
  <c r="B3437" i="5"/>
  <c r="A3438" i="5"/>
  <c r="B3438" i="5"/>
  <c r="A3439" i="5"/>
  <c r="B3439" i="5"/>
  <c r="A3440" i="5"/>
  <c r="B3440" i="5"/>
  <c r="A3441" i="5"/>
  <c r="B3441" i="5"/>
  <c r="A3442" i="5"/>
  <c r="B3442" i="5"/>
  <c r="A3443" i="5"/>
  <c r="B3443" i="5"/>
  <c r="A3444" i="5"/>
  <c r="B3444" i="5"/>
  <c r="A3445" i="5"/>
  <c r="B3445" i="5"/>
  <c r="A3446" i="5"/>
  <c r="B3446" i="5"/>
  <c r="A3447" i="5"/>
  <c r="B3447" i="5"/>
  <c r="A3448" i="5"/>
  <c r="B3448" i="5"/>
  <c r="A3449" i="5"/>
  <c r="B3449" i="5"/>
  <c r="A3450" i="5"/>
  <c r="B3450" i="5"/>
  <c r="A3451" i="5"/>
  <c r="B3451" i="5"/>
  <c r="A3452" i="5"/>
  <c r="B3452" i="5"/>
  <c r="A3453" i="5"/>
  <c r="B3453" i="5"/>
  <c r="A3454" i="5"/>
  <c r="B3454" i="5"/>
  <c r="A3455" i="5"/>
  <c r="B3455" i="5"/>
  <c r="A3456" i="5"/>
  <c r="B3456" i="5"/>
  <c r="A3457" i="5"/>
  <c r="B3457" i="5"/>
  <c r="A3458" i="5"/>
  <c r="B3458" i="5"/>
  <c r="A3459" i="5"/>
  <c r="B3459" i="5"/>
  <c r="A3460" i="5"/>
  <c r="B3460" i="5"/>
  <c r="A3461" i="5"/>
  <c r="B3461" i="5"/>
  <c r="A3462" i="5"/>
  <c r="B3462" i="5"/>
  <c r="A3463" i="5"/>
  <c r="B3463" i="5"/>
  <c r="A3464" i="5"/>
  <c r="B3464" i="5"/>
  <c r="A3465" i="5"/>
  <c r="B3465" i="5"/>
  <c r="A3466" i="5"/>
  <c r="B3466" i="5"/>
  <c r="A3467" i="5"/>
  <c r="B3467" i="5"/>
  <c r="A3468" i="5"/>
  <c r="B3468" i="5"/>
  <c r="A3469" i="5"/>
  <c r="B3469" i="5"/>
  <c r="A3470" i="5"/>
  <c r="B3470" i="5"/>
  <c r="A3471" i="5"/>
  <c r="B3471" i="5"/>
  <c r="A3472" i="5"/>
  <c r="B3472" i="5"/>
  <c r="A3473" i="5"/>
  <c r="B3473" i="5"/>
  <c r="A3474" i="5"/>
  <c r="B3474" i="5"/>
  <c r="A3475" i="5"/>
  <c r="B3475" i="5"/>
  <c r="A3476" i="5"/>
  <c r="B3476" i="5"/>
  <c r="A3477" i="5"/>
  <c r="B3477" i="5"/>
  <c r="A3478" i="5"/>
  <c r="B3478" i="5"/>
  <c r="A3479" i="5"/>
  <c r="B3479" i="5"/>
  <c r="A3480" i="5"/>
  <c r="B3480" i="5"/>
  <c r="A3481" i="5"/>
  <c r="B3481" i="5"/>
  <c r="A3482" i="5"/>
  <c r="B3482" i="5"/>
  <c r="A3483" i="5"/>
  <c r="B3483" i="5"/>
  <c r="A3484" i="5"/>
  <c r="B3484" i="5"/>
  <c r="A3485" i="5"/>
  <c r="B3485" i="5"/>
  <c r="A3486" i="5"/>
  <c r="B3486" i="5"/>
  <c r="A3487" i="5"/>
  <c r="B3487" i="5"/>
  <c r="A3488" i="5"/>
  <c r="B3488" i="5"/>
  <c r="A3489" i="5"/>
  <c r="B3489" i="5"/>
  <c r="A3490" i="5"/>
  <c r="B3490" i="5"/>
  <c r="A3491" i="5"/>
  <c r="B3491" i="5"/>
  <c r="A3492" i="5"/>
  <c r="B3492" i="5"/>
  <c r="A3493" i="5"/>
  <c r="B3493" i="5"/>
  <c r="A3494" i="5"/>
  <c r="B3494" i="5"/>
  <c r="A3495" i="5"/>
  <c r="B3495" i="5"/>
  <c r="A3496" i="5"/>
  <c r="B3496" i="5"/>
  <c r="A3497" i="5"/>
  <c r="B3497" i="5"/>
  <c r="A3498" i="5"/>
  <c r="B3498" i="5"/>
  <c r="A3499" i="5"/>
  <c r="B3499" i="5"/>
  <c r="A3500" i="5"/>
  <c r="B3500" i="5"/>
  <c r="A3501" i="5"/>
  <c r="B3501" i="5"/>
  <c r="A3502" i="5"/>
  <c r="B3502" i="5"/>
  <c r="A3503" i="5"/>
  <c r="B3503" i="5"/>
  <c r="A3504" i="5"/>
  <c r="B3504" i="5"/>
  <c r="A3505" i="5"/>
  <c r="B3505" i="5"/>
  <c r="A3506" i="5"/>
  <c r="B3506" i="5"/>
  <c r="A3507" i="5"/>
  <c r="B3507" i="5"/>
  <c r="A3508" i="5"/>
  <c r="B3508" i="5"/>
  <c r="A3509" i="5"/>
  <c r="B3509" i="5"/>
  <c r="A3510" i="5"/>
  <c r="B3510" i="5"/>
  <c r="A3511" i="5"/>
  <c r="B3511" i="5"/>
  <c r="A3512" i="5"/>
  <c r="B3512" i="5"/>
  <c r="A3513" i="5"/>
  <c r="B3513" i="5"/>
  <c r="A3514" i="5"/>
  <c r="B3514" i="5"/>
  <c r="A3515" i="5"/>
  <c r="B3515" i="5"/>
  <c r="A3516" i="5"/>
  <c r="B3516" i="5"/>
  <c r="A3517" i="5"/>
  <c r="B3517" i="5"/>
  <c r="A3518" i="5"/>
  <c r="B3518" i="5"/>
  <c r="A3519" i="5"/>
  <c r="B3519" i="5"/>
  <c r="A3520" i="5"/>
  <c r="B3520" i="5"/>
  <c r="A3521" i="5"/>
  <c r="B3521" i="5"/>
  <c r="A3522" i="5"/>
  <c r="B3522" i="5"/>
  <c r="A3523" i="5"/>
  <c r="B3523" i="5"/>
  <c r="A3524" i="5"/>
  <c r="B3524" i="5"/>
  <c r="A3525" i="5"/>
  <c r="B3525" i="5"/>
  <c r="A3526" i="5"/>
  <c r="B3526" i="5"/>
  <c r="A3527" i="5"/>
  <c r="B3527" i="5"/>
  <c r="A3528" i="5"/>
  <c r="B3528" i="5"/>
  <c r="A3529" i="5"/>
  <c r="B3529" i="5"/>
  <c r="A3530" i="5"/>
  <c r="B3530" i="5"/>
  <c r="A3531" i="5"/>
  <c r="B3531" i="5"/>
  <c r="A3532" i="5"/>
  <c r="B3532" i="5"/>
  <c r="A3533" i="5"/>
  <c r="B3533" i="5"/>
  <c r="A3534" i="5"/>
  <c r="B3534" i="5"/>
  <c r="A3535" i="5"/>
  <c r="B3535" i="5"/>
  <c r="A3536" i="5"/>
  <c r="B3536" i="5"/>
  <c r="A3537" i="5"/>
  <c r="B3537" i="5"/>
  <c r="A3538" i="5"/>
  <c r="B3538" i="5"/>
  <c r="A3539" i="5"/>
  <c r="B3539" i="5"/>
  <c r="A3540" i="5"/>
  <c r="B3540" i="5"/>
  <c r="A3541" i="5"/>
  <c r="B3541" i="5"/>
  <c r="A3542" i="5"/>
  <c r="B3542" i="5"/>
  <c r="A3543" i="5"/>
  <c r="B3543" i="5"/>
  <c r="A3544" i="5"/>
  <c r="B3544" i="5"/>
  <c r="A3545" i="5"/>
  <c r="B3545" i="5"/>
  <c r="A3546" i="5"/>
  <c r="B3546" i="5"/>
  <c r="A3547" i="5"/>
  <c r="B3547" i="5"/>
  <c r="A3548" i="5"/>
  <c r="B3548" i="5"/>
  <c r="A3549" i="5"/>
  <c r="B3549" i="5"/>
  <c r="A3550" i="5"/>
  <c r="B3550" i="5"/>
  <c r="A3551" i="5"/>
  <c r="B3551" i="5"/>
  <c r="A3552" i="5"/>
  <c r="B3552" i="5"/>
  <c r="A3553" i="5"/>
  <c r="B3553" i="5"/>
  <c r="A3554" i="5"/>
  <c r="B3554" i="5"/>
  <c r="A3555" i="5"/>
  <c r="B3555" i="5"/>
  <c r="A3556" i="5"/>
  <c r="B3556" i="5"/>
  <c r="A3557" i="5"/>
  <c r="B3557" i="5"/>
  <c r="A3558" i="5"/>
  <c r="B3558" i="5"/>
  <c r="A3559" i="5"/>
  <c r="B3559" i="5"/>
  <c r="A3560" i="5"/>
  <c r="B3560" i="5"/>
  <c r="A3561" i="5"/>
  <c r="B3561" i="5"/>
  <c r="A3562" i="5"/>
  <c r="B3562" i="5"/>
  <c r="A3563" i="5"/>
  <c r="B3563" i="5"/>
  <c r="A3564" i="5"/>
  <c r="B3564" i="5"/>
  <c r="A3565" i="5"/>
  <c r="B3565" i="5"/>
  <c r="A3566" i="5"/>
  <c r="B3566" i="5"/>
  <c r="A3567" i="5"/>
  <c r="B3567" i="5"/>
  <c r="A3568" i="5"/>
  <c r="B3568" i="5"/>
  <c r="A3569" i="5"/>
  <c r="B3569" i="5"/>
  <c r="A3570" i="5"/>
  <c r="B3570" i="5"/>
  <c r="A3571" i="5"/>
  <c r="B3571" i="5"/>
  <c r="A3572" i="5"/>
  <c r="B3572" i="5"/>
  <c r="A3573" i="5"/>
  <c r="B3573" i="5"/>
  <c r="A3574" i="5"/>
  <c r="B3574" i="5"/>
  <c r="A3575" i="5"/>
  <c r="B3575" i="5"/>
  <c r="A3576" i="5"/>
  <c r="B3576" i="5"/>
  <c r="A3577" i="5"/>
  <c r="B3577" i="5"/>
  <c r="A3578" i="5"/>
  <c r="B3578" i="5"/>
  <c r="A3579" i="5"/>
  <c r="B3579" i="5"/>
  <c r="A3580" i="5"/>
  <c r="B3580" i="5"/>
  <c r="A3581" i="5"/>
  <c r="B3581" i="5"/>
  <c r="A3582" i="5"/>
  <c r="B3582" i="5"/>
  <c r="A3583" i="5"/>
  <c r="B3583" i="5"/>
  <c r="A3584" i="5"/>
  <c r="B3584" i="5"/>
  <c r="A3585" i="5"/>
  <c r="B3585" i="5"/>
  <c r="A3586" i="5"/>
  <c r="B3586" i="5"/>
  <c r="A3587" i="5"/>
  <c r="B3587" i="5"/>
  <c r="A3588" i="5"/>
  <c r="B3588" i="5"/>
  <c r="A3589" i="5"/>
  <c r="B3589" i="5"/>
  <c r="A3590" i="5"/>
  <c r="B3590" i="5"/>
  <c r="A3591" i="5"/>
  <c r="B3591" i="5"/>
  <c r="A3592" i="5"/>
  <c r="B3592" i="5"/>
  <c r="A3593" i="5"/>
  <c r="B3593" i="5"/>
  <c r="A3594" i="5"/>
  <c r="B3594" i="5"/>
  <c r="A3595" i="5"/>
  <c r="B3595" i="5"/>
  <c r="A3596" i="5"/>
  <c r="B3596" i="5"/>
  <c r="A3597" i="5"/>
  <c r="B3597" i="5"/>
  <c r="A3598" i="5"/>
  <c r="B3598" i="5"/>
  <c r="A3599" i="5"/>
  <c r="B3599" i="5"/>
  <c r="A3600" i="5"/>
  <c r="B3600" i="5"/>
  <c r="A3601" i="5"/>
  <c r="B3601" i="5"/>
  <c r="A3602" i="5"/>
  <c r="B3602" i="5"/>
  <c r="A3603" i="5"/>
  <c r="B3603" i="5"/>
  <c r="A3604" i="5"/>
  <c r="B3604" i="5"/>
  <c r="A3605" i="5"/>
  <c r="B3605" i="5"/>
  <c r="A3606" i="5"/>
  <c r="B3606" i="5"/>
  <c r="A3607" i="5"/>
  <c r="B3607" i="5"/>
  <c r="A3608" i="5"/>
  <c r="B3608" i="5"/>
  <c r="A3609" i="5"/>
  <c r="B3609" i="5"/>
  <c r="A3610" i="5"/>
  <c r="B3610" i="5"/>
  <c r="A3611" i="5"/>
  <c r="B3611" i="5"/>
  <c r="A3612" i="5"/>
  <c r="B3612" i="5"/>
  <c r="A3613" i="5"/>
  <c r="B3613" i="5"/>
  <c r="A3614" i="5"/>
  <c r="B3614" i="5"/>
  <c r="A3615" i="5"/>
  <c r="B3615" i="5"/>
  <c r="A3616" i="5"/>
  <c r="B3616" i="5"/>
  <c r="A3617" i="5"/>
  <c r="B3617" i="5"/>
  <c r="A3618" i="5"/>
  <c r="B3618" i="5"/>
  <c r="A3619" i="5"/>
  <c r="B3619" i="5"/>
  <c r="A3620" i="5"/>
  <c r="B3620" i="5"/>
  <c r="A3621" i="5"/>
  <c r="B3621" i="5"/>
  <c r="A3622" i="5"/>
  <c r="B3622" i="5"/>
  <c r="A3623" i="5"/>
  <c r="B3623" i="5"/>
  <c r="A3624" i="5"/>
  <c r="B3624" i="5"/>
  <c r="A3625" i="5"/>
  <c r="B3625" i="5"/>
  <c r="A3626" i="5"/>
  <c r="B3626" i="5"/>
  <c r="A3627" i="5"/>
  <c r="B3627" i="5"/>
  <c r="A3628" i="5"/>
  <c r="B3628" i="5"/>
  <c r="A3629" i="5"/>
  <c r="B3629" i="5"/>
  <c r="A3630" i="5"/>
  <c r="B3630" i="5"/>
  <c r="A3631" i="5"/>
  <c r="B3631" i="5"/>
  <c r="A3632" i="5"/>
  <c r="B3632" i="5"/>
  <c r="A3633" i="5"/>
  <c r="B3633" i="5"/>
  <c r="A3634" i="5"/>
  <c r="B3634" i="5"/>
  <c r="A3635" i="5"/>
  <c r="B3635" i="5"/>
  <c r="A3636" i="5"/>
  <c r="B3636" i="5"/>
  <c r="A3637" i="5"/>
  <c r="B3637" i="5"/>
  <c r="A3638" i="5"/>
  <c r="B3638" i="5"/>
  <c r="A3639" i="5"/>
  <c r="B3639" i="5"/>
  <c r="A3640" i="5"/>
  <c r="B3640" i="5"/>
  <c r="A3641" i="5"/>
  <c r="B3641" i="5"/>
  <c r="A3642" i="5"/>
  <c r="B3642" i="5"/>
  <c r="A3643" i="5"/>
  <c r="B3643" i="5"/>
  <c r="A3644" i="5"/>
  <c r="B3644" i="5"/>
  <c r="A3645" i="5"/>
  <c r="B3645" i="5"/>
  <c r="A3646" i="5"/>
  <c r="B3646" i="5"/>
  <c r="A3647" i="5"/>
  <c r="B3647" i="5"/>
  <c r="A3648" i="5"/>
  <c r="B3648" i="5"/>
  <c r="A3649" i="5"/>
  <c r="B3649" i="5"/>
  <c r="A3650" i="5"/>
  <c r="B3650" i="5"/>
  <c r="A3651" i="5"/>
  <c r="B3651" i="5"/>
  <c r="A3652" i="5"/>
  <c r="B3652" i="5"/>
  <c r="A3653" i="5"/>
  <c r="B3653" i="5"/>
  <c r="A3654" i="5"/>
  <c r="B3654" i="5"/>
  <c r="A3655" i="5"/>
  <c r="B3655" i="5"/>
  <c r="A3656" i="5"/>
  <c r="B3656" i="5"/>
  <c r="A3657" i="5"/>
  <c r="B3657" i="5"/>
  <c r="A3658" i="5"/>
  <c r="B3658" i="5"/>
  <c r="A3659" i="5"/>
  <c r="B3659" i="5"/>
  <c r="A3660" i="5"/>
  <c r="B3660" i="5"/>
  <c r="A3661" i="5"/>
  <c r="B3661" i="5"/>
  <c r="A3662" i="5"/>
  <c r="B3662" i="5"/>
  <c r="A3663" i="5"/>
  <c r="B3663" i="5"/>
  <c r="A3664" i="5"/>
  <c r="B3664" i="5"/>
  <c r="A3665" i="5"/>
  <c r="B3665" i="5"/>
  <c r="A3666" i="5"/>
  <c r="B3666" i="5"/>
  <c r="A3667" i="5"/>
  <c r="B3667" i="5"/>
  <c r="A3668" i="5"/>
  <c r="B3668" i="5"/>
  <c r="A3669" i="5"/>
  <c r="B3669" i="5"/>
  <c r="A3670" i="5"/>
  <c r="B3670" i="5"/>
  <c r="A3671" i="5"/>
  <c r="B3671" i="5"/>
  <c r="A3672" i="5"/>
  <c r="B3672" i="5"/>
  <c r="A3673" i="5"/>
  <c r="B3673" i="5"/>
  <c r="A3674" i="5"/>
  <c r="B3674" i="5"/>
  <c r="A3675" i="5"/>
  <c r="B3675" i="5"/>
  <c r="A3676" i="5"/>
  <c r="B3676" i="5"/>
  <c r="A3677" i="5"/>
  <c r="B3677" i="5"/>
  <c r="A3678" i="5"/>
  <c r="B3678" i="5"/>
  <c r="A3679" i="5"/>
  <c r="B3679" i="5"/>
  <c r="A3680" i="5"/>
  <c r="B3680" i="5"/>
  <c r="A3681" i="5"/>
  <c r="B3681" i="5"/>
  <c r="A3682" i="5"/>
  <c r="B3682" i="5"/>
  <c r="A3683" i="5"/>
  <c r="B3683" i="5"/>
  <c r="A3684" i="5"/>
  <c r="B3684" i="5"/>
  <c r="A3685" i="5"/>
  <c r="B3685" i="5"/>
  <c r="A3686" i="5"/>
  <c r="B3686" i="5"/>
  <c r="A3687" i="5"/>
  <c r="B3687" i="5"/>
  <c r="A3688" i="5"/>
  <c r="B3688" i="5"/>
  <c r="A3689" i="5"/>
  <c r="B3689" i="5"/>
  <c r="A3690" i="5"/>
  <c r="B3690" i="5"/>
  <c r="A3691" i="5"/>
  <c r="B3691" i="5"/>
  <c r="A3692" i="5"/>
  <c r="B3692" i="5"/>
  <c r="A3693" i="5"/>
  <c r="B3693" i="5"/>
  <c r="A3694" i="5"/>
  <c r="B3694" i="5"/>
  <c r="A3695" i="5"/>
  <c r="B3695" i="5"/>
  <c r="A3696" i="5"/>
  <c r="B3696" i="5"/>
  <c r="A3697" i="5"/>
  <c r="B3697" i="5"/>
  <c r="A3698" i="5"/>
  <c r="B3698" i="5"/>
  <c r="A3699" i="5"/>
  <c r="B3699" i="5"/>
  <c r="A3700" i="5"/>
  <c r="B3700" i="5"/>
  <c r="A3701" i="5"/>
  <c r="B3701" i="5"/>
  <c r="A3702" i="5"/>
  <c r="B3702" i="5"/>
  <c r="A3703" i="5"/>
  <c r="B3703" i="5"/>
  <c r="A3704" i="5"/>
  <c r="B3704" i="5"/>
  <c r="A3705" i="5"/>
  <c r="B3705" i="5"/>
  <c r="A3706" i="5"/>
  <c r="B3706" i="5"/>
  <c r="A3707" i="5"/>
  <c r="B3707" i="5"/>
  <c r="A3708" i="5"/>
  <c r="B3708" i="5"/>
  <c r="A3709" i="5"/>
  <c r="B3709" i="5"/>
  <c r="A3710" i="5"/>
  <c r="B3710" i="5"/>
  <c r="A3711" i="5"/>
  <c r="B3711" i="5"/>
  <c r="A3712" i="5"/>
  <c r="B3712" i="5"/>
  <c r="A3713" i="5"/>
  <c r="B3713" i="5"/>
  <c r="A3714" i="5"/>
  <c r="B3714" i="5"/>
  <c r="A3715" i="5"/>
  <c r="B3715" i="5"/>
  <c r="A3716" i="5"/>
  <c r="B3716" i="5"/>
  <c r="A3717" i="5"/>
  <c r="B3717" i="5"/>
  <c r="A3718" i="5"/>
  <c r="B3718" i="5"/>
  <c r="A3719" i="5"/>
  <c r="B3719" i="5"/>
  <c r="A3720" i="5"/>
  <c r="B3720" i="5"/>
  <c r="A3721" i="5"/>
  <c r="B3721" i="5"/>
  <c r="A3722" i="5"/>
  <c r="B3722" i="5"/>
  <c r="A3723" i="5"/>
  <c r="B3723" i="5"/>
  <c r="A3724" i="5"/>
  <c r="B3724" i="5"/>
  <c r="A3725" i="5"/>
  <c r="B3725" i="5"/>
  <c r="A3726" i="5"/>
  <c r="B3726" i="5"/>
  <c r="A3727" i="5"/>
  <c r="B3727" i="5"/>
  <c r="A3728" i="5"/>
  <c r="B3728" i="5"/>
  <c r="A3729" i="5"/>
  <c r="B3729" i="5"/>
  <c r="A3730" i="5"/>
  <c r="B3730" i="5"/>
  <c r="A3731" i="5"/>
  <c r="B3731" i="5"/>
  <c r="A3732" i="5"/>
  <c r="B3732" i="5"/>
  <c r="A3733" i="5"/>
  <c r="B3733" i="5"/>
  <c r="A3734" i="5"/>
  <c r="B3734" i="5"/>
  <c r="A3735" i="5"/>
  <c r="B3735" i="5"/>
  <c r="A3736" i="5"/>
  <c r="B3736" i="5"/>
  <c r="A3737" i="5"/>
  <c r="B3737" i="5"/>
  <c r="A3738" i="5"/>
  <c r="B3738" i="5"/>
  <c r="A3739" i="5"/>
  <c r="B3739" i="5"/>
  <c r="A3740" i="5"/>
  <c r="B3740" i="5"/>
  <c r="A3741" i="5"/>
  <c r="B3741" i="5"/>
  <c r="A3742" i="5"/>
  <c r="B3742" i="5"/>
  <c r="A3743" i="5"/>
  <c r="B3743" i="5"/>
  <c r="A3744" i="5"/>
  <c r="B3744" i="5"/>
  <c r="A3745" i="5"/>
  <c r="B3745" i="5"/>
  <c r="A3746" i="5"/>
  <c r="B3746" i="5"/>
  <c r="A3747" i="5"/>
  <c r="B3747" i="5"/>
  <c r="A3748" i="5"/>
  <c r="B3748" i="5"/>
  <c r="A3749" i="5"/>
  <c r="B3749" i="5"/>
  <c r="A3750" i="5"/>
  <c r="B3750" i="5"/>
  <c r="A3751" i="5"/>
  <c r="B3751" i="5"/>
  <c r="A3752" i="5"/>
  <c r="B3752" i="5"/>
  <c r="A3753" i="5"/>
  <c r="B3753" i="5"/>
  <c r="A3754" i="5"/>
  <c r="B3754" i="5"/>
  <c r="A3755" i="5"/>
  <c r="B3755" i="5"/>
  <c r="A3756" i="5"/>
  <c r="B3756" i="5"/>
  <c r="A3757" i="5"/>
  <c r="B3757" i="5"/>
  <c r="A3758" i="5"/>
  <c r="B3758" i="5"/>
  <c r="A3759" i="5"/>
  <c r="B3759" i="5"/>
  <c r="A3760" i="5"/>
  <c r="B3760" i="5"/>
  <c r="A3761" i="5"/>
  <c r="B3761" i="5"/>
  <c r="A3762" i="5"/>
  <c r="B3762" i="5"/>
  <c r="A3763" i="5"/>
  <c r="B3763" i="5"/>
  <c r="A3764" i="5"/>
  <c r="B3764" i="5"/>
  <c r="A3765" i="5"/>
  <c r="B3765" i="5"/>
  <c r="A3766" i="5"/>
  <c r="B3766" i="5"/>
  <c r="A3767" i="5"/>
  <c r="B3767" i="5"/>
  <c r="A3768" i="5"/>
  <c r="B3768" i="5"/>
  <c r="A3769" i="5"/>
  <c r="B3769" i="5"/>
  <c r="A3770" i="5"/>
  <c r="B3770" i="5"/>
  <c r="A3771" i="5"/>
  <c r="B3771" i="5"/>
  <c r="A3772" i="5"/>
  <c r="B3772" i="5"/>
  <c r="A3773" i="5"/>
  <c r="B3773" i="5"/>
  <c r="A3774" i="5"/>
  <c r="B3774" i="5"/>
  <c r="A3775" i="5"/>
  <c r="B3775" i="5"/>
  <c r="A3776" i="5"/>
  <c r="B3776" i="5"/>
  <c r="A3777" i="5"/>
  <c r="B3777" i="5"/>
  <c r="A3778" i="5"/>
  <c r="B3778" i="5"/>
  <c r="A3779" i="5"/>
  <c r="B3779" i="5"/>
  <c r="A3780" i="5"/>
  <c r="B3780" i="5"/>
  <c r="A3781" i="5"/>
  <c r="B3781" i="5"/>
  <c r="A3782" i="5"/>
  <c r="B3782" i="5"/>
  <c r="A3783" i="5"/>
  <c r="B3783" i="5"/>
  <c r="A3784" i="5"/>
  <c r="B3784" i="5"/>
  <c r="A3785" i="5"/>
  <c r="B3785" i="5"/>
  <c r="A3786" i="5"/>
  <c r="B3786" i="5"/>
  <c r="A3787" i="5"/>
  <c r="B3787" i="5"/>
  <c r="A3788" i="5"/>
  <c r="B3788" i="5"/>
  <c r="A3789" i="5"/>
  <c r="B3789" i="5"/>
  <c r="A3790" i="5"/>
  <c r="B3790" i="5"/>
  <c r="A3791" i="5"/>
  <c r="B3791" i="5"/>
  <c r="A3792" i="5"/>
  <c r="B3792" i="5"/>
  <c r="A3793" i="5"/>
  <c r="B3793" i="5"/>
  <c r="A3794" i="5"/>
  <c r="B3794" i="5"/>
  <c r="A3795" i="5"/>
  <c r="B3795" i="5"/>
  <c r="A3796" i="5"/>
  <c r="B3796" i="5"/>
  <c r="A3797" i="5"/>
  <c r="B3797" i="5"/>
  <c r="A3798" i="5"/>
  <c r="B3798" i="5"/>
  <c r="A3799" i="5"/>
  <c r="B3799" i="5"/>
  <c r="A3800" i="5"/>
  <c r="B3800" i="5"/>
  <c r="A3801" i="5"/>
  <c r="B3801" i="5"/>
  <c r="A3802" i="5"/>
  <c r="B3802" i="5"/>
  <c r="A3803" i="5"/>
  <c r="B3803" i="5"/>
  <c r="A3804" i="5"/>
  <c r="B3804" i="5"/>
  <c r="A3805" i="5"/>
  <c r="B3805" i="5"/>
  <c r="A3806" i="5"/>
  <c r="B3806" i="5"/>
  <c r="A3807" i="5"/>
  <c r="B3807" i="5"/>
  <c r="A3808" i="5"/>
  <c r="B3808" i="5"/>
  <c r="A3809" i="5"/>
  <c r="B3809" i="5"/>
  <c r="A3810" i="5"/>
  <c r="B3810" i="5"/>
  <c r="A3811" i="5"/>
  <c r="B3811" i="5"/>
  <c r="A3812" i="5"/>
  <c r="B3812" i="5"/>
  <c r="A3813" i="5"/>
  <c r="B3813" i="5"/>
  <c r="A3814" i="5"/>
  <c r="B3814" i="5"/>
  <c r="A3815" i="5"/>
  <c r="B3815" i="5"/>
  <c r="A3816" i="5"/>
  <c r="B3816" i="5"/>
  <c r="A3817" i="5"/>
  <c r="B3817" i="5"/>
  <c r="A3818" i="5"/>
  <c r="B3818" i="5"/>
  <c r="A3819" i="5"/>
  <c r="B3819" i="5"/>
  <c r="A3820" i="5"/>
  <c r="B3820" i="5"/>
  <c r="A3821" i="5"/>
  <c r="B3821" i="5"/>
  <c r="A3822" i="5"/>
  <c r="B3822" i="5"/>
  <c r="A3823" i="5"/>
  <c r="B3823" i="5"/>
  <c r="A3824" i="5"/>
  <c r="B3824" i="5"/>
  <c r="A3825" i="5"/>
  <c r="B3825" i="5"/>
  <c r="A3826" i="5"/>
  <c r="B3826" i="5"/>
  <c r="A3827" i="5"/>
  <c r="B3827" i="5"/>
  <c r="A3828" i="5"/>
  <c r="B3828" i="5"/>
  <c r="A3829" i="5"/>
  <c r="B3829" i="5"/>
  <c r="A3830" i="5"/>
  <c r="B3830" i="5"/>
  <c r="A3831" i="5"/>
  <c r="B3831" i="5"/>
  <c r="A3832" i="5"/>
  <c r="B3832" i="5"/>
  <c r="A3833" i="5"/>
  <c r="B3833" i="5"/>
  <c r="A3834" i="5"/>
  <c r="B3834" i="5"/>
  <c r="A3835" i="5"/>
  <c r="B3835" i="5"/>
  <c r="A3836" i="5"/>
  <c r="B3836" i="5"/>
  <c r="A3837" i="5"/>
  <c r="B3837" i="5"/>
  <c r="A3838" i="5"/>
  <c r="B3838" i="5"/>
  <c r="A3839" i="5"/>
  <c r="B3839" i="5"/>
  <c r="A3840" i="5"/>
  <c r="B3840" i="5"/>
  <c r="A3841" i="5"/>
  <c r="B3841" i="5"/>
  <c r="A3842" i="5"/>
  <c r="B3842" i="5"/>
  <c r="A3843" i="5"/>
  <c r="B3843" i="5"/>
  <c r="A3844" i="5"/>
  <c r="B3844" i="5"/>
  <c r="A3845" i="5"/>
  <c r="B3845" i="5"/>
  <c r="A3846" i="5"/>
  <c r="B3846" i="5"/>
  <c r="A3847" i="5"/>
  <c r="B3847" i="5"/>
  <c r="A3848" i="5"/>
  <c r="B3848" i="5"/>
  <c r="A3849" i="5"/>
  <c r="B3849" i="5"/>
  <c r="A3850" i="5"/>
  <c r="B3850" i="5"/>
  <c r="A3851" i="5"/>
  <c r="B3851" i="5"/>
  <c r="A3852" i="5"/>
  <c r="B3852" i="5"/>
  <c r="A3853" i="5"/>
  <c r="B3853" i="5"/>
  <c r="A3854" i="5"/>
  <c r="B3854" i="5"/>
  <c r="A3855" i="5"/>
  <c r="B3855" i="5"/>
  <c r="A3856" i="5"/>
  <c r="B3856" i="5"/>
  <c r="A3857" i="5"/>
  <c r="B3857" i="5"/>
  <c r="A3858" i="5"/>
  <c r="B3858" i="5"/>
  <c r="A3859" i="5"/>
  <c r="B3859" i="5"/>
  <c r="A3860" i="5"/>
  <c r="B3860" i="5"/>
  <c r="A3861" i="5"/>
  <c r="B3861" i="5"/>
  <c r="A3862" i="5"/>
  <c r="B3862" i="5"/>
  <c r="A3863" i="5"/>
  <c r="B3863" i="5"/>
  <c r="A3864" i="5"/>
  <c r="B3864" i="5"/>
  <c r="A3865" i="5"/>
  <c r="B3865" i="5"/>
  <c r="A3866" i="5"/>
  <c r="B3866" i="5"/>
  <c r="A3867" i="5"/>
  <c r="B3867" i="5"/>
  <c r="A3868" i="5"/>
  <c r="B3868" i="5"/>
  <c r="A3869" i="5"/>
  <c r="B3869" i="5"/>
  <c r="A3870" i="5"/>
  <c r="B3870" i="5"/>
  <c r="A3871" i="5"/>
  <c r="B3871" i="5"/>
  <c r="A3872" i="5"/>
  <c r="B3872" i="5"/>
  <c r="A3873" i="5"/>
  <c r="B3873" i="5"/>
  <c r="A3874" i="5"/>
  <c r="B3874" i="5"/>
  <c r="A3875" i="5"/>
  <c r="B3875" i="5"/>
  <c r="A3876" i="5"/>
  <c r="B3876" i="5"/>
  <c r="A3877" i="5"/>
  <c r="B3877" i="5"/>
  <c r="A3878" i="5"/>
  <c r="B3878" i="5"/>
  <c r="A3879" i="5"/>
  <c r="B3879" i="5"/>
  <c r="A3880" i="5"/>
  <c r="B3880" i="5"/>
  <c r="A3881" i="5"/>
  <c r="B3881" i="5"/>
  <c r="A3882" i="5"/>
  <c r="B3882" i="5"/>
  <c r="A3883" i="5"/>
  <c r="B3883" i="5"/>
  <c r="A3884" i="5"/>
  <c r="B3884" i="5"/>
  <c r="A3885" i="5"/>
  <c r="B3885" i="5"/>
  <c r="A3886" i="5"/>
  <c r="B3886" i="5"/>
  <c r="A3887" i="5"/>
  <c r="B3887" i="5"/>
  <c r="A3888" i="5"/>
  <c r="B3888" i="5"/>
  <c r="A3889" i="5"/>
  <c r="B3889" i="5"/>
  <c r="A3890" i="5"/>
  <c r="B3890" i="5"/>
  <c r="A3891" i="5"/>
  <c r="B3891" i="5"/>
  <c r="A3892" i="5"/>
  <c r="B3892" i="5"/>
  <c r="A3893" i="5"/>
  <c r="B3893" i="5"/>
  <c r="A3894" i="5"/>
  <c r="B3894" i="5"/>
  <c r="A3895" i="5"/>
  <c r="B3895" i="5"/>
  <c r="A3896" i="5"/>
  <c r="B3896" i="5"/>
  <c r="A3897" i="5"/>
  <c r="B3897" i="5"/>
  <c r="A3898" i="5"/>
  <c r="B3898" i="5"/>
  <c r="A3899" i="5"/>
  <c r="B3899" i="5"/>
  <c r="A3900" i="5"/>
  <c r="B3900" i="5"/>
  <c r="A3901" i="5"/>
  <c r="B3901" i="5"/>
  <c r="A3902" i="5"/>
  <c r="B3902" i="5"/>
  <c r="A3903" i="5"/>
  <c r="B3903" i="5"/>
  <c r="A3904" i="5"/>
  <c r="B3904" i="5"/>
  <c r="A3905" i="5"/>
  <c r="B3905" i="5"/>
  <c r="A3906" i="5"/>
  <c r="B3906" i="5"/>
  <c r="A3907" i="5"/>
  <c r="B3907" i="5"/>
  <c r="A3908" i="5"/>
  <c r="B3908" i="5"/>
  <c r="A3909" i="5"/>
  <c r="B3909" i="5"/>
  <c r="A3910" i="5"/>
  <c r="B3910" i="5"/>
  <c r="A3911" i="5"/>
  <c r="B3911" i="5"/>
  <c r="A3912" i="5"/>
  <c r="B3912" i="5"/>
  <c r="A3913" i="5"/>
  <c r="B3913" i="5"/>
  <c r="A3914" i="5"/>
  <c r="B3914" i="5"/>
  <c r="A3915" i="5"/>
  <c r="B3915" i="5"/>
  <c r="A3916" i="5"/>
  <c r="B3916" i="5"/>
  <c r="A3917" i="5"/>
  <c r="B3917" i="5"/>
  <c r="A3918" i="5"/>
  <c r="B3918" i="5"/>
  <c r="A3919" i="5"/>
  <c r="B3919" i="5"/>
  <c r="A3920" i="5"/>
  <c r="B3920" i="5"/>
  <c r="A3921" i="5"/>
  <c r="B3921" i="5"/>
  <c r="A3922" i="5"/>
  <c r="B3922" i="5"/>
  <c r="A3923" i="5"/>
  <c r="B3923" i="5"/>
  <c r="A3924" i="5"/>
  <c r="B3924" i="5"/>
  <c r="A3925" i="5"/>
  <c r="B3925" i="5"/>
  <c r="A3926" i="5"/>
  <c r="B3926" i="5"/>
  <c r="A3927" i="5"/>
  <c r="B3927" i="5"/>
  <c r="A3928" i="5"/>
  <c r="B3928" i="5"/>
  <c r="A3929" i="5"/>
  <c r="B3929" i="5"/>
  <c r="A3930" i="5"/>
  <c r="B3930" i="5"/>
  <c r="A3931" i="5"/>
  <c r="B3931" i="5"/>
  <c r="A3932" i="5"/>
  <c r="B3932" i="5"/>
  <c r="A3933" i="5"/>
  <c r="B3933" i="5"/>
  <c r="A3934" i="5"/>
  <c r="B3934" i="5"/>
  <c r="A3935" i="5"/>
  <c r="B3935" i="5"/>
  <c r="A3936" i="5"/>
  <c r="B3936" i="5"/>
  <c r="A3937" i="5"/>
  <c r="B3937" i="5"/>
  <c r="A3938" i="5"/>
  <c r="B3938" i="5"/>
  <c r="A3939" i="5"/>
  <c r="B3939" i="5"/>
  <c r="A3940" i="5"/>
  <c r="B3940" i="5"/>
  <c r="A3941" i="5"/>
  <c r="B3941" i="5"/>
  <c r="A3942" i="5"/>
  <c r="B3942" i="5"/>
  <c r="A3943" i="5"/>
  <c r="B3943" i="5"/>
  <c r="A3944" i="5"/>
  <c r="B3944" i="5"/>
  <c r="A3945" i="5"/>
  <c r="B3945" i="5"/>
  <c r="A3946" i="5"/>
  <c r="B3946" i="5"/>
  <c r="A3947" i="5"/>
  <c r="B3947" i="5"/>
  <c r="A3948" i="5"/>
  <c r="B3948" i="5"/>
  <c r="A3949" i="5"/>
  <c r="B3949" i="5"/>
  <c r="A3950" i="5"/>
  <c r="B3950" i="5"/>
  <c r="A3951" i="5"/>
  <c r="B3951" i="5"/>
  <c r="A3952" i="5"/>
  <c r="B3952" i="5"/>
  <c r="A3953" i="5"/>
  <c r="B3953" i="5"/>
  <c r="A3954" i="5"/>
  <c r="B3954" i="5"/>
  <c r="A3955" i="5"/>
  <c r="B3955" i="5"/>
  <c r="A3956" i="5"/>
  <c r="B3956" i="5"/>
  <c r="A3957" i="5"/>
  <c r="B3957" i="5"/>
  <c r="A3958" i="5"/>
  <c r="B3958" i="5"/>
  <c r="A3959" i="5"/>
  <c r="B3959" i="5"/>
  <c r="A3960" i="5"/>
  <c r="B3960" i="5"/>
  <c r="A3961" i="5"/>
  <c r="B3961" i="5"/>
  <c r="A3962" i="5"/>
  <c r="B3962" i="5"/>
  <c r="A3963" i="5"/>
  <c r="B3963" i="5"/>
  <c r="A3964" i="5"/>
  <c r="B3964" i="5"/>
  <c r="A3965" i="5"/>
  <c r="B3965" i="5"/>
  <c r="A3966" i="5"/>
  <c r="B3966" i="5"/>
  <c r="A3967" i="5"/>
  <c r="B3967" i="5"/>
  <c r="A3968" i="5"/>
  <c r="B3968" i="5"/>
  <c r="A3969" i="5"/>
  <c r="B3969" i="5"/>
  <c r="A3970" i="5"/>
  <c r="B3970" i="5"/>
  <c r="A3971" i="5"/>
  <c r="B3971" i="5"/>
  <c r="A3972" i="5"/>
  <c r="B3972" i="5"/>
  <c r="A3973" i="5"/>
  <c r="B3973" i="5"/>
  <c r="A3974" i="5"/>
  <c r="B3974" i="5"/>
  <c r="A3975" i="5"/>
  <c r="B3975" i="5"/>
  <c r="A3976" i="5"/>
  <c r="B3976" i="5"/>
  <c r="A3977" i="5"/>
  <c r="B3977" i="5"/>
  <c r="A3978" i="5"/>
  <c r="B3978" i="5"/>
  <c r="A3979" i="5"/>
  <c r="B3979" i="5"/>
  <c r="A3980" i="5"/>
  <c r="B3980" i="5"/>
  <c r="A3981" i="5"/>
  <c r="B3981" i="5"/>
  <c r="A3982" i="5"/>
  <c r="B3982" i="5"/>
  <c r="A3983" i="5"/>
  <c r="B3983" i="5"/>
  <c r="A3984" i="5"/>
  <c r="B3984" i="5"/>
  <c r="A3985" i="5"/>
  <c r="B3985" i="5"/>
  <c r="A3986" i="5"/>
  <c r="B3986" i="5"/>
  <c r="A3987" i="5"/>
  <c r="B3987" i="5"/>
  <c r="A3988" i="5"/>
  <c r="B3988" i="5"/>
  <c r="A3989" i="5"/>
  <c r="B3989" i="5"/>
  <c r="A3990" i="5"/>
  <c r="B3990" i="5"/>
  <c r="A3991" i="5"/>
  <c r="B3991" i="5"/>
  <c r="A3992" i="5"/>
  <c r="B3992" i="5"/>
  <c r="A3993" i="5"/>
  <c r="B3993" i="5"/>
  <c r="A3994" i="5"/>
  <c r="B3994" i="5"/>
  <c r="A3995" i="5"/>
  <c r="B3995" i="5"/>
  <c r="A3996" i="5"/>
  <c r="B3996" i="5"/>
  <c r="A3997" i="5"/>
  <c r="B3997" i="5"/>
  <c r="A3998" i="5"/>
  <c r="B3998" i="5"/>
  <c r="A3999" i="5"/>
  <c r="B3999" i="5"/>
  <c r="A4000" i="5"/>
  <c r="B4000" i="5"/>
  <c r="A4001" i="5"/>
  <c r="B4001" i="5"/>
  <c r="A4002" i="5"/>
  <c r="B4002" i="5"/>
  <c r="A4003" i="5"/>
  <c r="B4003" i="5"/>
  <c r="A4004" i="5"/>
  <c r="B4004" i="5"/>
  <c r="A4005" i="5"/>
  <c r="B4005" i="5"/>
  <c r="A4006" i="5"/>
  <c r="B4006" i="5"/>
  <c r="A4007" i="5"/>
  <c r="B4007" i="5"/>
  <c r="A4008" i="5"/>
  <c r="B4008" i="5"/>
  <c r="A4009" i="5"/>
  <c r="B4009" i="5"/>
  <c r="A4010" i="5"/>
  <c r="B4010" i="5"/>
  <c r="A4011" i="5"/>
  <c r="B4011" i="5"/>
  <c r="A4012" i="5"/>
  <c r="B4012" i="5"/>
  <c r="A4013" i="5"/>
  <c r="B4013" i="5"/>
  <c r="A4014" i="5"/>
  <c r="B4014" i="5"/>
  <c r="A4015" i="5"/>
  <c r="B4015" i="5"/>
  <c r="A4016" i="5"/>
  <c r="B4016" i="5"/>
  <c r="A4017" i="5"/>
  <c r="B4017" i="5"/>
  <c r="A4018" i="5"/>
  <c r="B4018" i="5"/>
  <c r="A4019" i="5"/>
  <c r="B4019" i="5"/>
  <c r="A4020" i="5"/>
  <c r="B4020" i="5"/>
  <c r="A4021" i="5"/>
  <c r="B4021" i="5"/>
  <c r="A4022" i="5"/>
  <c r="B4022" i="5"/>
  <c r="A4023" i="5"/>
  <c r="B4023" i="5"/>
  <c r="A4024" i="5"/>
  <c r="B4024" i="5"/>
  <c r="A4025" i="5"/>
  <c r="B4025" i="5"/>
  <c r="A4026" i="5"/>
  <c r="B4026" i="5"/>
  <c r="A4027" i="5"/>
  <c r="B4027" i="5"/>
  <c r="A4028" i="5"/>
  <c r="B4028" i="5"/>
  <c r="A4029" i="5"/>
  <c r="B4029" i="5"/>
  <c r="A4030" i="5"/>
  <c r="B4030" i="5"/>
  <c r="A4031" i="5"/>
  <c r="B4031" i="5"/>
  <c r="A4032" i="5"/>
  <c r="B4032" i="5"/>
  <c r="A4033" i="5"/>
  <c r="B4033" i="5"/>
  <c r="A4034" i="5"/>
  <c r="B4034" i="5"/>
  <c r="A4035" i="5"/>
  <c r="B4035" i="5"/>
  <c r="A4036" i="5"/>
  <c r="B4036" i="5"/>
  <c r="A4037" i="5"/>
  <c r="B4037" i="5"/>
  <c r="A4038" i="5"/>
  <c r="B4038" i="5"/>
  <c r="A4039" i="5"/>
  <c r="B4039" i="5"/>
  <c r="A4040" i="5"/>
  <c r="B4040" i="5"/>
  <c r="A4041" i="5"/>
  <c r="B4041" i="5"/>
  <c r="A4042" i="5"/>
  <c r="B4042" i="5"/>
  <c r="A4043" i="5"/>
  <c r="B4043" i="5"/>
  <c r="A4044" i="5"/>
  <c r="B4044" i="5"/>
  <c r="A4045" i="5"/>
  <c r="B4045" i="5"/>
  <c r="A4046" i="5"/>
  <c r="B4046" i="5"/>
  <c r="A4047" i="5"/>
  <c r="B4047" i="5"/>
  <c r="A4048" i="5"/>
  <c r="B4048" i="5"/>
  <c r="A4049" i="5"/>
  <c r="B4049" i="5"/>
  <c r="A4050" i="5"/>
  <c r="B4050" i="5"/>
  <c r="A4051" i="5"/>
  <c r="B4051" i="5"/>
  <c r="A4052" i="5"/>
  <c r="B4052" i="5"/>
  <c r="A4053" i="5"/>
  <c r="B4053" i="5"/>
  <c r="A4054" i="5"/>
  <c r="B4054" i="5"/>
  <c r="A4055" i="5"/>
  <c r="B4055" i="5"/>
  <c r="A4056" i="5"/>
  <c r="B4056" i="5"/>
  <c r="A4057" i="5"/>
  <c r="B4057" i="5"/>
  <c r="A4058" i="5"/>
  <c r="B4058" i="5"/>
  <c r="A4059" i="5"/>
  <c r="B4059" i="5"/>
  <c r="A4060" i="5"/>
  <c r="B4060" i="5"/>
  <c r="A4061" i="5"/>
  <c r="B4061" i="5"/>
  <c r="A4062" i="5"/>
  <c r="B4062" i="5"/>
  <c r="A4063" i="5"/>
  <c r="B4063" i="5"/>
  <c r="A4064" i="5"/>
  <c r="B4064" i="5"/>
  <c r="A4065" i="5"/>
  <c r="B4065" i="5"/>
  <c r="A4066" i="5"/>
  <c r="B4066" i="5"/>
  <c r="A4067" i="5"/>
  <c r="B4067" i="5"/>
  <c r="A4068" i="5"/>
  <c r="B4068" i="5"/>
  <c r="A4069" i="5"/>
  <c r="B4069" i="5"/>
  <c r="A4070" i="5"/>
  <c r="B4070" i="5"/>
  <c r="A4071" i="5"/>
  <c r="B4071" i="5"/>
  <c r="A4072" i="5"/>
  <c r="B4072" i="5"/>
  <c r="A4073" i="5"/>
  <c r="B4073" i="5"/>
  <c r="A4074" i="5"/>
  <c r="B4074" i="5"/>
  <c r="A4075" i="5"/>
  <c r="B4075" i="5"/>
  <c r="A4076" i="5"/>
  <c r="B4076" i="5"/>
  <c r="A4077" i="5"/>
  <c r="B4077" i="5"/>
  <c r="A4078" i="5"/>
  <c r="B4078" i="5"/>
  <c r="A4079" i="5"/>
  <c r="B4079" i="5"/>
  <c r="A4080" i="5"/>
  <c r="B4080" i="5"/>
  <c r="A4081" i="5"/>
  <c r="B4081" i="5"/>
  <c r="A4082" i="5"/>
  <c r="B4082" i="5"/>
  <c r="A4083" i="5"/>
  <c r="B4083" i="5"/>
  <c r="A4084" i="5"/>
  <c r="B4084" i="5"/>
  <c r="A4085" i="5"/>
  <c r="B4085" i="5"/>
  <c r="A4086" i="5"/>
  <c r="B4086" i="5"/>
  <c r="A4087" i="5"/>
  <c r="B4087" i="5"/>
  <c r="A4088" i="5"/>
  <c r="B4088" i="5"/>
  <c r="A4089" i="5"/>
  <c r="B4089" i="5"/>
  <c r="A4090" i="5"/>
  <c r="B4090" i="5"/>
  <c r="A4091" i="5"/>
  <c r="B4091" i="5"/>
  <c r="A4092" i="5"/>
  <c r="B4092" i="5"/>
  <c r="A4093" i="5"/>
  <c r="B4093" i="5"/>
  <c r="A4094" i="5"/>
  <c r="B4094" i="5"/>
  <c r="A4095" i="5"/>
  <c r="B4095" i="5"/>
  <c r="A4096" i="5"/>
  <c r="B4096" i="5"/>
  <c r="A4097" i="5"/>
  <c r="B4097" i="5"/>
  <c r="A4098" i="5"/>
  <c r="B4098" i="5"/>
  <c r="A4099" i="5"/>
  <c r="B4099" i="5"/>
  <c r="A4100" i="5"/>
  <c r="B4100" i="5"/>
  <c r="A4101" i="5"/>
  <c r="B4101" i="5"/>
  <c r="A4102" i="5"/>
  <c r="B4102" i="5"/>
  <c r="A4103" i="5"/>
  <c r="B4103" i="5"/>
  <c r="A4104" i="5"/>
  <c r="B4104" i="5"/>
  <c r="A4105" i="5"/>
  <c r="B4105" i="5"/>
  <c r="A4106" i="5"/>
  <c r="B4106" i="5"/>
  <c r="A4107" i="5"/>
  <c r="B4107" i="5"/>
  <c r="A4108" i="5"/>
  <c r="B4108" i="5"/>
  <c r="A4109" i="5"/>
  <c r="B4109" i="5"/>
  <c r="A4110" i="5"/>
  <c r="B4110" i="5"/>
  <c r="A4111" i="5"/>
  <c r="B4111" i="5"/>
  <c r="A4112" i="5"/>
  <c r="B4112" i="5"/>
  <c r="A4113" i="5"/>
  <c r="B4113" i="5"/>
  <c r="A4114" i="5"/>
  <c r="B4114" i="5"/>
  <c r="A4115" i="5"/>
  <c r="B4115" i="5"/>
  <c r="A4116" i="5"/>
  <c r="B4116" i="5"/>
  <c r="A4117" i="5"/>
  <c r="B4117" i="5"/>
  <c r="A4118" i="5"/>
  <c r="B4118" i="5"/>
  <c r="A4119" i="5"/>
  <c r="B4119" i="5"/>
  <c r="A4120" i="5"/>
  <c r="B4120" i="5"/>
  <c r="A4121" i="5"/>
  <c r="B4121" i="5"/>
  <c r="A4122" i="5"/>
  <c r="B4122" i="5"/>
  <c r="A4123" i="5"/>
  <c r="B4123" i="5"/>
  <c r="A4124" i="5"/>
  <c r="B4124" i="5"/>
  <c r="A4125" i="5"/>
  <c r="B4125" i="5"/>
  <c r="A4126" i="5"/>
  <c r="B4126" i="5"/>
  <c r="A4127" i="5"/>
  <c r="B4127" i="5"/>
  <c r="A4128" i="5"/>
  <c r="B4128" i="5"/>
  <c r="A4129" i="5"/>
  <c r="B4129" i="5"/>
  <c r="A4130" i="5"/>
  <c r="B4130" i="5"/>
  <c r="A4131" i="5"/>
  <c r="B4131" i="5"/>
  <c r="A4132" i="5"/>
  <c r="B4132" i="5"/>
  <c r="A4133" i="5"/>
  <c r="B4133" i="5"/>
  <c r="A4134" i="5"/>
  <c r="B4134" i="5"/>
  <c r="A4135" i="5"/>
  <c r="B4135" i="5"/>
  <c r="A4136" i="5"/>
  <c r="B4136" i="5"/>
  <c r="A4137" i="5"/>
  <c r="B4137" i="5"/>
  <c r="A4138" i="5"/>
  <c r="B4138" i="5"/>
  <c r="A4139" i="5"/>
  <c r="B4139" i="5"/>
  <c r="A4140" i="5"/>
  <c r="B4140" i="5"/>
  <c r="A4141" i="5"/>
  <c r="B4141" i="5"/>
  <c r="A4142" i="5"/>
  <c r="B4142" i="5"/>
  <c r="A4143" i="5"/>
  <c r="B4143" i="5"/>
  <c r="A4144" i="5"/>
  <c r="B4144" i="5"/>
  <c r="A4145" i="5"/>
  <c r="B4145" i="5"/>
  <c r="A4146" i="5"/>
  <c r="B4146" i="5"/>
  <c r="A4147" i="5"/>
  <c r="B4147" i="5"/>
  <c r="A4148" i="5"/>
  <c r="B4148" i="5"/>
  <c r="A4149" i="5"/>
  <c r="B4149" i="5"/>
  <c r="A4150" i="5"/>
  <c r="B4150" i="5"/>
  <c r="A4151" i="5"/>
  <c r="B4151" i="5"/>
  <c r="A4152" i="5"/>
  <c r="B4152" i="5"/>
  <c r="A4153" i="5"/>
  <c r="B4153" i="5"/>
  <c r="A4154" i="5"/>
  <c r="B4154" i="5"/>
  <c r="A4155" i="5"/>
  <c r="B4155" i="5"/>
  <c r="A4156" i="5"/>
  <c r="B4156" i="5"/>
  <c r="A4157" i="5"/>
  <c r="B4157" i="5"/>
  <c r="A4158" i="5"/>
  <c r="B4158" i="5"/>
  <c r="A4159" i="5"/>
  <c r="B4159" i="5"/>
  <c r="A4160" i="5"/>
  <c r="B4160" i="5"/>
  <c r="A4161" i="5"/>
  <c r="B4161" i="5"/>
  <c r="A4162" i="5"/>
  <c r="B4162" i="5"/>
  <c r="A4163" i="5"/>
  <c r="B4163" i="5"/>
  <c r="A4164" i="5"/>
  <c r="B4164" i="5"/>
  <c r="A4165" i="5"/>
  <c r="B4165" i="5"/>
  <c r="A4166" i="5"/>
  <c r="B4166" i="5"/>
  <c r="A4167" i="5"/>
  <c r="B4167" i="5"/>
  <c r="A4168" i="5"/>
  <c r="B4168" i="5"/>
  <c r="A4169" i="5"/>
  <c r="B4169" i="5"/>
  <c r="A4170" i="5"/>
  <c r="B4170" i="5"/>
  <c r="A4171" i="5"/>
  <c r="B4171" i="5"/>
  <c r="A4172" i="5"/>
  <c r="B4172" i="5"/>
  <c r="A4173" i="5"/>
  <c r="B4173" i="5"/>
  <c r="A4174" i="5"/>
  <c r="B4174" i="5"/>
  <c r="A4175" i="5"/>
  <c r="B4175" i="5"/>
  <c r="A4176" i="5"/>
  <c r="B4176" i="5"/>
  <c r="A4177" i="5"/>
  <c r="B4177" i="5"/>
  <c r="A4178" i="5"/>
  <c r="B4178" i="5"/>
  <c r="A4179" i="5"/>
  <c r="B4179" i="5"/>
  <c r="A4180" i="5"/>
  <c r="B4180" i="5"/>
  <c r="A4181" i="5"/>
  <c r="B4181" i="5"/>
  <c r="A4182" i="5"/>
  <c r="B4182" i="5"/>
  <c r="A4183" i="5"/>
  <c r="B4183" i="5"/>
  <c r="A4184" i="5"/>
  <c r="B4184" i="5"/>
  <c r="A4185" i="5"/>
  <c r="B4185" i="5"/>
  <c r="A4186" i="5"/>
  <c r="B4186" i="5"/>
  <c r="A4187" i="5"/>
  <c r="B4187" i="5"/>
  <c r="A4188" i="5"/>
  <c r="B4188" i="5"/>
  <c r="A4189" i="5"/>
  <c r="B4189" i="5"/>
  <c r="A4190" i="5"/>
  <c r="B4190" i="5"/>
  <c r="A4191" i="5"/>
  <c r="B4191" i="5"/>
  <c r="A4192" i="5"/>
  <c r="B4192" i="5"/>
  <c r="A4193" i="5"/>
  <c r="B4193" i="5"/>
  <c r="A4194" i="5"/>
  <c r="B4194" i="5"/>
  <c r="A4195" i="5"/>
  <c r="B4195" i="5"/>
  <c r="A4196" i="5"/>
  <c r="B4196" i="5"/>
  <c r="A4197" i="5"/>
  <c r="B4197" i="5"/>
  <c r="A4198" i="5"/>
  <c r="B4198" i="5"/>
  <c r="A4199" i="5"/>
  <c r="B4199" i="5"/>
  <c r="A4200" i="5"/>
  <c r="B4200" i="5"/>
  <c r="A4201" i="5"/>
  <c r="B4201" i="5"/>
  <c r="A4202" i="5"/>
  <c r="B4202" i="5"/>
  <c r="A4203" i="5"/>
  <c r="B4203" i="5"/>
  <c r="A4204" i="5"/>
  <c r="B4204" i="5"/>
  <c r="A4205" i="5"/>
  <c r="B4205" i="5"/>
  <c r="A4206" i="5"/>
  <c r="B4206" i="5"/>
  <c r="A4207" i="5"/>
  <c r="B4207" i="5"/>
  <c r="A4208" i="5"/>
  <c r="B4208" i="5"/>
  <c r="A4209" i="5"/>
  <c r="B4209" i="5"/>
  <c r="A4210" i="5"/>
  <c r="B4210" i="5"/>
  <c r="A4211" i="5"/>
  <c r="B4211" i="5"/>
  <c r="A4212" i="5"/>
  <c r="B4212" i="5"/>
  <c r="A4213" i="5"/>
  <c r="B4213" i="5"/>
  <c r="A4214" i="5"/>
  <c r="B4214" i="5"/>
  <c r="A4215" i="5"/>
  <c r="B4215" i="5"/>
  <c r="A4216" i="5"/>
  <c r="B4216" i="5"/>
  <c r="A4217" i="5"/>
  <c r="B4217" i="5"/>
  <c r="A4218" i="5"/>
  <c r="B4218" i="5"/>
  <c r="A4219" i="5"/>
  <c r="B4219" i="5"/>
  <c r="A4220" i="5"/>
  <c r="B4220" i="5"/>
  <c r="A4221" i="5"/>
  <c r="B4221" i="5"/>
  <c r="A4222" i="5"/>
  <c r="B4222" i="5"/>
  <c r="A4223" i="5"/>
  <c r="B4223" i="5"/>
  <c r="A4224" i="5"/>
  <c r="B4224" i="5"/>
  <c r="A4225" i="5"/>
  <c r="B4225" i="5"/>
  <c r="A4226" i="5"/>
  <c r="B4226" i="5"/>
  <c r="A4227" i="5"/>
  <c r="B4227" i="5"/>
  <c r="A4228" i="5"/>
  <c r="B4228" i="5"/>
  <c r="A4229" i="5"/>
  <c r="B4229" i="5"/>
  <c r="A4230" i="5"/>
  <c r="B4230" i="5"/>
  <c r="A4231" i="5"/>
  <c r="B4231" i="5"/>
  <c r="A4232" i="5"/>
  <c r="B4232" i="5"/>
  <c r="A4233" i="5"/>
  <c r="B4233" i="5"/>
  <c r="A4234" i="5"/>
  <c r="B4234" i="5"/>
  <c r="A4235" i="5"/>
  <c r="B4235" i="5"/>
  <c r="A4236" i="5"/>
  <c r="B4236" i="5"/>
  <c r="A4237" i="5"/>
  <c r="B4237" i="5"/>
  <c r="A4238" i="5"/>
  <c r="B4238" i="5"/>
  <c r="A4239" i="5"/>
  <c r="B4239" i="5"/>
  <c r="A4240" i="5"/>
  <c r="B4240" i="5"/>
  <c r="A4241" i="5"/>
  <c r="B4241" i="5"/>
  <c r="A4242" i="5"/>
  <c r="B4242" i="5"/>
  <c r="A4243" i="5"/>
  <c r="B4243" i="5"/>
  <c r="A4244" i="5"/>
  <c r="B4244" i="5"/>
  <c r="A4245" i="5"/>
  <c r="B4245" i="5"/>
  <c r="A4246" i="5"/>
  <c r="B4246" i="5"/>
  <c r="A4247" i="5"/>
  <c r="B4247" i="5"/>
  <c r="A4248" i="5"/>
  <c r="B4248" i="5"/>
  <c r="A4249" i="5"/>
  <c r="B4249" i="5"/>
  <c r="A4250" i="5"/>
  <c r="B4250" i="5"/>
  <c r="A4251" i="5"/>
  <c r="B4251" i="5"/>
  <c r="A4252" i="5"/>
  <c r="B4252" i="5"/>
  <c r="A4253" i="5"/>
  <c r="B4253" i="5"/>
  <c r="A4254" i="5"/>
  <c r="B4254" i="5"/>
  <c r="A4255" i="5"/>
  <c r="B4255" i="5"/>
  <c r="A4256" i="5"/>
  <c r="B4256" i="5"/>
  <c r="A4257" i="5"/>
  <c r="B4257" i="5"/>
  <c r="A4258" i="5"/>
  <c r="B4258" i="5"/>
  <c r="A4259" i="5"/>
  <c r="B4259" i="5"/>
  <c r="A4260" i="5"/>
  <c r="B4260" i="5"/>
  <c r="A4261" i="5"/>
  <c r="B4261" i="5"/>
  <c r="A4262" i="5"/>
  <c r="B4262" i="5"/>
  <c r="A4263" i="5"/>
  <c r="B4263" i="5"/>
  <c r="A4264" i="5"/>
  <c r="B4264" i="5"/>
  <c r="A4265" i="5"/>
  <c r="B4265" i="5"/>
  <c r="A4266" i="5"/>
  <c r="B4266" i="5"/>
  <c r="A4267" i="5"/>
  <c r="B4267" i="5"/>
  <c r="A4268" i="5"/>
  <c r="B4268" i="5"/>
  <c r="A4269" i="5"/>
  <c r="B4269" i="5"/>
  <c r="A4270" i="5"/>
  <c r="B4270" i="5"/>
  <c r="A4271" i="5"/>
  <c r="B4271" i="5"/>
  <c r="A4272" i="5"/>
  <c r="B4272" i="5"/>
  <c r="A4273" i="5"/>
  <c r="B4273" i="5"/>
  <c r="A4274" i="5"/>
  <c r="B4274" i="5"/>
  <c r="A4275" i="5"/>
  <c r="B4275" i="5"/>
  <c r="A4276" i="5"/>
  <c r="B4276" i="5"/>
  <c r="A4277" i="5"/>
  <c r="B4277" i="5"/>
  <c r="A4278" i="5"/>
  <c r="B4278" i="5"/>
  <c r="A4279" i="5"/>
  <c r="B4279" i="5"/>
  <c r="A4280" i="5"/>
  <c r="B4280" i="5"/>
  <c r="A4281" i="5"/>
  <c r="B4281" i="5"/>
  <c r="A4282" i="5"/>
  <c r="B4282" i="5"/>
  <c r="A4283" i="5"/>
  <c r="B4283" i="5"/>
  <c r="A4284" i="5"/>
  <c r="B4284" i="5"/>
  <c r="A4285" i="5"/>
  <c r="B4285" i="5"/>
  <c r="A4286" i="5"/>
  <c r="B4286" i="5"/>
  <c r="A4287" i="5"/>
  <c r="B4287" i="5"/>
  <c r="A4288" i="5"/>
  <c r="B4288" i="5"/>
  <c r="A4289" i="5"/>
  <c r="B4289" i="5"/>
  <c r="A4290" i="5"/>
  <c r="B4290" i="5"/>
  <c r="A4291" i="5"/>
  <c r="B4291" i="5"/>
  <c r="A4292" i="5"/>
  <c r="B4292" i="5"/>
  <c r="A4293" i="5"/>
  <c r="B4293" i="5"/>
  <c r="A4294" i="5"/>
  <c r="B4294" i="5"/>
  <c r="A4295" i="5"/>
  <c r="B4295" i="5"/>
  <c r="A4296" i="5"/>
  <c r="B4296" i="5"/>
  <c r="A4297" i="5"/>
  <c r="B4297" i="5"/>
  <c r="A4298" i="5"/>
  <c r="B4298" i="5"/>
  <c r="A4299" i="5"/>
  <c r="B4299" i="5"/>
  <c r="A4300" i="5"/>
  <c r="B4300" i="5"/>
  <c r="A4301" i="5"/>
  <c r="B4301" i="5"/>
  <c r="A4302" i="5"/>
  <c r="B4302" i="5"/>
  <c r="A4303" i="5"/>
  <c r="B4303" i="5"/>
  <c r="A4304" i="5"/>
  <c r="B4304" i="5"/>
  <c r="A4305" i="5"/>
  <c r="B4305" i="5"/>
  <c r="A4306" i="5"/>
  <c r="B4306" i="5"/>
  <c r="A4307" i="5"/>
  <c r="B4307" i="5"/>
  <c r="A4308" i="5"/>
  <c r="B4308" i="5"/>
  <c r="A4309" i="5"/>
  <c r="B4309" i="5"/>
  <c r="A4310" i="5"/>
  <c r="B4310" i="5"/>
  <c r="A4311" i="5"/>
  <c r="B4311" i="5"/>
  <c r="A4312" i="5"/>
  <c r="B4312" i="5"/>
  <c r="A4313" i="5"/>
  <c r="B4313" i="5"/>
  <c r="A4314" i="5"/>
  <c r="B4314" i="5"/>
  <c r="A4315" i="5"/>
  <c r="B4315" i="5"/>
  <c r="A4316" i="5"/>
  <c r="B4316" i="5"/>
  <c r="A4317" i="5"/>
  <c r="B4317" i="5"/>
  <c r="A4318" i="5"/>
  <c r="B4318" i="5"/>
  <c r="A4319" i="5"/>
  <c r="B4319" i="5"/>
  <c r="A4320" i="5"/>
  <c r="B4320" i="5"/>
  <c r="A4321" i="5"/>
  <c r="B4321" i="5"/>
  <c r="A4322" i="5"/>
  <c r="B4322" i="5"/>
  <c r="A4323" i="5"/>
  <c r="B4323" i="5"/>
  <c r="A4324" i="5"/>
  <c r="B4324" i="5"/>
  <c r="A4325" i="5"/>
  <c r="B4325" i="5"/>
  <c r="A4326" i="5"/>
  <c r="B4326" i="5"/>
  <c r="A4327" i="5"/>
  <c r="B4327" i="5"/>
  <c r="A4328" i="5"/>
  <c r="B4328" i="5"/>
  <c r="A4329" i="5"/>
  <c r="B4329" i="5"/>
  <c r="A4330" i="5"/>
  <c r="B4330" i="5"/>
  <c r="A4331" i="5"/>
  <c r="B4331" i="5"/>
  <c r="A4332" i="5"/>
  <c r="B4332" i="5"/>
  <c r="A4333" i="5"/>
  <c r="B4333" i="5"/>
  <c r="A4334" i="5"/>
  <c r="B4334" i="5"/>
  <c r="A4335" i="5"/>
  <c r="B4335" i="5"/>
  <c r="A4336" i="5"/>
  <c r="B4336" i="5"/>
  <c r="A4337" i="5"/>
  <c r="B4337" i="5"/>
  <c r="A4338" i="5"/>
  <c r="B4338" i="5"/>
  <c r="A4339" i="5"/>
  <c r="B4339" i="5"/>
  <c r="A4340" i="5"/>
  <c r="B4340" i="5"/>
  <c r="A4341" i="5"/>
  <c r="B4341" i="5"/>
  <c r="A4342" i="5"/>
  <c r="B4342" i="5"/>
  <c r="A4343" i="5"/>
  <c r="B4343" i="5"/>
  <c r="A4344" i="5"/>
  <c r="B4344" i="5"/>
  <c r="A4345" i="5"/>
  <c r="B4345" i="5"/>
  <c r="A4346" i="5"/>
  <c r="B4346" i="5"/>
  <c r="A4347" i="5"/>
  <c r="B4347" i="5"/>
  <c r="A4348" i="5"/>
  <c r="B4348" i="5"/>
  <c r="A4349" i="5"/>
  <c r="B4349" i="5"/>
  <c r="A4350" i="5"/>
  <c r="B4350" i="5"/>
  <c r="A4351" i="5"/>
  <c r="B4351" i="5"/>
  <c r="A4352" i="5"/>
  <c r="B4352" i="5"/>
  <c r="A4353" i="5"/>
  <c r="B4353" i="5"/>
  <c r="A4354" i="5"/>
  <c r="B4354" i="5"/>
  <c r="A4355" i="5"/>
  <c r="B4355" i="5"/>
  <c r="A4356" i="5"/>
  <c r="B4356" i="5"/>
  <c r="A4357" i="5"/>
  <c r="B4357" i="5"/>
  <c r="A4358" i="5"/>
  <c r="B4358" i="5"/>
  <c r="A4359" i="5"/>
  <c r="B4359" i="5"/>
  <c r="A4360" i="5"/>
  <c r="B4360" i="5"/>
  <c r="A4361" i="5"/>
  <c r="B4361" i="5"/>
  <c r="A4362" i="5"/>
  <c r="B4362" i="5"/>
  <c r="A4363" i="5"/>
  <c r="B4363" i="5"/>
  <c r="A4364" i="5"/>
  <c r="B4364" i="5"/>
  <c r="A4365" i="5"/>
  <c r="B4365" i="5"/>
  <c r="A4366" i="5"/>
  <c r="B4366" i="5"/>
  <c r="A4367" i="5"/>
  <c r="B4367" i="5"/>
  <c r="A4368" i="5"/>
  <c r="B4368" i="5"/>
  <c r="A4369" i="5"/>
  <c r="B4369" i="5"/>
  <c r="A4370" i="5"/>
  <c r="B4370" i="5"/>
  <c r="A4371" i="5"/>
  <c r="B4371" i="5"/>
  <c r="A4372" i="5"/>
  <c r="B4372" i="5"/>
  <c r="A4373" i="5"/>
  <c r="B4373" i="5"/>
  <c r="A4374" i="5"/>
  <c r="B4374" i="5"/>
  <c r="A4375" i="5"/>
  <c r="B4375" i="5"/>
  <c r="A4376" i="5"/>
  <c r="B4376" i="5"/>
  <c r="A4377" i="5"/>
  <c r="B4377" i="5"/>
  <c r="A4378" i="5"/>
  <c r="B4378" i="5"/>
  <c r="A4379" i="5"/>
  <c r="B4379" i="5"/>
  <c r="A4380" i="5"/>
  <c r="B4380" i="5"/>
  <c r="A4381" i="5"/>
  <c r="B4381" i="5"/>
  <c r="A4382" i="5"/>
  <c r="B4382" i="5"/>
  <c r="A4383" i="5"/>
  <c r="B4383" i="5"/>
  <c r="A4384" i="5"/>
  <c r="B4384" i="5"/>
  <c r="A4385" i="5"/>
  <c r="B4385" i="5"/>
  <c r="A4386" i="5"/>
  <c r="B4386" i="5"/>
  <c r="A4387" i="5"/>
  <c r="B4387" i="5"/>
  <c r="A4388" i="5"/>
  <c r="B4388" i="5"/>
  <c r="A4389" i="5"/>
  <c r="B4389" i="5"/>
  <c r="A4390" i="5"/>
  <c r="B4390" i="5"/>
  <c r="A4391" i="5"/>
  <c r="B4391" i="5"/>
  <c r="A4392" i="5"/>
  <c r="B4392" i="5"/>
  <c r="A4393" i="5"/>
  <c r="B4393" i="5"/>
  <c r="A4394" i="5"/>
  <c r="B4394" i="5"/>
  <c r="A4395" i="5"/>
  <c r="B4395" i="5"/>
  <c r="A4396" i="5"/>
  <c r="B4396" i="5"/>
  <c r="A4397" i="5"/>
  <c r="B4397" i="5"/>
  <c r="A4398" i="5"/>
  <c r="B4398" i="5"/>
  <c r="A4399" i="5"/>
  <c r="B4399" i="5"/>
  <c r="A4400" i="5"/>
  <c r="B4400" i="5"/>
  <c r="A4401" i="5"/>
  <c r="B4401" i="5"/>
  <c r="A4402" i="5"/>
  <c r="B4402" i="5"/>
  <c r="A4403" i="5"/>
  <c r="B4403" i="5"/>
  <c r="A4404" i="5"/>
  <c r="B4404" i="5"/>
  <c r="A4405" i="5"/>
  <c r="B4405" i="5"/>
  <c r="A4406" i="5"/>
  <c r="B4406" i="5"/>
  <c r="A4407" i="5"/>
  <c r="B4407" i="5"/>
  <c r="A4408" i="5"/>
  <c r="B4408" i="5"/>
  <c r="A4409" i="5"/>
  <c r="B4409" i="5"/>
  <c r="A4410" i="5"/>
  <c r="B4410" i="5"/>
  <c r="A4411" i="5"/>
  <c r="B4411" i="5"/>
  <c r="A4412" i="5"/>
  <c r="B4412" i="5"/>
  <c r="A4413" i="5"/>
  <c r="B4413" i="5"/>
  <c r="A4414" i="5"/>
  <c r="B4414" i="5"/>
  <c r="A4415" i="5"/>
  <c r="B4415" i="5"/>
  <c r="A4416" i="5"/>
  <c r="B4416" i="5"/>
  <c r="A4417" i="5"/>
  <c r="B4417" i="5"/>
  <c r="A4418" i="5"/>
  <c r="B4418" i="5"/>
  <c r="A4419" i="5"/>
  <c r="B4419" i="5"/>
  <c r="A4420" i="5"/>
  <c r="B4420" i="5"/>
  <c r="A4421" i="5"/>
  <c r="B4421" i="5"/>
  <c r="A4422" i="5"/>
  <c r="B4422" i="5"/>
  <c r="A4423" i="5"/>
  <c r="B4423" i="5"/>
  <c r="A4424" i="5"/>
  <c r="B4424" i="5"/>
  <c r="A4425" i="5"/>
  <c r="B4425" i="5"/>
  <c r="A4426" i="5"/>
  <c r="B4426" i="5"/>
  <c r="A4427" i="5"/>
  <c r="B4427" i="5"/>
  <c r="A4428" i="5"/>
  <c r="B4428" i="5"/>
  <c r="A4429" i="5"/>
  <c r="B4429" i="5"/>
  <c r="A4430" i="5"/>
  <c r="B4430" i="5"/>
  <c r="A4431" i="5"/>
  <c r="B4431" i="5"/>
  <c r="A4432" i="5"/>
  <c r="B4432" i="5"/>
  <c r="A4433" i="5"/>
  <c r="B4433" i="5"/>
  <c r="A4434" i="5"/>
  <c r="B4434" i="5"/>
  <c r="A4435" i="5"/>
  <c r="B4435" i="5"/>
  <c r="A4436" i="5"/>
  <c r="B4436" i="5"/>
  <c r="A4437" i="5"/>
  <c r="B4437" i="5"/>
  <c r="A4438" i="5"/>
  <c r="B4438" i="5"/>
  <c r="A4439" i="5"/>
  <c r="B4439" i="5"/>
  <c r="A4440" i="5"/>
  <c r="B4440" i="5"/>
  <c r="A4441" i="5"/>
  <c r="B4441" i="5"/>
  <c r="A4442" i="5"/>
  <c r="B4442" i="5"/>
  <c r="A4443" i="5"/>
  <c r="B4443" i="5"/>
  <c r="A4444" i="5"/>
  <c r="B4444" i="5"/>
  <c r="A4445" i="5"/>
  <c r="B4445" i="5"/>
  <c r="A4446" i="5"/>
  <c r="B4446" i="5"/>
  <c r="A4447" i="5"/>
  <c r="B4447" i="5"/>
  <c r="A4448" i="5"/>
  <c r="B4448" i="5"/>
  <c r="A4449" i="5"/>
  <c r="B4449" i="5"/>
  <c r="A4450" i="5"/>
  <c r="B4450" i="5"/>
  <c r="A4451" i="5"/>
  <c r="B4451" i="5"/>
  <c r="A4452" i="5"/>
  <c r="B4452" i="5"/>
  <c r="A4453" i="5"/>
  <c r="B4453" i="5"/>
  <c r="A4454" i="5"/>
  <c r="B4454" i="5"/>
  <c r="A4455" i="5"/>
  <c r="B4455" i="5"/>
  <c r="A4456" i="5"/>
  <c r="B4456" i="5"/>
  <c r="A4457" i="5"/>
  <c r="B4457" i="5"/>
  <c r="A4458" i="5"/>
  <c r="B4458" i="5"/>
  <c r="A4459" i="5"/>
  <c r="B4459" i="5"/>
  <c r="A4460" i="5"/>
  <c r="B4460" i="5"/>
  <c r="A4461" i="5"/>
  <c r="B4461" i="5"/>
  <c r="A4462" i="5"/>
  <c r="B4462" i="5"/>
  <c r="A4463" i="5"/>
  <c r="B4463" i="5"/>
  <c r="A4464" i="5"/>
  <c r="B4464" i="5"/>
  <c r="A4465" i="5"/>
  <c r="B4465" i="5"/>
  <c r="A4466" i="5"/>
  <c r="B4466" i="5"/>
  <c r="A4467" i="5"/>
  <c r="B4467" i="5"/>
  <c r="A4468" i="5"/>
  <c r="B4468" i="5"/>
  <c r="A4469" i="5"/>
  <c r="B4469" i="5"/>
  <c r="A4470" i="5"/>
  <c r="B4470" i="5"/>
  <c r="A4471" i="5"/>
  <c r="B4471" i="5"/>
  <c r="A4472" i="5"/>
  <c r="B4472" i="5"/>
  <c r="A4473" i="5"/>
  <c r="B4473" i="5"/>
  <c r="A4474" i="5"/>
  <c r="B4474" i="5"/>
  <c r="A4475" i="5"/>
  <c r="B4475" i="5"/>
  <c r="A4476" i="5"/>
  <c r="B4476" i="5"/>
  <c r="A4477" i="5"/>
  <c r="B4477" i="5"/>
  <c r="A4478" i="5"/>
  <c r="B4478" i="5"/>
  <c r="A4479" i="5"/>
  <c r="B4479" i="5"/>
  <c r="A4480" i="5"/>
  <c r="B4480" i="5"/>
  <c r="A4481" i="5"/>
  <c r="B4481" i="5"/>
  <c r="A4482" i="5"/>
  <c r="B4482" i="5"/>
  <c r="A4483" i="5"/>
  <c r="B4483" i="5"/>
  <c r="A4484" i="5"/>
  <c r="B4484" i="5"/>
  <c r="A4485" i="5"/>
  <c r="B4485" i="5"/>
  <c r="A4486" i="5"/>
  <c r="B4486" i="5"/>
  <c r="A4487" i="5"/>
  <c r="B4487" i="5"/>
  <c r="A4488" i="5"/>
  <c r="B4488" i="5"/>
  <c r="A4489" i="5"/>
  <c r="B4489" i="5"/>
  <c r="A4490" i="5"/>
  <c r="B4490" i="5"/>
  <c r="A4491" i="5"/>
  <c r="B4491" i="5"/>
  <c r="A4492" i="5"/>
  <c r="B4492" i="5"/>
  <c r="A4493" i="5"/>
  <c r="B4493" i="5"/>
  <c r="A4494" i="5"/>
  <c r="B4494" i="5"/>
  <c r="A4495" i="5"/>
  <c r="B4495" i="5"/>
  <c r="A4496" i="5"/>
  <c r="B4496" i="5"/>
  <c r="A4497" i="5"/>
  <c r="B4497" i="5"/>
  <c r="A4498" i="5"/>
  <c r="B4498" i="5"/>
  <c r="A4499" i="5"/>
  <c r="B4499" i="5"/>
  <c r="A4500" i="5"/>
  <c r="B4500" i="5"/>
  <c r="A4501" i="5"/>
  <c r="B4501" i="5"/>
  <c r="A4502" i="5"/>
  <c r="B4502" i="5"/>
  <c r="A4503" i="5"/>
  <c r="B4503" i="5"/>
  <c r="A4504" i="5"/>
  <c r="B4504" i="5"/>
  <c r="A4505" i="5"/>
  <c r="B4505" i="5"/>
  <c r="A4506" i="5"/>
  <c r="B4506" i="5"/>
  <c r="A4507" i="5"/>
  <c r="B4507" i="5"/>
  <c r="A4508" i="5"/>
  <c r="B4508" i="5"/>
  <c r="A4509" i="5"/>
  <c r="B4509" i="5"/>
  <c r="A4510" i="5"/>
  <c r="B4510" i="5"/>
  <c r="A4511" i="5"/>
  <c r="B4511" i="5"/>
  <c r="A4512" i="5"/>
  <c r="B4512" i="5"/>
  <c r="A4513" i="5"/>
  <c r="B4513" i="5"/>
  <c r="A4514" i="5"/>
  <c r="B4514" i="5"/>
  <c r="A4515" i="5"/>
  <c r="B4515" i="5"/>
  <c r="A4516" i="5"/>
  <c r="B4516" i="5"/>
  <c r="A4517" i="5"/>
  <c r="B4517" i="5"/>
  <c r="A4518" i="5"/>
  <c r="B4518" i="5"/>
  <c r="A4519" i="5"/>
  <c r="B4519" i="5"/>
  <c r="A4520" i="5"/>
  <c r="B4520" i="5"/>
  <c r="A4521" i="5"/>
  <c r="B4521" i="5"/>
  <c r="A4522" i="5"/>
  <c r="B4522" i="5"/>
  <c r="A4523" i="5"/>
  <c r="B4523" i="5"/>
  <c r="A4524" i="5"/>
  <c r="B4524" i="5"/>
  <c r="A4525" i="5"/>
  <c r="B4525" i="5"/>
  <c r="A4526" i="5"/>
  <c r="B4526" i="5"/>
  <c r="A4527" i="5"/>
  <c r="B4527" i="5"/>
  <c r="A4528" i="5"/>
  <c r="B4528" i="5"/>
  <c r="A4529" i="5"/>
  <c r="B4529" i="5"/>
  <c r="A4530" i="5"/>
  <c r="B4530" i="5"/>
  <c r="A4531" i="5"/>
  <c r="B4531" i="5"/>
  <c r="A4532" i="5"/>
  <c r="B4532" i="5"/>
  <c r="A4533" i="5"/>
  <c r="B4533" i="5"/>
  <c r="A4534" i="5"/>
  <c r="B4534" i="5"/>
  <c r="A4535" i="5"/>
  <c r="B4535" i="5"/>
  <c r="A4536" i="5"/>
  <c r="B4536" i="5"/>
  <c r="A4537" i="5"/>
  <c r="B4537" i="5"/>
  <c r="A4538" i="5"/>
  <c r="B4538" i="5"/>
  <c r="A4539" i="5"/>
  <c r="B4539" i="5"/>
  <c r="A4540" i="5"/>
  <c r="B4540" i="5"/>
  <c r="A4541" i="5"/>
  <c r="B4541" i="5"/>
  <c r="A4542" i="5"/>
  <c r="B4542" i="5"/>
  <c r="A4543" i="5"/>
  <c r="B4543" i="5"/>
  <c r="A4544" i="5"/>
  <c r="B4544" i="5"/>
  <c r="A4545" i="5"/>
  <c r="B4545" i="5"/>
  <c r="A4546" i="5"/>
  <c r="B4546" i="5"/>
  <c r="A4547" i="5"/>
  <c r="B4547" i="5"/>
  <c r="A4548" i="5"/>
  <c r="B4548" i="5"/>
  <c r="A4549" i="5"/>
  <c r="B4549" i="5"/>
  <c r="A4550" i="5"/>
  <c r="B4550" i="5"/>
  <c r="A4551" i="5"/>
  <c r="B4551" i="5"/>
  <c r="A4552" i="5"/>
  <c r="B4552" i="5"/>
  <c r="A4553" i="5"/>
  <c r="B4553" i="5"/>
  <c r="A4554" i="5"/>
  <c r="B4554" i="5"/>
  <c r="A4555" i="5"/>
  <c r="B4555" i="5"/>
  <c r="A4556" i="5"/>
  <c r="B4556" i="5"/>
  <c r="A4557" i="5"/>
  <c r="B4557" i="5"/>
  <c r="A4558" i="5"/>
  <c r="B4558" i="5"/>
  <c r="A4559" i="5"/>
  <c r="B4559" i="5"/>
  <c r="A4560" i="5"/>
  <c r="B4560" i="5"/>
  <c r="A4561" i="5"/>
  <c r="B4561" i="5"/>
  <c r="A4562" i="5"/>
  <c r="B4562" i="5"/>
  <c r="A4563" i="5"/>
  <c r="B4563" i="5"/>
  <c r="A4564" i="5"/>
  <c r="B4564" i="5"/>
  <c r="A4565" i="5"/>
  <c r="B4565" i="5"/>
  <c r="A4566" i="5"/>
  <c r="B4566" i="5"/>
  <c r="A4567" i="5"/>
  <c r="B4567" i="5"/>
  <c r="A4568" i="5"/>
  <c r="B4568" i="5"/>
  <c r="A4569" i="5"/>
  <c r="B4569" i="5"/>
  <c r="A4570" i="5"/>
  <c r="B4570" i="5"/>
  <c r="A4571" i="5"/>
  <c r="B4571" i="5"/>
  <c r="A4572" i="5"/>
  <c r="B4572" i="5"/>
  <c r="A4573" i="5"/>
  <c r="B4573" i="5"/>
  <c r="A4574" i="5"/>
  <c r="B4574" i="5"/>
  <c r="A4575" i="5"/>
  <c r="B4575" i="5"/>
  <c r="A4576" i="5"/>
  <c r="B4576" i="5"/>
  <c r="A4577" i="5"/>
  <c r="B4577" i="5"/>
  <c r="A4578" i="5"/>
  <c r="B4578" i="5"/>
  <c r="A4579" i="5"/>
  <c r="B4579" i="5"/>
  <c r="A4580" i="5"/>
  <c r="B4580" i="5"/>
  <c r="A4581" i="5"/>
  <c r="B4581" i="5"/>
  <c r="A4582" i="5"/>
  <c r="B4582" i="5"/>
  <c r="A4583" i="5"/>
  <c r="B4583" i="5"/>
  <c r="A4584" i="5"/>
  <c r="B4584" i="5"/>
  <c r="A4585" i="5"/>
  <c r="B4585" i="5"/>
  <c r="A4586" i="5"/>
  <c r="B4586" i="5"/>
  <c r="A4587" i="5"/>
  <c r="B4587" i="5"/>
  <c r="A4588" i="5"/>
  <c r="B4588" i="5"/>
  <c r="A4589" i="5"/>
  <c r="B4589" i="5"/>
  <c r="A4590" i="5"/>
  <c r="B4590" i="5"/>
  <c r="A4591" i="5"/>
  <c r="B4591" i="5"/>
  <c r="A4592" i="5"/>
  <c r="B4592" i="5"/>
  <c r="A4593" i="5"/>
  <c r="B4593" i="5"/>
  <c r="A4594" i="5"/>
  <c r="B4594" i="5"/>
  <c r="A4595" i="5"/>
  <c r="B4595" i="5"/>
  <c r="A4596" i="5"/>
  <c r="B4596" i="5"/>
  <c r="A4597" i="5"/>
  <c r="B4597" i="5"/>
  <c r="A4598" i="5"/>
  <c r="B4598" i="5"/>
  <c r="A4599" i="5"/>
  <c r="B4599" i="5"/>
  <c r="A4600" i="5"/>
  <c r="B4600" i="5"/>
  <c r="A4601" i="5"/>
  <c r="B4601" i="5"/>
  <c r="A4602" i="5"/>
  <c r="B4602" i="5"/>
  <c r="A4603" i="5"/>
  <c r="B4603" i="5"/>
  <c r="A4604" i="5"/>
  <c r="B4604" i="5"/>
  <c r="A4605" i="5"/>
  <c r="B4605" i="5"/>
  <c r="A4606" i="5"/>
  <c r="B4606" i="5"/>
  <c r="A4607" i="5"/>
  <c r="B4607" i="5"/>
  <c r="A4608" i="5"/>
  <c r="B4608" i="5"/>
  <c r="A4609" i="5"/>
  <c r="B4609" i="5"/>
  <c r="A4610" i="5"/>
  <c r="B4610" i="5"/>
  <c r="A4611" i="5"/>
  <c r="B4611" i="5"/>
  <c r="A4612" i="5"/>
  <c r="B4612" i="5"/>
  <c r="A4613" i="5"/>
  <c r="B4613" i="5"/>
  <c r="A4614" i="5"/>
  <c r="B4614" i="5"/>
  <c r="A4615" i="5"/>
  <c r="B4615" i="5"/>
  <c r="A4616" i="5"/>
  <c r="B4616" i="5"/>
  <c r="A4617" i="5"/>
  <c r="B4617" i="5"/>
  <c r="A4618" i="5"/>
  <c r="B4618" i="5"/>
  <c r="A4619" i="5"/>
  <c r="B4619" i="5"/>
  <c r="A4620" i="5"/>
  <c r="B4620" i="5"/>
  <c r="A4621" i="5"/>
  <c r="B4621" i="5"/>
  <c r="A4622" i="5"/>
  <c r="B4622" i="5"/>
  <c r="A4623" i="5"/>
  <c r="B4623" i="5"/>
  <c r="A4624" i="5"/>
  <c r="B4624" i="5"/>
  <c r="A4625" i="5"/>
  <c r="B4625" i="5"/>
  <c r="A4626" i="5"/>
  <c r="B4626" i="5"/>
  <c r="A4627" i="5"/>
  <c r="B4627" i="5"/>
  <c r="A4628" i="5"/>
  <c r="B4628" i="5"/>
  <c r="A4629" i="5"/>
  <c r="B4629" i="5"/>
  <c r="A4630" i="5"/>
  <c r="B4630" i="5"/>
  <c r="A4631" i="5"/>
  <c r="B4631" i="5"/>
  <c r="A4632" i="5"/>
  <c r="B4632" i="5"/>
  <c r="A4633" i="5"/>
  <c r="B4633" i="5"/>
  <c r="A4634" i="5"/>
  <c r="B4634" i="5"/>
  <c r="A4635" i="5"/>
  <c r="B4635" i="5"/>
  <c r="A4636" i="5"/>
  <c r="B4636" i="5"/>
  <c r="A4637" i="5"/>
  <c r="B4637" i="5"/>
  <c r="A4638" i="5"/>
  <c r="B4638" i="5"/>
  <c r="A4639" i="5"/>
  <c r="B4639" i="5"/>
  <c r="A4640" i="5"/>
  <c r="B4640" i="5"/>
  <c r="A4641" i="5"/>
  <c r="B4641" i="5"/>
  <c r="A4642" i="5"/>
  <c r="B4642" i="5"/>
  <c r="A4643" i="5"/>
  <c r="B4643" i="5"/>
  <c r="A4644" i="5"/>
  <c r="B4644" i="5"/>
  <c r="A4645" i="5"/>
  <c r="B4645" i="5"/>
  <c r="A4646" i="5"/>
  <c r="B4646" i="5"/>
  <c r="A4647" i="5"/>
  <c r="B4647" i="5"/>
  <c r="A4648" i="5"/>
  <c r="B4648" i="5"/>
  <c r="A4649" i="5"/>
  <c r="B4649" i="5"/>
  <c r="A4650" i="5"/>
  <c r="B4650" i="5"/>
  <c r="A4651" i="5"/>
  <c r="B4651" i="5"/>
  <c r="A4652" i="5"/>
  <c r="B4652" i="5"/>
  <c r="A4653" i="5"/>
  <c r="B4653" i="5"/>
  <c r="A4654" i="5"/>
  <c r="B4654" i="5"/>
  <c r="A4655" i="5"/>
  <c r="B4655" i="5"/>
  <c r="A4656" i="5"/>
  <c r="B4656" i="5"/>
  <c r="A4657" i="5"/>
  <c r="B4657" i="5"/>
  <c r="A4658" i="5"/>
  <c r="B4658" i="5"/>
  <c r="A4659" i="5"/>
  <c r="B4659" i="5"/>
  <c r="A4660" i="5"/>
  <c r="B4660" i="5"/>
  <c r="A4661" i="5"/>
  <c r="B4661" i="5"/>
  <c r="A4662" i="5"/>
  <c r="B4662" i="5"/>
  <c r="A4663" i="5"/>
  <c r="B4663" i="5"/>
  <c r="A4664" i="5"/>
  <c r="B4664" i="5"/>
  <c r="A4665" i="5"/>
  <c r="B4665" i="5"/>
  <c r="A4666" i="5"/>
  <c r="B4666" i="5"/>
  <c r="A4667" i="5"/>
  <c r="B4667" i="5"/>
  <c r="A4668" i="5"/>
  <c r="B4668" i="5"/>
  <c r="A4669" i="5"/>
  <c r="B4669" i="5"/>
  <c r="A4670" i="5"/>
  <c r="B4670" i="5"/>
  <c r="A4671" i="5"/>
  <c r="B4671" i="5"/>
  <c r="A4672" i="5"/>
  <c r="B4672" i="5"/>
  <c r="A4673" i="5"/>
  <c r="B4673" i="5"/>
  <c r="A4674" i="5"/>
  <c r="B4674" i="5"/>
  <c r="A4675" i="5"/>
  <c r="B4675" i="5"/>
  <c r="A4676" i="5"/>
  <c r="B4676" i="5"/>
  <c r="A4677" i="5"/>
  <c r="B4677" i="5"/>
  <c r="A4678" i="5"/>
  <c r="B4678" i="5"/>
  <c r="A4679" i="5"/>
  <c r="B4679" i="5"/>
  <c r="A4680" i="5"/>
  <c r="B4680" i="5"/>
  <c r="A4681" i="5"/>
  <c r="B4681" i="5"/>
  <c r="A4682" i="5"/>
  <c r="B4682" i="5"/>
  <c r="A4683" i="5"/>
  <c r="B4683" i="5"/>
  <c r="A4684" i="5"/>
  <c r="B4684" i="5"/>
  <c r="A4685" i="5"/>
  <c r="B4685" i="5"/>
  <c r="A4686" i="5"/>
  <c r="B4686" i="5"/>
  <c r="A4687" i="5"/>
  <c r="B4687" i="5"/>
  <c r="A4688" i="5"/>
  <c r="B4688" i="5"/>
  <c r="A4689" i="5"/>
  <c r="B4689" i="5"/>
  <c r="A4690" i="5"/>
  <c r="B4690" i="5"/>
  <c r="A4691" i="5"/>
  <c r="B4691" i="5"/>
  <c r="A4692" i="5"/>
  <c r="B4692" i="5"/>
  <c r="A4693" i="5"/>
  <c r="B4693" i="5"/>
  <c r="A4694" i="5"/>
  <c r="B4694" i="5"/>
  <c r="A4695" i="5"/>
  <c r="B4695" i="5"/>
  <c r="A4696" i="5"/>
  <c r="B4696" i="5"/>
  <c r="A4697" i="5"/>
  <c r="B4697" i="5"/>
  <c r="A4698" i="5"/>
  <c r="B4698" i="5"/>
  <c r="A4699" i="5"/>
  <c r="B4699" i="5"/>
  <c r="A4700" i="5"/>
  <c r="B4700" i="5"/>
  <c r="A4701" i="5"/>
  <c r="B4701" i="5"/>
  <c r="A4702" i="5"/>
  <c r="B4702" i="5"/>
  <c r="A4703" i="5"/>
  <c r="B4703" i="5"/>
  <c r="A4704" i="5"/>
  <c r="B4704" i="5"/>
  <c r="A4705" i="5"/>
  <c r="B4705" i="5"/>
  <c r="A4706" i="5"/>
  <c r="B4706" i="5"/>
  <c r="A4707" i="5"/>
  <c r="B4707" i="5"/>
  <c r="A4708" i="5"/>
  <c r="B4708" i="5"/>
  <c r="A4709" i="5"/>
  <c r="B4709" i="5"/>
  <c r="A4710" i="5"/>
  <c r="B4710" i="5"/>
  <c r="A4711" i="5"/>
  <c r="B4711" i="5"/>
  <c r="A4712" i="5"/>
  <c r="B4712" i="5"/>
  <c r="A4713" i="5"/>
  <c r="B4713" i="5"/>
  <c r="A4714" i="5"/>
  <c r="B4714" i="5"/>
  <c r="A4715" i="5"/>
  <c r="B4715" i="5"/>
  <c r="A4716" i="5"/>
  <c r="B4716" i="5"/>
  <c r="A4717" i="5"/>
  <c r="B4717" i="5"/>
  <c r="A4718" i="5"/>
  <c r="B4718" i="5"/>
  <c r="A4719" i="5"/>
  <c r="B4719" i="5"/>
  <c r="A4720" i="5"/>
  <c r="B4720" i="5"/>
  <c r="A4721" i="5"/>
  <c r="B4721" i="5"/>
  <c r="A4722" i="5"/>
  <c r="B4722" i="5"/>
  <c r="A4723" i="5"/>
  <c r="B4723" i="5"/>
  <c r="A4724" i="5"/>
  <c r="B4724" i="5"/>
  <c r="A4725" i="5"/>
  <c r="B4725" i="5"/>
  <c r="A4726" i="5"/>
  <c r="B4726" i="5"/>
  <c r="A4727" i="5"/>
  <c r="B4727" i="5"/>
  <c r="A4728" i="5"/>
  <c r="B4728" i="5"/>
  <c r="A4729" i="5"/>
  <c r="B4729" i="5"/>
  <c r="A4730" i="5"/>
  <c r="B4730" i="5"/>
  <c r="A4731" i="5"/>
  <c r="B4731" i="5"/>
  <c r="A4732" i="5"/>
  <c r="B4732" i="5"/>
  <c r="A4733" i="5"/>
  <c r="B4733" i="5"/>
  <c r="A4734" i="5"/>
  <c r="B4734" i="5"/>
  <c r="A4735" i="5"/>
  <c r="B4735" i="5"/>
  <c r="A4736" i="5"/>
  <c r="B4736" i="5"/>
  <c r="A4737" i="5"/>
  <c r="B4737" i="5"/>
  <c r="A4738" i="5"/>
  <c r="B4738" i="5"/>
  <c r="A4739" i="5"/>
  <c r="B4739" i="5"/>
  <c r="A4740" i="5"/>
  <c r="B4740" i="5"/>
  <c r="A4741" i="5"/>
  <c r="B4741" i="5"/>
  <c r="A4742" i="5"/>
  <c r="B4742" i="5"/>
  <c r="A4743" i="5"/>
  <c r="B4743" i="5"/>
  <c r="A4744" i="5"/>
  <c r="B4744" i="5"/>
  <c r="A4745" i="5"/>
  <c r="B4745" i="5"/>
  <c r="A4746" i="5"/>
  <c r="B4746" i="5"/>
  <c r="A4747" i="5"/>
  <c r="B4747" i="5"/>
  <c r="A4748" i="5"/>
  <c r="B4748" i="5"/>
  <c r="A4749" i="5"/>
  <c r="B4749" i="5"/>
  <c r="A4750" i="5"/>
  <c r="B4750" i="5"/>
  <c r="A4751" i="5"/>
  <c r="B4751" i="5"/>
  <c r="A4752" i="5"/>
  <c r="B4752" i="5"/>
  <c r="A4753" i="5"/>
  <c r="B4753" i="5"/>
  <c r="A4754" i="5"/>
  <c r="B4754" i="5"/>
  <c r="A4755" i="5"/>
  <c r="B4755" i="5"/>
  <c r="A4756" i="5"/>
  <c r="B4756" i="5"/>
  <c r="A4757" i="5"/>
  <c r="B4757" i="5"/>
  <c r="A4758" i="5"/>
  <c r="B4758" i="5"/>
  <c r="A4759" i="5"/>
  <c r="B4759" i="5"/>
  <c r="A4760" i="5"/>
  <c r="B4760" i="5"/>
  <c r="A4761" i="5"/>
  <c r="B4761" i="5"/>
  <c r="A4762" i="5"/>
  <c r="B4762" i="5"/>
  <c r="A4763" i="5"/>
  <c r="B4763" i="5"/>
  <c r="A4764" i="5"/>
  <c r="B4764" i="5"/>
  <c r="A4765" i="5"/>
  <c r="B4765" i="5"/>
  <c r="A4766" i="5"/>
  <c r="B4766" i="5"/>
  <c r="A4767" i="5"/>
  <c r="B4767" i="5"/>
  <c r="A4768" i="5"/>
  <c r="B4768" i="5"/>
  <c r="A4769" i="5"/>
  <c r="B4769" i="5"/>
  <c r="A4770" i="5"/>
  <c r="B4770" i="5"/>
  <c r="A4771" i="5"/>
  <c r="B4771" i="5"/>
  <c r="A4772" i="5"/>
  <c r="B4772" i="5"/>
  <c r="A4773" i="5"/>
  <c r="B4773" i="5"/>
  <c r="A4774" i="5"/>
  <c r="B4774" i="5"/>
  <c r="A4775" i="5"/>
  <c r="B4775" i="5"/>
  <c r="A4776" i="5"/>
  <c r="B4776" i="5"/>
  <c r="A4777" i="5"/>
  <c r="B4777" i="5"/>
  <c r="A4778" i="5"/>
  <c r="B4778" i="5"/>
  <c r="A4779" i="5"/>
  <c r="B4779" i="5"/>
  <c r="A4780" i="5"/>
  <c r="B4780" i="5"/>
  <c r="A4781" i="5"/>
  <c r="B4781" i="5"/>
  <c r="A4782" i="5"/>
  <c r="B4782" i="5"/>
  <c r="A4783" i="5"/>
  <c r="B4783" i="5"/>
  <c r="A4784" i="5"/>
  <c r="B4784" i="5"/>
  <c r="A4785" i="5"/>
  <c r="B4785" i="5"/>
  <c r="A4786" i="5"/>
  <c r="B4786" i="5"/>
  <c r="A4787" i="5"/>
  <c r="B4787" i="5"/>
  <c r="A4788" i="5"/>
  <c r="B4788" i="5"/>
  <c r="A4789" i="5"/>
  <c r="B4789" i="5"/>
  <c r="A4790" i="5"/>
  <c r="B4790" i="5"/>
  <c r="A4791" i="5"/>
  <c r="B4791" i="5"/>
  <c r="A4792" i="5"/>
  <c r="B4792" i="5"/>
  <c r="A4793" i="5"/>
  <c r="B4793" i="5"/>
  <c r="A4794" i="5"/>
  <c r="B4794" i="5"/>
  <c r="A4795" i="5"/>
  <c r="B4795" i="5"/>
  <c r="A4796" i="5"/>
  <c r="B4796" i="5"/>
  <c r="A4797" i="5"/>
  <c r="B4797" i="5"/>
  <c r="A4798" i="5"/>
  <c r="B4798" i="5"/>
  <c r="A4799" i="5"/>
  <c r="B4799" i="5"/>
  <c r="A4800" i="5"/>
  <c r="B4800" i="5"/>
  <c r="A4801" i="5"/>
  <c r="B4801" i="5"/>
  <c r="A4802" i="5"/>
  <c r="B4802" i="5"/>
  <c r="A4803" i="5"/>
  <c r="B4803" i="5"/>
  <c r="A4804" i="5"/>
  <c r="B4804" i="5"/>
  <c r="A4805" i="5"/>
  <c r="B4805" i="5"/>
  <c r="A4806" i="5"/>
  <c r="B4806" i="5"/>
  <c r="A4807" i="5"/>
  <c r="B4807" i="5"/>
  <c r="A4808" i="5"/>
  <c r="B4808" i="5"/>
  <c r="A4809" i="5"/>
  <c r="B4809" i="5"/>
  <c r="A4810" i="5"/>
  <c r="B4810" i="5"/>
  <c r="A4811" i="5"/>
  <c r="B4811" i="5"/>
  <c r="A4812" i="5"/>
  <c r="B4812" i="5"/>
  <c r="A4813" i="5"/>
  <c r="B4813" i="5"/>
  <c r="A4814" i="5"/>
  <c r="B4814" i="5"/>
  <c r="A4815" i="5"/>
  <c r="B4815" i="5"/>
  <c r="A4816" i="5"/>
  <c r="B4816" i="5"/>
  <c r="A4817" i="5"/>
  <c r="B4817" i="5"/>
  <c r="A4818" i="5"/>
  <c r="B4818" i="5"/>
  <c r="A4819" i="5"/>
  <c r="B4819" i="5"/>
  <c r="A4820" i="5"/>
  <c r="B4820" i="5"/>
  <c r="A4821" i="5"/>
  <c r="B4821" i="5"/>
  <c r="A4822" i="5"/>
  <c r="B4822" i="5"/>
  <c r="A4823" i="5"/>
  <c r="B4823" i="5"/>
  <c r="A4824" i="5"/>
  <c r="B4824" i="5"/>
  <c r="A4825" i="5"/>
  <c r="B4825" i="5"/>
  <c r="A4826" i="5"/>
  <c r="B4826" i="5"/>
  <c r="A4827" i="5"/>
  <c r="B4827" i="5"/>
  <c r="A4828" i="5"/>
  <c r="B4828" i="5"/>
  <c r="A4829" i="5"/>
  <c r="B4829" i="5"/>
  <c r="A4830" i="5"/>
  <c r="B4830" i="5"/>
  <c r="A4831" i="5"/>
  <c r="B4831" i="5"/>
  <c r="A4832" i="5"/>
  <c r="B4832" i="5"/>
  <c r="A4833" i="5"/>
  <c r="B4833" i="5"/>
  <c r="A4834" i="5"/>
  <c r="B4834" i="5"/>
  <c r="A4835" i="5"/>
  <c r="B4835" i="5"/>
  <c r="A4836" i="5"/>
  <c r="B4836" i="5"/>
  <c r="A4837" i="5"/>
  <c r="B4837" i="5"/>
  <c r="A4838" i="5"/>
  <c r="B4838" i="5"/>
  <c r="A4839" i="5"/>
  <c r="B4839" i="5"/>
  <c r="A4840" i="5"/>
  <c r="B4840" i="5"/>
  <c r="A4841" i="5"/>
  <c r="B4841" i="5"/>
  <c r="A4842" i="5"/>
  <c r="B4842" i="5"/>
  <c r="A4843" i="5"/>
  <c r="B4843" i="5"/>
  <c r="A4844" i="5"/>
  <c r="B4844" i="5"/>
  <c r="A4845" i="5"/>
  <c r="B4845" i="5"/>
  <c r="A4846" i="5"/>
  <c r="B4846" i="5"/>
  <c r="A4847" i="5"/>
  <c r="B4847" i="5"/>
  <c r="A4848" i="5"/>
  <c r="B4848" i="5"/>
  <c r="A4849" i="5"/>
  <c r="B4849" i="5"/>
  <c r="A4850" i="5"/>
  <c r="B4850" i="5"/>
  <c r="A4851" i="5"/>
  <c r="B4851" i="5"/>
  <c r="A4852" i="5"/>
  <c r="B4852" i="5"/>
  <c r="A4853" i="5"/>
  <c r="B4853" i="5"/>
  <c r="A4854" i="5"/>
  <c r="B4854" i="5"/>
  <c r="A4855" i="5"/>
  <c r="B4855" i="5"/>
  <c r="A4856" i="5"/>
  <c r="B4856" i="5"/>
  <c r="A4857" i="5"/>
  <c r="B4857" i="5"/>
  <c r="A4858" i="5"/>
  <c r="B4858" i="5"/>
  <c r="A4859" i="5"/>
  <c r="B4859" i="5"/>
  <c r="A4860" i="5"/>
  <c r="B4860" i="5"/>
  <c r="A4861" i="5"/>
  <c r="B4861" i="5"/>
  <c r="A4862" i="5"/>
  <c r="B4862" i="5"/>
  <c r="A4863" i="5"/>
  <c r="B4863" i="5"/>
  <c r="A4864" i="5"/>
  <c r="B4864" i="5"/>
  <c r="A4865" i="5"/>
  <c r="B4865" i="5"/>
  <c r="A4866" i="5"/>
  <c r="B4866" i="5"/>
  <c r="A4867" i="5"/>
  <c r="B4867" i="5"/>
  <c r="A4868" i="5"/>
  <c r="B4868" i="5"/>
  <c r="A4869" i="5"/>
  <c r="B4869" i="5"/>
  <c r="A4870" i="5"/>
  <c r="B4870" i="5"/>
  <c r="A4871" i="5"/>
  <c r="B4871" i="5"/>
  <c r="A4872" i="5"/>
  <c r="B4872" i="5"/>
  <c r="A4873" i="5"/>
  <c r="B4873" i="5"/>
  <c r="A4874" i="5"/>
  <c r="B4874" i="5"/>
  <c r="A4875" i="5"/>
  <c r="B4875" i="5"/>
  <c r="A4876" i="5"/>
  <c r="B4876" i="5"/>
  <c r="A4877" i="5"/>
  <c r="B4877" i="5"/>
  <c r="A4878" i="5"/>
  <c r="B4878" i="5"/>
  <c r="A4879" i="5"/>
  <c r="B4879" i="5"/>
  <c r="A4880" i="5"/>
  <c r="B4880" i="5"/>
  <c r="A4881" i="5"/>
  <c r="B4881" i="5"/>
  <c r="A4882" i="5"/>
  <c r="B4882" i="5"/>
  <c r="A4883" i="5"/>
  <c r="B4883" i="5"/>
  <c r="A4884" i="5"/>
  <c r="B4884" i="5"/>
  <c r="A4885" i="5"/>
  <c r="B4885" i="5"/>
  <c r="A4886" i="5"/>
  <c r="B4886" i="5"/>
  <c r="A4887" i="5"/>
  <c r="B4887" i="5"/>
  <c r="A4888" i="5"/>
  <c r="B4888" i="5"/>
  <c r="A4889" i="5"/>
  <c r="B4889" i="5"/>
  <c r="A4890" i="5"/>
  <c r="B4890" i="5"/>
  <c r="A4891" i="5"/>
  <c r="B4891" i="5"/>
  <c r="A4892" i="5"/>
  <c r="B4892" i="5"/>
  <c r="A4893" i="5"/>
  <c r="B4893" i="5"/>
  <c r="A4894" i="5"/>
  <c r="B4894" i="5"/>
  <c r="A4895" i="5"/>
  <c r="B4895" i="5"/>
  <c r="A4896" i="5"/>
  <c r="B4896" i="5"/>
  <c r="A4897" i="5"/>
  <c r="B4897" i="5"/>
  <c r="A4898" i="5"/>
  <c r="B4898" i="5"/>
  <c r="A4899" i="5"/>
  <c r="B4899" i="5"/>
  <c r="A4900" i="5"/>
  <c r="B4900" i="5"/>
  <c r="A4901" i="5"/>
  <c r="B4901" i="5"/>
  <c r="A4902" i="5"/>
  <c r="B4902" i="5"/>
  <c r="A4903" i="5"/>
  <c r="B4903" i="5"/>
  <c r="A4904" i="5"/>
  <c r="B4904" i="5"/>
  <c r="A4905" i="5"/>
  <c r="B4905" i="5"/>
  <c r="A4906" i="5"/>
  <c r="B4906" i="5"/>
  <c r="A4907" i="5"/>
  <c r="B4907" i="5"/>
  <c r="A4908" i="5"/>
  <c r="B4908" i="5"/>
  <c r="A4909" i="5"/>
  <c r="B4909" i="5"/>
  <c r="A4910" i="5"/>
  <c r="B4910" i="5"/>
  <c r="A4911" i="5"/>
  <c r="B4911" i="5"/>
  <c r="A4912" i="5"/>
  <c r="B4912" i="5"/>
  <c r="A4913" i="5"/>
  <c r="B4913" i="5"/>
  <c r="A4914" i="5"/>
  <c r="B4914" i="5"/>
  <c r="A4915" i="5"/>
  <c r="B4915" i="5"/>
  <c r="A4916" i="5"/>
  <c r="B4916" i="5"/>
  <c r="A4917" i="5"/>
  <c r="B4917" i="5"/>
  <c r="A4918" i="5"/>
  <c r="B4918" i="5"/>
  <c r="A4919" i="5"/>
  <c r="B4919" i="5"/>
  <c r="A4920" i="5"/>
  <c r="B4920" i="5"/>
  <c r="A4921" i="5"/>
  <c r="B4921" i="5"/>
  <c r="A4922" i="5"/>
  <c r="B4922" i="5"/>
  <c r="A4923" i="5"/>
  <c r="B4923" i="5"/>
  <c r="A4924" i="5"/>
  <c r="B4924" i="5"/>
  <c r="A4925" i="5"/>
  <c r="B4925" i="5"/>
  <c r="A4926" i="5"/>
  <c r="B4926" i="5"/>
  <c r="A4927" i="5"/>
  <c r="B4927" i="5"/>
  <c r="A4928" i="5"/>
  <c r="B4928" i="5"/>
  <c r="A4929" i="5"/>
  <c r="B4929" i="5"/>
  <c r="A4930" i="5"/>
  <c r="B4930" i="5"/>
  <c r="A4931" i="5"/>
  <c r="B4931" i="5"/>
  <c r="A4932" i="5"/>
  <c r="B4932" i="5"/>
  <c r="A4933" i="5"/>
  <c r="B4933" i="5"/>
  <c r="A4934" i="5"/>
  <c r="B4934" i="5"/>
  <c r="A4935" i="5"/>
  <c r="B4935" i="5"/>
  <c r="A4936" i="5"/>
  <c r="B4936" i="5"/>
  <c r="A4937" i="5"/>
  <c r="B4937" i="5"/>
  <c r="A4938" i="5"/>
  <c r="B4938" i="5"/>
  <c r="A4939" i="5"/>
  <c r="B4939" i="5"/>
  <c r="A4940" i="5"/>
  <c r="B4940" i="5"/>
  <c r="A4941" i="5"/>
  <c r="B4941" i="5"/>
  <c r="A4942" i="5"/>
  <c r="B4942" i="5"/>
  <c r="A4943" i="5"/>
  <c r="B4943" i="5"/>
  <c r="A4944" i="5"/>
  <c r="B4944" i="5"/>
  <c r="A4945" i="5"/>
  <c r="B4945" i="5"/>
  <c r="A4946" i="5"/>
  <c r="B4946" i="5"/>
  <c r="A4947" i="5"/>
  <c r="B4947" i="5"/>
  <c r="A4948" i="5"/>
  <c r="B4948" i="5"/>
  <c r="A4949" i="5"/>
  <c r="B4949" i="5"/>
  <c r="A4950" i="5"/>
  <c r="B4950" i="5"/>
  <c r="A4951" i="5"/>
  <c r="B4951" i="5"/>
  <c r="A4952" i="5"/>
  <c r="B4952" i="5"/>
  <c r="A4953" i="5"/>
  <c r="B4953" i="5"/>
  <c r="A4954" i="5"/>
  <c r="B4954" i="5"/>
  <c r="A4955" i="5"/>
  <c r="B4955" i="5"/>
  <c r="A4956" i="5"/>
  <c r="B4956" i="5"/>
  <c r="A4957" i="5"/>
  <c r="B4957" i="5"/>
  <c r="A4958" i="5"/>
  <c r="B4958" i="5"/>
  <c r="A4959" i="5"/>
  <c r="B4959" i="5"/>
  <c r="A4960" i="5"/>
  <c r="B4960" i="5"/>
  <c r="A4961" i="5"/>
  <c r="B4961" i="5"/>
  <c r="A4962" i="5"/>
  <c r="B4962" i="5"/>
  <c r="A4963" i="5"/>
  <c r="B4963" i="5"/>
  <c r="A4964" i="5"/>
  <c r="B4964" i="5"/>
  <c r="A4965" i="5"/>
  <c r="B4965" i="5"/>
  <c r="A4966" i="5"/>
  <c r="B4966" i="5"/>
  <c r="A4967" i="5"/>
  <c r="B4967" i="5"/>
  <c r="A4968" i="5"/>
  <c r="B4968" i="5"/>
  <c r="A4969" i="5"/>
  <c r="B4969" i="5"/>
  <c r="A4970" i="5"/>
  <c r="B4970" i="5"/>
  <c r="A4971" i="5"/>
  <c r="B4971" i="5"/>
  <c r="A4972" i="5"/>
  <c r="B4972" i="5"/>
  <c r="A4973" i="5"/>
  <c r="B4973" i="5"/>
  <c r="A4974" i="5"/>
  <c r="B4974" i="5"/>
  <c r="A4975" i="5"/>
  <c r="B4975" i="5"/>
  <c r="A4976" i="5"/>
  <c r="B4976" i="5"/>
  <c r="A4977" i="5"/>
  <c r="B4977" i="5"/>
  <c r="A4978" i="5"/>
  <c r="B4978" i="5"/>
  <c r="A4979" i="5"/>
  <c r="B4979" i="5"/>
  <c r="A4980" i="5"/>
  <c r="B4980" i="5"/>
  <c r="A4981" i="5"/>
  <c r="B4981" i="5"/>
  <c r="A4982" i="5"/>
  <c r="B4982" i="5"/>
  <c r="A4983" i="5"/>
  <c r="B4983" i="5"/>
  <c r="A4984" i="5"/>
  <c r="B4984" i="5"/>
  <c r="A4985" i="5"/>
  <c r="B4985" i="5"/>
  <c r="A4986" i="5"/>
  <c r="B4986" i="5"/>
  <c r="A4987" i="5"/>
  <c r="B4987" i="5"/>
  <c r="A4988" i="5"/>
  <c r="B4988" i="5"/>
  <c r="A4989" i="5"/>
  <c r="B4989" i="5"/>
  <c r="A4990" i="5"/>
  <c r="B4990" i="5"/>
  <c r="A4991" i="5"/>
  <c r="B4991" i="5"/>
  <c r="A4992" i="5"/>
  <c r="B4992" i="5"/>
  <c r="A4993" i="5"/>
  <c r="B4993" i="5"/>
  <c r="A4994" i="5"/>
  <c r="B4994" i="5"/>
  <c r="A4995" i="5"/>
  <c r="B4995" i="5"/>
  <c r="A4996" i="5"/>
  <c r="B4996" i="5"/>
  <c r="A4997" i="5"/>
  <c r="B4997" i="5"/>
  <c r="A4998" i="5"/>
  <c r="B4998" i="5"/>
  <c r="A4999" i="5"/>
  <c r="B4999" i="5"/>
  <c r="A5000" i="5"/>
  <c r="B5000" i="5"/>
  <c r="A5001" i="5"/>
  <c r="B5001" i="5"/>
  <c r="A5002" i="5"/>
  <c r="B5002" i="5"/>
  <c r="A5003" i="5"/>
  <c r="B5003" i="5"/>
  <c r="A5004" i="5"/>
  <c r="B5004" i="5"/>
  <c r="A5005" i="5"/>
  <c r="B5005" i="5"/>
  <c r="A5006" i="5"/>
  <c r="B5006" i="5"/>
  <c r="A5007" i="5"/>
  <c r="B5007" i="5"/>
  <c r="A5008" i="5"/>
  <c r="B5008" i="5"/>
  <c r="A5009" i="5"/>
  <c r="B5009" i="5"/>
  <c r="A5010" i="5"/>
  <c r="B5010" i="5"/>
  <c r="A5011" i="5"/>
  <c r="B5011" i="5"/>
  <c r="A5012" i="5"/>
  <c r="B5012" i="5"/>
  <c r="A5013" i="5"/>
  <c r="B5013" i="5"/>
  <c r="A5014" i="5"/>
  <c r="B5014" i="5"/>
  <c r="A5015" i="5"/>
  <c r="B5015" i="5"/>
  <c r="A5016" i="5"/>
  <c r="B5016" i="5"/>
  <c r="A5017" i="5"/>
  <c r="B5017" i="5"/>
  <c r="A5018" i="5"/>
  <c r="B5018" i="5"/>
  <c r="A5019" i="5"/>
  <c r="B5019" i="5"/>
  <c r="A5020" i="5"/>
  <c r="B5020" i="5"/>
  <c r="A5021" i="5"/>
  <c r="B5021" i="5"/>
  <c r="A5022" i="5"/>
  <c r="B5022" i="5"/>
  <c r="A5023" i="5"/>
  <c r="B5023" i="5"/>
  <c r="A5024" i="5"/>
  <c r="B5024" i="5"/>
  <c r="A5025" i="5"/>
  <c r="B5025" i="5"/>
  <c r="A5026" i="5"/>
  <c r="B5026" i="5"/>
  <c r="A5027" i="5"/>
  <c r="B5027" i="5"/>
  <c r="A5028" i="5"/>
  <c r="B5028" i="5"/>
  <c r="A5029" i="5"/>
  <c r="B5029" i="5"/>
  <c r="A5030" i="5"/>
  <c r="B5030" i="5"/>
  <c r="A5031" i="5"/>
  <c r="B5031" i="5"/>
  <c r="A5032" i="5"/>
  <c r="B5032" i="5"/>
  <c r="A5033" i="5"/>
  <c r="B5033" i="5"/>
  <c r="A5034" i="5"/>
  <c r="B5034" i="5"/>
  <c r="A5035" i="5"/>
  <c r="B5035" i="5"/>
  <c r="A5036" i="5"/>
  <c r="B5036" i="5"/>
  <c r="A5037" i="5"/>
  <c r="B5037" i="5"/>
  <c r="A5038" i="5"/>
  <c r="B5038" i="5"/>
  <c r="A5039" i="5"/>
  <c r="B5039" i="5"/>
  <c r="A5040" i="5"/>
  <c r="B5040" i="5"/>
  <c r="A5041" i="5"/>
  <c r="B5041" i="5"/>
  <c r="A5042" i="5"/>
  <c r="B5042" i="5"/>
  <c r="A5043" i="5"/>
  <c r="B5043" i="5"/>
  <c r="A5044" i="5"/>
  <c r="B5044" i="5"/>
  <c r="A5045" i="5"/>
  <c r="B5045" i="5"/>
  <c r="A5046" i="5"/>
  <c r="B5046" i="5"/>
  <c r="A5047" i="5"/>
  <c r="B5047" i="5"/>
  <c r="A5048" i="5"/>
  <c r="B5048" i="5"/>
  <c r="A5049" i="5"/>
  <c r="B5049" i="5"/>
  <c r="A5050" i="5"/>
  <c r="B5050" i="5"/>
  <c r="A5051" i="5"/>
  <c r="B5051" i="5"/>
  <c r="A5052" i="5"/>
  <c r="B5052" i="5"/>
  <c r="A5053" i="5"/>
  <c r="B5053" i="5"/>
  <c r="A5054" i="5"/>
  <c r="B5054" i="5"/>
  <c r="A5055" i="5"/>
  <c r="B5055" i="5"/>
  <c r="A5056" i="5"/>
  <c r="B5056" i="5"/>
  <c r="A5057" i="5"/>
  <c r="B5057" i="5"/>
  <c r="A5058" i="5"/>
  <c r="B5058" i="5"/>
  <c r="A5059" i="5"/>
  <c r="B5059" i="5"/>
  <c r="A5060" i="5"/>
  <c r="B5060" i="5"/>
  <c r="A5061" i="5"/>
  <c r="B5061" i="5"/>
  <c r="A5062" i="5"/>
  <c r="B5062" i="5"/>
  <c r="A5063" i="5"/>
  <c r="B5063" i="5"/>
  <c r="A5064" i="5"/>
  <c r="B5064" i="5"/>
  <c r="A5065" i="5"/>
  <c r="B5065" i="5"/>
  <c r="A5066" i="5"/>
  <c r="B5066" i="5"/>
  <c r="A5067" i="5"/>
  <c r="B5067" i="5"/>
  <c r="A5068" i="5"/>
  <c r="B5068" i="5"/>
  <c r="A5069" i="5"/>
  <c r="B5069" i="5"/>
  <c r="A5070" i="5"/>
  <c r="B5070" i="5"/>
  <c r="A5071" i="5"/>
  <c r="B5071" i="5"/>
  <c r="A5072" i="5"/>
  <c r="B5072" i="5"/>
  <c r="A5073" i="5"/>
  <c r="B5073" i="5"/>
  <c r="A5074" i="5"/>
  <c r="B5074" i="5"/>
  <c r="A5075" i="5"/>
  <c r="B5075" i="5"/>
  <c r="A5076" i="5"/>
  <c r="B5076" i="5"/>
  <c r="A5077" i="5"/>
  <c r="B5077" i="5"/>
  <c r="A5078" i="5"/>
  <c r="B5078" i="5"/>
  <c r="A5079" i="5"/>
  <c r="B5079" i="5"/>
  <c r="A5080" i="5"/>
  <c r="B5080" i="5"/>
  <c r="A5081" i="5"/>
  <c r="B5081" i="5"/>
  <c r="A5082" i="5"/>
  <c r="B5082" i="5"/>
  <c r="A5083" i="5"/>
  <c r="B5083" i="5"/>
  <c r="A5084" i="5"/>
  <c r="B5084" i="5"/>
  <c r="A5085" i="5"/>
  <c r="B5085" i="5"/>
  <c r="A5086" i="5"/>
  <c r="B5086" i="5"/>
  <c r="A5087" i="5"/>
  <c r="B5087" i="5"/>
  <c r="A5088" i="5"/>
  <c r="B5088" i="5"/>
  <c r="A5089" i="5"/>
  <c r="B5089" i="5"/>
  <c r="A5090" i="5"/>
  <c r="B5090" i="5"/>
  <c r="A5091" i="5"/>
  <c r="B5091" i="5"/>
  <c r="A5092" i="5"/>
  <c r="B5092" i="5"/>
  <c r="A5093" i="5"/>
  <c r="B5093" i="5"/>
  <c r="A5094" i="5"/>
  <c r="B5094" i="5"/>
  <c r="A5095" i="5"/>
  <c r="B5095" i="5"/>
  <c r="A5096" i="5"/>
  <c r="B5096" i="5"/>
  <c r="A5097" i="5"/>
  <c r="B5097" i="5"/>
  <c r="A5098" i="5"/>
  <c r="B5098" i="5"/>
  <c r="A5099" i="5"/>
  <c r="B5099" i="5"/>
  <c r="A5100" i="5"/>
  <c r="B5100" i="5"/>
  <c r="A5101" i="5"/>
  <c r="B5101" i="5"/>
  <c r="A5102" i="5"/>
  <c r="B5102" i="5"/>
  <c r="A5103" i="5"/>
  <c r="B5103" i="5"/>
  <c r="A5104" i="5"/>
  <c r="B5104" i="5"/>
  <c r="A5105" i="5"/>
  <c r="B5105" i="5"/>
  <c r="A5106" i="5"/>
  <c r="B5106" i="5"/>
  <c r="A5107" i="5"/>
  <c r="B5107" i="5"/>
  <c r="A5108" i="5"/>
  <c r="B5108" i="5"/>
  <c r="A5109" i="5"/>
  <c r="B5109" i="5"/>
  <c r="A5110" i="5"/>
  <c r="B5110" i="5"/>
  <c r="A5111" i="5"/>
  <c r="B5111" i="5"/>
  <c r="A5112" i="5"/>
  <c r="B5112" i="5"/>
  <c r="A5113" i="5"/>
  <c r="B5113" i="5"/>
  <c r="A5114" i="5"/>
  <c r="B5114" i="5"/>
  <c r="A5115" i="5"/>
  <c r="B5115" i="5"/>
  <c r="A5116" i="5"/>
  <c r="B5116" i="5"/>
  <c r="A5117" i="5"/>
  <c r="B5117" i="5"/>
  <c r="A5118" i="5"/>
  <c r="B5118" i="5"/>
  <c r="A5119" i="5"/>
  <c r="B5119" i="5"/>
  <c r="A5120" i="5"/>
  <c r="B5120" i="5"/>
  <c r="A5121" i="5"/>
  <c r="B5121" i="5"/>
  <c r="A5122" i="5"/>
  <c r="B5122" i="5"/>
  <c r="A5123" i="5"/>
  <c r="B5123" i="5"/>
  <c r="A5124" i="5"/>
  <c r="B5124" i="5"/>
  <c r="A5125" i="5"/>
  <c r="B5125" i="5"/>
  <c r="A5126" i="5"/>
  <c r="B5126" i="5"/>
  <c r="A5127" i="5"/>
  <c r="B5127" i="5"/>
  <c r="A5128" i="5"/>
  <c r="B5128" i="5"/>
  <c r="A5129" i="5"/>
  <c r="B5129" i="5"/>
  <c r="A5130" i="5"/>
  <c r="B5130" i="5"/>
  <c r="A5131" i="5"/>
  <c r="B5131" i="5"/>
  <c r="A5132" i="5"/>
  <c r="B5132" i="5"/>
  <c r="A5133" i="5"/>
  <c r="B5133" i="5"/>
  <c r="A5134" i="5"/>
  <c r="B5134" i="5"/>
  <c r="A5135" i="5"/>
  <c r="B5135" i="5"/>
  <c r="A5136" i="5"/>
  <c r="B5136" i="5"/>
  <c r="A5137" i="5"/>
  <c r="B5137" i="5"/>
  <c r="A5138" i="5"/>
  <c r="B5138" i="5"/>
  <c r="A5139" i="5"/>
  <c r="B5139" i="5"/>
  <c r="A5140" i="5"/>
  <c r="B5140" i="5"/>
  <c r="A5141" i="5"/>
  <c r="B5141" i="5"/>
  <c r="A5142" i="5"/>
  <c r="B5142" i="5"/>
  <c r="A5143" i="5"/>
  <c r="B5143" i="5"/>
  <c r="A5144" i="5"/>
  <c r="B5144" i="5"/>
  <c r="A5145" i="5"/>
  <c r="B5145" i="5"/>
  <c r="A5146" i="5"/>
  <c r="B5146" i="5"/>
  <c r="A5147" i="5"/>
  <c r="B5147" i="5"/>
  <c r="A5148" i="5"/>
  <c r="B5148" i="5"/>
  <c r="A5149" i="5"/>
  <c r="B5149" i="5"/>
  <c r="A5150" i="5"/>
  <c r="B5150" i="5"/>
  <c r="A5151" i="5"/>
  <c r="B5151" i="5"/>
  <c r="A5152" i="5"/>
  <c r="B5152" i="5"/>
  <c r="A5153" i="5"/>
  <c r="B5153" i="5"/>
  <c r="A5154" i="5"/>
  <c r="B5154" i="5"/>
  <c r="A5155" i="5"/>
  <c r="B5155" i="5"/>
  <c r="A5156" i="5"/>
  <c r="B5156" i="5"/>
  <c r="A5157" i="5"/>
  <c r="B5157" i="5"/>
  <c r="A5158" i="5"/>
  <c r="B5158" i="5"/>
  <c r="A5159" i="5"/>
  <c r="B5159" i="5"/>
  <c r="A5160" i="5"/>
  <c r="B5160" i="5"/>
  <c r="A5161" i="5"/>
  <c r="B5161" i="5"/>
  <c r="A5162" i="5"/>
  <c r="B5162" i="5"/>
  <c r="A5163" i="5"/>
  <c r="B5163" i="5"/>
  <c r="A5164" i="5"/>
  <c r="B5164" i="5"/>
  <c r="A5165" i="5"/>
  <c r="B5165" i="5"/>
  <c r="A5166" i="5"/>
  <c r="B5166" i="5"/>
  <c r="A5167" i="5"/>
  <c r="B5167" i="5"/>
  <c r="A5168" i="5"/>
  <c r="B5168" i="5"/>
  <c r="A5169" i="5"/>
  <c r="B5169" i="5"/>
  <c r="A5170" i="5"/>
  <c r="B5170" i="5"/>
  <c r="A5171" i="5"/>
  <c r="B5171" i="5"/>
  <c r="A5172" i="5"/>
  <c r="B5172" i="5"/>
  <c r="A5173" i="5"/>
  <c r="B5173" i="5"/>
  <c r="A5174" i="5"/>
  <c r="B5174" i="5"/>
  <c r="A5175" i="5"/>
  <c r="B5175" i="5"/>
  <c r="A5176" i="5"/>
  <c r="B5176" i="5"/>
  <c r="A5177" i="5"/>
  <c r="B5177" i="5"/>
  <c r="A5178" i="5"/>
  <c r="B5178" i="5"/>
  <c r="A5179" i="5"/>
  <c r="B5179" i="5"/>
  <c r="A5180" i="5"/>
  <c r="B5180" i="5"/>
  <c r="A5181" i="5"/>
  <c r="B5181" i="5"/>
  <c r="A5182" i="5"/>
  <c r="B5182" i="5"/>
  <c r="A5183" i="5"/>
  <c r="B5183" i="5"/>
  <c r="A5184" i="5"/>
  <c r="B5184" i="5"/>
  <c r="A5185" i="5"/>
  <c r="B5185" i="5"/>
  <c r="A5186" i="5"/>
  <c r="B5186" i="5"/>
  <c r="A5187" i="5"/>
  <c r="B5187" i="5"/>
  <c r="A5188" i="5"/>
  <c r="B5188" i="5"/>
  <c r="A5189" i="5"/>
  <c r="B5189" i="5"/>
  <c r="A5190" i="5"/>
  <c r="B5190" i="5"/>
  <c r="A5191" i="5"/>
  <c r="B5191" i="5"/>
  <c r="A5192" i="5"/>
  <c r="B5192" i="5"/>
  <c r="A5193" i="5"/>
  <c r="B5193" i="5"/>
  <c r="A5194" i="5"/>
  <c r="B5194" i="5"/>
  <c r="A5195" i="5"/>
  <c r="B5195" i="5"/>
  <c r="A5196" i="5"/>
  <c r="B5196" i="5"/>
  <c r="A5197" i="5"/>
  <c r="B5197" i="5"/>
  <c r="A5198" i="5"/>
  <c r="B5198" i="5"/>
  <c r="A5199" i="5"/>
  <c r="B5199" i="5"/>
  <c r="A5200" i="5"/>
  <c r="B5200" i="5"/>
  <c r="A5201" i="5"/>
  <c r="B5201" i="5"/>
  <c r="A5202" i="5"/>
  <c r="B5202" i="5"/>
  <c r="A5203" i="5"/>
  <c r="B5203" i="5"/>
  <c r="A5204" i="5"/>
  <c r="B5204" i="5"/>
  <c r="A5205" i="5"/>
  <c r="B5205" i="5"/>
  <c r="A5206" i="5"/>
  <c r="B5206" i="5"/>
  <c r="A5207" i="5"/>
  <c r="B5207" i="5"/>
  <c r="A5208" i="5"/>
  <c r="B5208" i="5"/>
  <c r="A5209" i="5"/>
  <c r="B5209" i="5"/>
  <c r="A5210" i="5"/>
  <c r="B5210" i="5"/>
  <c r="A5211" i="5"/>
  <c r="B5211" i="5"/>
  <c r="A5212" i="5"/>
  <c r="B5212" i="5"/>
  <c r="A5213" i="5"/>
  <c r="B5213" i="5"/>
  <c r="A5214" i="5"/>
  <c r="B5214" i="5"/>
  <c r="A5215" i="5"/>
  <c r="B5215" i="5"/>
  <c r="A5216" i="5"/>
  <c r="B5216" i="5"/>
  <c r="A5217" i="5"/>
  <c r="B5217" i="5"/>
  <c r="A5218" i="5"/>
  <c r="B5218" i="5"/>
  <c r="A5219" i="5"/>
  <c r="B5219" i="5"/>
  <c r="A5220" i="5"/>
  <c r="B5220" i="5"/>
  <c r="A5221" i="5"/>
  <c r="B5221" i="5"/>
  <c r="A5222" i="5"/>
  <c r="B5222" i="5"/>
  <c r="A5223" i="5"/>
  <c r="B5223" i="5"/>
  <c r="A5224" i="5"/>
  <c r="B5224" i="5"/>
  <c r="A5225" i="5"/>
  <c r="B5225" i="5"/>
  <c r="A5226" i="5"/>
  <c r="B5226" i="5"/>
  <c r="A5227" i="5"/>
  <c r="B5227" i="5"/>
  <c r="A5228" i="5"/>
  <c r="B5228" i="5"/>
  <c r="A5229" i="5"/>
  <c r="B5229" i="5"/>
  <c r="A5230" i="5"/>
  <c r="B5230" i="5"/>
  <c r="A5231" i="5"/>
  <c r="B5231" i="5"/>
  <c r="A5232" i="5"/>
  <c r="B5232" i="5"/>
  <c r="A5233" i="5"/>
  <c r="B5233" i="5"/>
  <c r="A5234" i="5"/>
  <c r="B5234" i="5"/>
  <c r="A5235" i="5"/>
  <c r="B5235" i="5"/>
  <c r="A5236" i="5"/>
  <c r="B5236" i="5"/>
  <c r="A5237" i="5"/>
  <c r="B5237" i="5"/>
  <c r="A5238" i="5"/>
  <c r="B5238" i="5"/>
  <c r="A5239" i="5"/>
  <c r="B5239" i="5"/>
  <c r="A5240" i="5"/>
  <c r="B5240" i="5"/>
  <c r="A5241" i="5"/>
  <c r="B5241" i="5"/>
  <c r="A5242" i="5"/>
  <c r="B5242" i="5"/>
  <c r="A5243" i="5"/>
  <c r="B5243" i="5"/>
  <c r="A5244" i="5"/>
  <c r="B5244" i="5"/>
  <c r="A5245" i="5"/>
  <c r="B5245" i="5"/>
  <c r="A5246" i="5"/>
  <c r="B5246" i="5"/>
  <c r="A5247" i="5"/>
  <c r="B5247" i="5"/>
  <c r="A5248" i="5"/>
  <c r="B5248" i="5"/>
  <c r="A5249" i="5"/>
  <c r="B5249" i="5"/>
  <c r="A5250" i="5"/>
  <c r="B5250" i="5"/>
  <c r="A5251" i="5"/>
  <c r="B5251" i="5"/>
  <c r="A5252" i="5"/>
  <c r="B5252" i="5"/>
  <c r="A5253" i="5"/>
  <c r="B5253" i="5"/>
  <c r="A5254" i="5"/>
  <c r="B5254" i="5"/>
  <c r="A5255" i="5"/>
  <c r="B5255" i="5"/>
  <c r="A5256" i="5"/>
  <c r="B5256" i="5"/>
  <c r="A5257" i="5"/>
  <c r="B5257" i="5"/>
  <c r="A5258" i="5"/>
  <c r="B5258" i="5"/>
  <c r="A5259" i="5"/>
  <c r="B5259" i="5"/>
  <c r="A5260" i="5"/>
  <c r="B5260" i="5"/>
  <c r="A5261" i="5"/>
  <c r="B5261" i="5"/>
  <c r="A5262" i="5"/>
  <c r="B5262" i="5"/>
  <c r="A5263" i="5"/>
  <c r="B5263" i="5"/>
  <c r="A5264" i="5"/>
  <c r="B5264" i="5"/>
  <c r="A5265" i="5"/>
  <c r="B5265" i="5"/>
  <c r="A5266" i="5"/>
  <c r="B5266" i="5"/>
  <c r="A5267" i="5"/>
  <c r="B5267" i="5"/>
  <c r="A5268" i="5"/>
  <c r="B5268" i="5"/>
  <c r="A5269" i="5"/>
  <c r="B5269" i="5"/>
  <c r="A5270" i="5"/>
  <c r="B5270" i="5"/>
  <c r="A5271" i="5"/>
  <c r="B5271" i="5"/>
  <c r="A5272" i="5"/>
  <c r="B5272" i="5"/>
  <c r="A5273" i="5"/>
  <c r="B5273" i="5"/>
  <c r="A5274" i="5"/>
  <c r="B5274" i="5"/>
  <c r="A5275" i="5"/>
  <c r="B5275" i="5"/>
  <c r="A5276" i="5"/>
  <c r="B5276" i="5"/>
  <c r="A5277" i="5"/>
  <c r="B5277" i="5"/>
  <c r="A5278" i="5"/>
  <c r="B5278" i="5"/>
  <c r="A5279" i="5"/>
  <c r="B5279" i="5"/>
  <c r="A5280" i="5"/>
  <c r="B5280" i="5"/>
  <c r="A5281" i="5"/>
  <c r="B5281" i="5"/>
  <c r="A5282" i="5"/>
  <c r="B5282" i="5"/>
  <c r="A5283" i="5"/>
  <c r="B5283" i="5"/>
  <c r="A5284" i="5"/>
  <c r="B5284" i="5"/>
  <c r="A5285" i="5"/>
  <c r="B5285" i="5"/>
  <c r="A5286" i="5"/>
  <c r="B5286" i="5"/>
  <c r="A5287" i="5"/>
  <c r="B5287" i="5"/>
  <c r="A5288" i="5"/>
  <c r="B5288" i="5"/>
  <c r="A5289" i="5"/>
  <c r="B5289" i="5"/>
  <c r="A5290" i="5"/>
  <c r="B5290" i="5"/>
  <c r="A5291" i="5"/>
  <c r="B5291" i="5"/>
  <c r="A5292" i="5"/>
  <c r="B5292" i="5"/>
  <c r="A5293" i="5"/>
  <c r="B5293" i="5"/>
  <c r="A5294" i="5"/>
  <c r="B5294" i="5"/>
  <c r="A5295" i="5"/>
  <c r="B5295" i="5"/>
  <c r="A5296" i="5"/>
  <c r="B5296" i="5"/>
  <c r="A5297" i="5"/>
  <c r="B5297" i="5"/>
  <c r="A5298" i="5"/>
  <c r="B5298" i="5"/>
  <c r="A5299" i="5"/>
  <c r="B5299" i="5"/>
  <c r="A5300" i="5"/>
  <c r="B5300" i="5"/>
  <c r="A5301" i="5"/>
  <c r="B5301" i="5"/>
  <c r="A5302" i="5"/>
  <c r="B5302" i="5"/>
  <c r="A5303" i="5"/>
  <c r="B5303" i="5"/>
  <c r="A5304" i="5"/>
  <c r="B5304" i="5"/>
  <c r="A5305" i="5"/>
  <c r="B5305" i="5"/>
  <c r="A5306" i="5"/>
  <c r="B5306" i="5"/>
  <c r="A5307" i="5"/>
  <c r="B5307" i="5"/>
  <c r="A5308" i="5"/>
  <c r="B5308" i="5"/>
  <c r="A5309" i="5"/>
  <c r="B5309" i="5"/>
  <c r="A5310" i="5"/>
  <c r="B5310" i="5"/>
  <c r="A5311" i="5"/>
  <c r="B5311" i="5"/>
  <c r="A5312" i="5"/>
  <c r="B5312" i="5"/>
  <c r="A5313" i="5"/>
  <c r="B5313" i="5"/>
  <c r="A5314" i="5"/>
  <c r="B5314" i="5"/>
  <c r="A5315" i="5"/>
  <c r="B5315" i="5"/>
  <c r="A5316" i="5"/>
  <c r="B5316" i="5"/>
  <c r="A5317" i="5"/>
  <c r="B5317" i="5"/>
  <c r="A5318" i="5"/>
  <c r="B5318" i="5"/>
  <c r="A5319" i="5"/>
  <c r="B5319" i="5"/>
  <c r="A5320" i="5"/>
  <c r="B5320" i="5"/>
  <c r="A5321" i="5"/>
  <c r="B5321" i="5"/>
  <c r="A5322" i="5"/>
  <c r="B5322" i="5"/>
  <c r="A5323" i="5"/>
  <c r="B5323" i="5"/>
  <c r="A5324" i="5"/>
  <c r="B5324" i="5"/>
  <c r="A5325" i="5"/>
  <c r="B5325" i="5"/>
  <c r="A5326" i="5"/>
  <c r="B5326" i="5"/>
  <c r="A5327" i="5"/>
  <c r="B5327" i="5"/>
  <c r="A5328" i="5"/>
  <c r="B5328" i="5"/>
  <c r="A5329" i="5"/>
  <c r="B5329" i="5"/>
  <c r="A5330" i="5"/>
  <c r="B5330" i="5"/>
  <c r="A5331" i="5"/>
  <c r="B5331" i="5"/>
  <c r="A5332" i="5"/>
  <c r="B5332" i="5"/>
  <c r="A5333" i="5"/>
  <c r="B5333" i="5"/>
  <c r="A5334" i="5"/>
  <c r="B5334" i="5"/>
  <c r="A5335" i="5"/>
  <c r="B5335" i="5"/>
  <c r="A5336" i="5"/>
  <c r="B5336" i="5"/>
  <c r="A5337" i="5"/>
  <c r="B5337" i="5"/>
  <c r="A5338" i="5"/>
  <c r="B5338" i="5"/>
  <c r="A5339" i="5"/>
  <c r="B5339" i="5"/>
  <c r="A5340" i="5"/>
  <c r="B5340" i="5"/>
  <c r="A5341" i="5"/>
  <c r="B5341" i="5"/>
  <c r="A5342" i="5"/>
  <c r="B5342" i="5"/>
  <c r="A5343" i="5"/>
  <c r="B5343" i="5"/>
  <c r="A5344" i="5"/>
  <c r="B5344" i="5"/>
  <c r="A5345" i="5"/>
  <c r="B5345" i="5"/>
  <c r="P34" i="5"/>
  <c r="C2" i="5"/>
  <c r="D2" i="5"/>
  <c r="W33" i="4"/>
  <c r="K33" i="4"/>
  <c r="S32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H40" i="4"/>
  <c r="C40" i="4"/>
  <c r="C39" i="4"/>
  <c r="C38" i="4"/>
  <c r="H37" i="4"/>
  <c r="H38" i="4" s="1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E1" i="4"/>
  <c r="D1" i="4"/>
  <c r="H40" i="2"/>
  <c r="H38" i="2"/>
  <c r="H37" i="2"/>
  <c r="J37" i="2"/>
  <c r="J38" i="2"/>
  <c r="J3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2" i="2"/>
  <c r="W33" i="2"/>
  <c r="K33" i="2"/>
  <c r="S32" i="2"/>
  <c r="E1" i="2"/>
  <c r="D1" i="2"/>
  <c r="E1" i="1"/>
  <c r="D1" i="1"/>
  <c r="B140" i="1"/>
  <c r="B250" i="1"/>
  <c r="B442" i="1"/>
  <c r="B443" i="1"/>
  <c r="B478" i="1"/>
  <c r="B488" i="1"/>
  <c r="B489" i="1"/>
  <c r="B501" i="1"/>
  <c r="B533" i="1"/>
  <c r="B552" i="1"/>
  <c r="B682" i="1"/>
  <c r="B728" i="1"/>
  <c r="B788" i="1"/>
  <c r="B827" i="1"/>
  <c r="B944" i="1"/>
  <c r="B1043" i="1"/>
  <c r="B1052" i="1"/>
  <c r="B1209" i="1"/>
  <c r="B1244" i="1"/>
  <c r="B1269" i="1"/>
  <c r="B1412" i="1"/>
  <c r="B1427" i="1"/>
  <c r="B1448" i="1"/>
  <c r="B1475" i="1"/>
  <c r="B1510" i="1"/>
  <c r="B1595" i="1"/>
  <c r="B1640" i="1"/>
  <c r="B1642" i="1"/>
  <c r="B1652" i="1"/>
  <c r="B1653" i="1"/>
  <c r="B1667" i="1"/>
  <c r="B1678" i="1"/>
  <c r="B1690" i="1"/>
  <c r="B1703" i="1"/>
  <c r="B1796" i="1"/>
  <c r="B1832" i="1"/>
  <c r="B1967" i="1"/>
  <c r="B2015" i="1"/>
  <c r="B2024" i="1"/>
  <c r="B2050" i="1"/>
  <c r="B2073" i="1"/>
  <c r="B2078" i="1"/>
  <c r="B2192" i="1"/>
  <c r="B2204" i="1"/>
  <c r="B2351" i="1"/>
  <c r="B2384" i="1"/>
  <c r="B2396" i="1"/>
  <c r="B2408" i="1"/>
  <c r="B2411" i="1"/>
  <c r="B2507" i="1"/>
  <c r="B2540" i="1"/>
  <c r="B2543" i="1"/>
  <c r="B2556" i="1"/>
  <c r="B2564" i="1"/>
  <c r="B2567" i="1"/>
  <c r="B2580" i="1"/>
  <c r="B2581" i="1"/>
  <c r="B2699" i="1"/>
  <c r="B2708" i="1"/>
  <c r="B2795" i="1"/>
  <c r="B2840" i="1"/>
  <c r="B2843" i="1"/>
  <c r="B2854" i="1"/>
  <c r="B2878" i="1"/>
  <c r="B2879" i="1"/>
  <c r="B2974" i="1"/>
  <c r="B2984" i="1"/>
  <c r="B2998" i="1"/>
  <c r="B3008" i="1"/>
  <c r="B3012" i="1"/>
  <c r="B3021" i="1"/>
  <c r="B3022" i="1"/>
  <c r="B3118" i="1"/>
  <c r="B3152" i="1"/>
  <c r="B3212" i="1"/>
  <c r="B3238" i="1"/>
  <c r="B3251" i="1"/>
  <c r="B3260" i="1"/>
  <c r="B3261" i="1"/>
  <c r="B3263" i="1"/>
  <c r="B3265" i="1"/>
  <c r="B3266" i="1"/>
  <c r="B3272" i="1"/>
  <c r="B3287" i="1"/>
  <c r="B3368" i="1"/>
  <c r="B3379" i="1"/>
  <c r="B3428" i="1"/>
  <c r="B3476" i="1"/>
  <c r="B3500" i="1"/>
  <c r="B3501" i="1"/>
  <c r="B3527" i="1"/>
  <c r="B3548" i="1"/>
  <c r="B3598" i="1"/>
  <c r="B3599" i="1"/>
  <c r="B3620" i="1"/>
  <c r="B3632" i="1"/>
  <c r="B3645" i="1"/>
  <c r="B3704" i="1"/>
  <c r="B3743" i="1"/>
  <c r="B3767" i="1"/>
  <c r="B3815" i="1"/>
  <c r="B3840" i="1"/>
  <c r="B3848" i="1"/>
  <c r="B3851" i="1"/>
  <c r="B3872" i="1"/>
  <c r="B3875" i="1"/>
  <c r="B3911" i="1"/>
  <c r="B3944" i="1"/>
  <c r="B3947" i="1"/>
  <c r="B3971" i="1"/>
  <c r="B3972" i="1"/>
  <c r="B11" i="1"/>
  <c r="A2" i="1"/>
  <c r="B2" i="1" s="1"/>
  <c r="A1" i="1"/>
  <c r="C1" i="1"/>
  <c r="A3" i="1"/>
  <c r="B3" i="1" s="1"/>
  <c r="C3" i="1"/>
  <c r="A4" i="1"/>
  <c r="B4" i="1" s="1"/>
  <c r="C4" i="1"/>
  <c r="A5" i="1"/>
  <c r="B5" i="1" s="1"/>
  <c r="C5" i="1"/>
  <c r="A6" i="1"/>
  <c r="B6" i="1" s="1"/>
  <c r="C6" i="1"/>
  <c r="A7" i="1"/>
  <c r="B7" i="1" s="1"/>
  <c r="C7" i="1"/>
  <c r="A8" i="1"/>
  <c r="B8" i="1" s="1"/>
  <c r="C8" i="1"/>
  <c r="A9" i="1"/>
  <c r="B9" i="1" s="1"/>
  <c r="C9" i="1"/>
  <c r="A10" i="1"/>
  <c r="B10" i="1" s="1"/>
  <c r="C10" i="1"/>
  <c r="A11" i="1"/>
  <c r="C11" i="1"/>
  <c r="A12" i="1"/>
  <c r="B12" i="1" s="1"/>
  <c r="C12" i="1"/>
  <c r="A13" i="1"/>
  <c r="B13" i="1" s="1"/>
  <c r="C13" i="1"/>
  <c r="A14" i="1"/>
  <c r="B14" i="1" s="1"/>
  <c r="C14" i="1"/>
  <c r="A15" i="1"/>
  <c r="B15" i="1" s="1"/>
  <c r="C15" i="1"/>
  <c r="A16" i="1"/>
  <c r="B16" i="1" s="1"/>
  <c r="C16" i="1"/>
  <c r="A17" i="1"/>
  <c r="B17" i="1" s="1"/>
  <c r="C17" i="1"/>
  <c r="A18" i="1"/>
  <c r="B18" i="1" s="1"/>
  <c r="C18" i="1"/>
  <c r="A19" i="1"/>
  <c r="B19" i="1" s="1"/>
  <c r="C19" i="1"/>
  <c r="A20" i="1"/>
  <c r="B20" i="1" s="1"/>
  <c r="C20" i="1"/>
  <c r="A21" i="1"/>
  <c r="B21" i="1" s="1"/>
  <c r="C21" i="1"/>
  <c r="A22" i="1"/>
  <c r="B22" i="1" s="1"/>
  <c r="C22" i="1"/>
  <c r="A23" i="1"/>
  <c r="B23" i="1" s="1"/>
  <c r="C23" i="1"/>
  <c r="A24" i="1"/>
  <c r="B24" i="1" s="1"/>
  <c r="C24" i="1"/>
  <c r="A25" i="1"/>
  <c r="B25" i="1" s="1"/>
  <c r="C25" i="1"/>
  <c r="A26" i="1"/>
  <c r="B26" i="1" s="1"/>
  <c r="C26" i="1"/>
  <c r="A27" i="1"/>
  <c r="B27" i="1" s="1"/>
  <c r="C27" i="1"/>
  <c r="A28" i="1"/>
  <c r="B28" i="1" s="1"/>
  <c r="C28" i="1"/>
  <c r="A29" i="1"/>
  <c r="B29" i="1" s="1"/>
  <c r="C29" i="1"/>
  <c r="A30" i="1"/>
  <c r="B30" i="1" s="1"/>
  <c r="C30" i="1"/>
  <c r="A31" i="1"/>
  <c r="B31" i="1" s="1"/>
  <c r="C31" i="1"/>
  <c r="A32" i="1"/>
  <c r="B32" i="1" s="1"/>
  <c r="C32" i="1"/>
  <c r="A33" i="1"/>
  <c r="B33" i="1" s="1"/>
  <c r="C33" i="1"/>
  <c r="A34" i="1"/>
  <c r="B34" i="1" s="1"/>
  <c r="C34" i="1"/>
  <c r="A35" i="1"/>
  <c r="B35" i="1" s="1"/>
  <c r="C35" i="1"/>
  <c r="A36" i="1"/>
  <c r="B36" i="1" s="1"/>
  <c r="C36" i="1"/>
  <c r="A37" i="1"/>
  <c r="B37" i="1" s="1"/>
  <c r="C37" i="1"/>
  <c r="A38" i="1"/>
  <c r="B38" i="1" s="1"/>
  <c r="C38" i="1"/>
  <c r="A39" i="1"/>
  <c r="B39" i="1" s="1"/>
  <c r="C39" i="1"/>
  <c r="A40" i="1"/>
  <c r="B40" i="1" s="1"/>
  <c r="C40" i="1"/>
  <c r="A41" i="1"/>
  <c r="B41" i="1" s="1"/>
  <c r="C41" i="1"/>
  <c r="A42" i="1"/>
  <c r="B42" i="1" s="1"/>
  <c r="C42" i="1"/>
  <c r="A43" i="1"/>
  <c r="B43" i="1" s="1"/>
  <c r="C43" i="1"/>
  <c r="A44" i="1"/>
  <c r="B44" i="1" s="1"/>
  <c r="C44" i="1"/>
  <c r="A45" i="1"/>
  <c r="B45" i="1" s="1"/>
  <c r="C45" i="1"/>
  <c r="A46" i="1"/>
  <c r="B46" i="1" s="1"/>
  <c r="C46" i="1"/>
  <c r="A47" i="1"/>
  <c r="B47" i="1" s="1"/>
  <c r="C47" i="1"/>
  <c r="A48" i="1"/>
  <c r="B48" i="1" s="1"/>
  <c r="C48" i="1"/>
  <c r="A49" i="1"/>
  <c r="B49" i="1" s="1"/>
  <c r="C49" i="1"/>
  <c r="A50" i="1"/>
  <c r="B50" i="1" s="1"/>
  <c r="C50" i="1"/>
  <c r="A51" i="1"/>
  <c r="B51" i="1" s="1"/>
  <c r="C51" i="1"/>
  <c r="A52" i="1"/>
  <c r="B52" i="1" s="1"/>
  <c r="C52" i="1"/>
  <c r="A53" i="1"/>
  <c r="B53" i="1" s="1"/>
  <c r="C53" i="1"/>
  <c r="A54" i="1"/>
  <c r="B54" i="1" s="1"/>
  <c r="C54" i="1"/>
  <c r="A55" i="1"/>
  <c r="B55" i="1" s="1"/>
  <c r="C55" i="1"/>
  <c r="A56" i="1"/>
  <c r="B56" i="1" s="1"/>
  <c r="C56" i="1"/>
  <c r="A57" i="1"/>
  <c r="B57" i="1" s="1"/>
  <c r="C57" i="1"/>
  <c r="A58" i="1"/>
  <c r="B58" i="1" s="1"/>
  <c r="C58" i="1"/>
  <c r="A59" i="1"/>
  <c r="B59" i="1" s="1"/>
  <c r="C59" i="1"/>
  <c r="A60" i="1"/>
  <c r="B60" i="1" s="1"/>
  <c r="C60" i="1"/>
  <c r="A61" i="1"/>
  <c r="B61" i="1" s="1"/>
  <c r="C61" i="1"/>
  <c r="A62" i="1"/>
  <c r="B62" i="1" s="1"/>
  <c r="C62" i="1"/>
  <c r="A63" i="1"/>
  <c r="B63" i="1" s="1"/>
  <c r="C63" i="1"/>
  <c r="A64" i="1"/>
  <c r="B64" i="1" s="1"/>
  <c r="C64" i="1"/>
  <c r="A65" i="1"/>
  <c r="B65" i="1" s="1"/>
  <c r="C65" i="1"/>
  <c r="A66" i="1"/>
  <c r="B66" i="1" s="1"/>
  <c r="C66" i="1"/>
  <c r="A67" i="1"/>
  <c r="B67" i="1" s="1"/>
  <c r="C67" i="1"/>
  <c r="A68" i="1"/>
  <c r="B68" i="1" s="1"/>
  <c r="C68" i="1"/>
  <c r="A69" i="1"/>
  <c r="B69" i="1" s="1"/>
  <c r="C69" i="1"/>
  <c r="A70" i="1"/>
  <c r="B70" i="1" s="1"/>
  <c r="C70" i="1"/>
  <c r="A71" i="1"/>
  <c r="B71" i="1" s="1"/>
  <c r="C71" i="1"/>
  <c r="A72" i="1"/>
  <c r="B72" i="1" s="1"/>
  <c r="C72" i="1"/>
  <c r="A73" i="1"/>
  <c r="B73" i="1" s="1"/>
  <c r="C73" i="1"/>
  <c r="A74" i="1"/>
  <c r="B74" i="1" s="1"/>
  <c r="C74" i="1"/>
  <c r="A75" i="1"/>
  <c r="B75" i="1" s="1"/>
  <c r="C75" i="1"/>
  <c r="A76" i="1"/>
  <c r="B76" i="1" s="1"/>
  <c r="C76" i="1"/>
  <c r="A77" i="1"/>
  <c r="B77" i="1" s="1"/>
  <c r="C77" i="1"/>
  <c r="A78" i="1"/>
  <c r="B78" i="1" s="1"/>
  <c r="C78" i="1"/>
  <c r="A79" i="1"/>
  <c r="B79" i="1" s="1"/>
  <c r="C79" i="1"/>
  <c r="A80" i="1"/>
  <c r="B80" i="1" s="1"/>
  <c r="C80" i="1"/>
  <c r="A81" i="1"/>
  <c r="B81" i="1" s="1"/>
  <c r="C81" i="1"/>
  <c r="A82" i="1"/>
  <c r="B82" i="1" s="1"/>
  <c r="C82" i="1"/>
  <c r="A83" i="1"/>
  <c r="B83" i="1" s="1"/>
  <c r="C83" i="1"/>
  <c r="A84" i="1"/>
  <c r="B84" i="1" s="1"/>
  <c r="C84" i="1"/>
  <c r="A85" i="1"/>
  <c r="B85" i="1" s="1"/>
  <c r="C85" i="1"/>
  <c r="A86" i="1"/>
  <c r="B86" i="1" s="1"/>
  <c r="C86" i="1"/>
  <c r="A87" i="1"/>
  <c r="B87" i="1" s="1"/>
  <c r="C87" i="1"/>
  <c r="A88" i="1"/>
  <c r="B88" i="1" s="1"/>
  <c r="C88" i="1"/>
  <c r="A89" i="1"/>
  <c r="B89" i="1" s="1"/>
  <c r="C89" i="1"/>
  <c r="A90" i="1"/>
  <c r="B90" i="1" s="1"/>
  <c r="C90" i="1"/>
  <c r="A91" i="1"/>
  <c r="B91" i="1" s="1"/>
  <c r="C91" i="1"/>
  <c r="A92" i="1"/>
  <c r="B92" i="1" s="1"/>
  <c r="C92" i="1"/>
  <c r="A93" i="1"/>
  <c r="B93" i="1" s="1"/>
  <c r="C93" i="1"/>
  <c r="A94" i="1"/>
  <c r="B94" i="1" s="1"/>
  <c r="C94" i="1"/>
  <c r="A95" i="1"/>
  <c r="B95" i="1" s="1"/>
  <c r="C95" i="1"/>
  <c r="A96" i="1"/>
  <c r="B96" i="1" s="1"/>
  <c r="C96" i="1"/>
  <c r="A97" i="1"/>
  <c r="B97" i="1" s="1"/>
  <c r="C97" i="1"/>
  <c r="A98" i="1"/>
  <c r="B98" i="1" s="1"/>
  <c r="C98" i="1"/>
  <c r="A99" i="1"/>
  <c r="B99" i="1" s="1"/>
  <c r="C99" i="1"/>
  <c r="A100" i="1"/>
  <c r="B100" i="1" s="1"/>
  <c r="C100" i="1"/>
  <c r="A101" i="1"/>
  <c r="B101" i="1" s="1"/>
  <c r="C101" i="1"/>
  <c r="A102" i="1"/>
  <c r="B102" i="1" s="1"/>
  <c r="C102" i="1"/>
  <c r="A103" i="1"/>
  <c r="B103" i="1" s="1"/>
  <c r="C103" i="1"/>
  <c r="A104" i="1"/>
  <c r="B104" i="1" s="1"/>
  <c r="C104" i="1"/>
  <c r="A105" i="1"/>
  <c r="B105" i="1" s="1"/>
  <c r="C105" i="1"/>
  <c r="A106" i="1"/>
  <c r="B106" i="1" s="1"/>
  <c r="C106" i="1"/>
  <c r="A107" i="1"/>
  <c r="B107" i="1" s="1"/>
  <c r="C107" i="1"/>
  <c r="A108" i="1"/>
  <c r="B108" i="1" s="1"/>
  <c r="C108" i="1"/>
  <c r="A109" i="1"/>
  <c r="B109" i="1" s="1"/>
  <c r="C109" i="1"/>
  <c r="A110" i="1"/>
  <c r="B110" i="1" s="1"/>
  <c r="C110" i="1"/>
  <c r="A111" i="1"/>
  <c r="B111" i="1" s="1"/>
  <c r="C111" i="1"/>
  <c r="A112" i="1"/>
  <c r="B112" i="1" s="1"/>
  <c r="C112" i="1"/>
  <c r="A113" i="1"/>
  <c r="B113" i="1" s="1"/>
  <c r="C113" i="1"/>
  <c r="A114" i="1"/>
  <c r="B114" i="1" s="1"/>
  <c r="C114" i="1"/>
  <c r="A115" i="1"/>
  <c r="B115" i="1" s="1"/>
  <c r="C115" i="1"/>
  <c r="A116" i="1"/>
  <c r="B116" i="1" s="1"/>
  <c r="C116" i="1"/>
  <c r="A117" i="1"/>
  <c r="B117" i="1" s="1"/>
  <c r="C117" i="1"/>
  <c r="A118" i="1"/>
  <c r="B118" i="1" s="1"/>
  <c r="C118" i="1"/>
  <c r="A119" i="1"/>
  <c r="B119" i="1" s="1"/>
  <c r="C119" i="1"/>
  <c r="A120" i="1"/>
  <c r="B120" i="1" s="1"/>
  <c r="C120" i="1"/>
  <c r="A121" i="1"/>
  <c r="B121" i="1" s="1"/>
  <c r="C121" i="1"/>
  <c r="A122" i="1"/>
  <c r="B122" i="1" s="1"/>
  <c r="C122" i="1"/>
  <c r="A123" i="1"/>
  <c r="B123" i="1" s="1"/>
  <c r="C123" i="1"/>
  <c r="A124" i="1"/>
  <c r="B124" i="1" s="1"/>
  <c r="C124" i="1"/>
  <c r="A125" i="1"/>
  <c r="B125" i="1" s="1"/>
  <c r="C125" i="1"/>
  <c r="A126" i="1"/>
  <c r="B126" i="1" s="1"/>
  <c r="C126" i="1"/>
  <c r="A127" i="1"/>
  <c r="B127" i="1" s="1"/>
  <c r="C127" i="1"/>
  <c r="A128" i="1"/>
  <c r="B128" i="1" s="1"/>
  <c r="C128" i="1"/>
  <c r="A129" i="1"/>
  <c r="B129" i="1" s="1"/>
  <c r="C129" i="1"/>
  <c r="A130" i="1"/>
  <c r="B130" i="1" s="1"/>
  <c r="C130" i="1"/>
  <c r="A131" i="1"/>
  <c r="B131" i="1" s="1"/>
  <c r="C131" i="1"/>
  <c r="A132" i="1"/>
  <c r="B132" i="1" s="1"/>
  <c r="C132" i="1"/>
  <c r="A133" i="1"/>
  <c r="B133" i="1" s="1"/>
  <c r="C133" i="1"/>
  <c r="A134" i="1"/>
  <c r="B134" i="1" s="1"/>
  <c r="C134" i="1"/>
  <c r="A135" i="1"/>
  <c r="B135" i="1" s="1"/>
  <c r="C135" i="1"/>
  <c r="A136" i="1"/>
  <c r="B136" i="1" s="1"/>
  <c r="C136" i="1"/>
  <c r="A137" i="1"/>
  <c r="B137" i="1" s="1"/>
  <c r="C137" i="1"/>
  <c r="A138" i="1"/>
  <c r="B138" i="1" s="1"/>
  <c r="C138" i="1"/>
  <c r="A139" i="1"/>
  <c r="B139" i="1" s="1"/>
  <c r="C139" i="1"/>
  <c r="A140" i="1"/>
  <c r="C140" i="1"/>
  <c r="A141" i="1"/>
  <c r="B141" i="1" s="1"/>
  <c r="C141" i="1"/>
  <c r="A142" i="1"/>
  <c r="B142" i="1" s="1"/>
  <c r="C142" i="1"/>
  <c r="A143" i="1"/>
  <c r="B143" i="1" s="1"/>
  <c r="C143" i="1"/>
  <c r="A144" i="1"/>
  <c r="B144" i="1" s="1"/>
  <c r="C144" i="1"/>
  <c r="A145" i="1"/>
  <c r="B145" i="1" s="1"/>
  <c r="C145" i="1"/>
  <c r="A146" i="1"/>
  <c r="B146" i="1" s="1"/>
  <c r="C146" i="1"/>
  <c r="A147" i="1"/>
  <c r="B147" i="1" s="1"/>
  <c r="C147" i="1"/>
  <c r="A148" i="1"/>
  <c r="B148" i="1" s="1"/>
  <c r="C148" i="1"/>
  <c r="A149" i="1"/>
  <c r="B149" i="1" s="1"/>
  <c r="C149" i="1"/>
  <c r="A150" i="1"/>
  <c r="B150" i="1" s="1"/>
  <c r="C150" i="1"/>
  <c r="A151" i="1"/>
  <c r="B151" i="1" s="1"/>
  <c r="C151" i="1"/>
  <c r="A152" i="1"/>
  <c r="B152" i="1" s="1"/>
  <c r="C152" i="1"/>
  <c r="A153" i="1"/>
  <c r="B153" i="1" s="1"/>
  <c r="C153" i="1"/>
  <c r="A154" i="1"/>
  <c r="B154" i="1" s="1"/>
  <c r="C154" i="1"/>
  <c r="A155" i="1"/>
  <c r="B155" i="1" s="1"/>
  <c r="C155" i="1"/>
  <c r="A156" i="1"/>
  <c r="B156" i="1" s="1"/>
  <c r="C156" i="1"/>
  <c r="A157" i="1"/>
  <c r="B157" i="1" s="1"/>
  <c r="C157" i="1"/>
  <c r="A158" i="1"/>
  <c r="B158" i="1" s="1"/>
  <c r="C158" i="1"/>
  <c r="A159" i="1"/>
  <c r="B159" i="1" s="1"/>
  <c r="C159" i="1"/>
  <c r="A160" i="1"/>
  <c r="B160" i="1" s="1"/>
  <c r="C160" i="1"/>
  <c r="A161" i="1"/>
  <c r="B161" i="1" s="1"/>
  <c r="C161" i="1"/>
  <c r="A162" i="1"/>
  <c r="B162" i="1" s="1"/>
  <c r="C162" i="1"/>
  <c r="A163" i="1"/>
  <c r="B163" i="1" s="1"/>
  <c r="C163" i="1"/>
  <c r="A164" i="1"/>
  <c r="B164" i="1" s="1"/>
  <c r="C164" i="1"/>
  <c r="A165" i="1"/>
  <c r="B165" i="1" s="1"/>
  <c r="C165" i="1"/>
  <c r="A166" i="1"/>
  <c r="B166" i="1" s="1"/>
  <c r="C166" i="1"/>
  <c r="A167" i="1"/>
  <c r="B167" i="1" s="1"/>
  <c r="C167" i="1"/>
  <c r="A168" i="1"/>
  <c r="B168" i="1" s="1"/>
  <c r="C168" i="1"/>
  <c r="A169" i="1"/>
  <c r="B169" i="1" s="1"/>
  <c r="C169" i="1"/>
  <c r="A170" i="1"/>
  <c r="B170" i="1" s="1"/>
  <c r="C170" i="1"/>
  <c r="A171" i="1"/>
  <c r="B171" i="1" s="1"/>
  <c r="C171" i="1"/>
  <c r="A172" i="1"/>
  <c r="B172" i="1" s="1"/>
  <c r="C172" i="1"/>
  <c r="A173" i="1"/>
  <c r="B173" i="1" s="1"/>
  <c r="C173" i="1"/>
  <c r="A174" i="1"/>
  <c r="B174" i="1" s="1"/>
  <c r="C174" i="1"/>
  <c r="A175" i="1"/>
  <c r="B175" i="1" s="1"/>
  <c r="C175" i="1"/>
  <c r="A176" i="1"/>
  <c r="B176" i="1" s="1"/>
  <c r="C176" i="1"/>
  <c r="A177" i="1"/>
  <c r="B177" i="1" s="1"/>
  <c r="C177" i="1"/>
  <c r="A178" i="1"/>
  <c r="B178" i="1" s="1"/>
  <c r="C178" i="1"/>
  <c r="A179" i="1"/>
  <c r="B179" i="1" s="1"/>
  <c r="C179" i="1"/>
  <c r="A180" i="1"/>
  <c r="B180" i="1" s="1"/>
  <c r="C180" i="1"/>
  <c r="A181" i="1"/>
  <c r="B181" i="1" s="1"/>
  <c r="C181" i="1"/>
  <c r="A182" i="1"/>
  <c r="B182" i="1" s="1"/>
  <c r="C182" i="1"/>
  <c r="A183" i="1"/>
  <c r="B183" i="1" s="1"/>
  <c r="C183" i="1"/>
  <c r="A184" i="1"/>
  <c r="B184" i="1" s="1"/>
  <c r="C184" i="1"/>
  <c r="A185" i="1"/>
  <c r="B185" i="1" s="1"/>
  <c r="C185" i="1"/>
  <c r="A186" i="1"/>
  <c r="B186" i="1" s="1"/>
  <c r="C186" i="1"/>
  <c r="A187" i="1"/>
  <c r="B187" i="1" s="1"/>
  <c r="C187" i="1"/>
  <c r="A188" i="1"/>
  <c r="B188" i="1" s="1"/>
  <c r="C188" i="1"/>
  <c r="A189" i="1"/>
  <c r="B189" i="1" s="1"/>
  <c r="C189" i="1"/>
  <c r="A190" i="1"/>
  <c r="B190" i="1" s="1"/>
  <c r="C190" i="1"/>
  <c r="A191" i="1"/>
  <c r="B191" i="1" s="1"/>
  <c r="C191" i="1"/>
  <c r="A192" i="1"/>
  <c r="B192" i="1" s="1"/>
  <c r="C192" i="1"/>
  <c r="A193" i="1"/>
  <c r="B193" i="1" s="1"/>
  <c r="C193" i="1"/>
  <c r="A194" i="1"/>
  <c r="B194" i="1" s="1"/>
  <c r="C194" i="1"/>
  <c r="A195" i="1"/>
  <c r="B195" i="1" s="1"/>
  <c r="C195" i="1"/>
  <c r="A196" i="1"/>
  <c r="B196" i="1" s="1"/>
  <c r="C196" i="1"/>
  <c r="A197" i="1"/>
  <c r="B197" i="1" s="1"/>
  <c r="C197" i="1"/>
  <c r="A198" i="1"/>
  <c r="B198" i="1" s="1"/>
  <c r="C198" i="1"/>
  <c r="A199" i="1"/>
  <c r="B199" i="1" s="1"/>
  <c r="C199" i="1"/>
  <c r="A200" i="1"/>
  <c r="B200" i="1" s="1"/>
  <c r="C200" i="1"/>
  <c r="A201" i="1"/>
  <c r="B201" i="1" s="1"/>
  <c r="C201" i="1"/>
  <c r="A202" i="1"/>
  <c r="B202" i="1" s="1"/>
  <c r="C202" i="1"/>
  <c r="A203" i="1"/>
  <c r="B203" i="1" s="1"/>
  <c r="C203" i="1"/>
  <c r="A204" i="1"/>
  <c r="B204" i="1" s="1"/>
  <c r="C204" i="1"/>
  <c r="A205" i="1"/>
  <c r="B205" i="1" s="1"/>
  <c r="C205" i="1"/>
  <c r="A206" i="1"/>
  <c r="B206" i="1" s="1"/>
  <c r="C206" i="1"/>
  <c r="A207" i="1"/>
  <c r="B207" i="1" s="1"/>
  <c r="C207" i="1"/>
  <c r="A208" i="1"/>
  <c r="B208" i="1" s="1"/>
  <c r="C208" i="1"/>
  <c r="A209" i="1"/>
  <c r="B209" i="1" s="1"/>
  <c r="C209" i="1"/>
  <c r="A210" i="1"/>
  <c r="B210" i="1" s="1"/>
  <c r="C210" i="1"/>
  <c r="A211" i="1"/>
  <c r="B211" i="1" s="1"/>
  <c r="C211" i="1"/>
  <c r="A212" i="1"/>
  <c r="B212" i="1" s="1"/>
  <c r="C212" i="1"/>
  <c r="A213" i="1"/>
  <c r="B213" i="1" s="1"/>
  <c r="C213" i="1"/>
  <c r="A214" i="1"/>
  <c r="B214" i="1" s="1"/>
  <c r="C214" i="1"/>
  <c r="A215" i="1"/>
  <c r="B215" i="1" s="1"/>
  <c r="C215" i="1"/>
  <c r="A216" i="1"/>
  <c r="B216" i="1" s="1"/>
  <c r="C216" i="1"/>
  <c r="A217" i="1"/>
  <c r="B217" i="1" s="1"/>
  <c r="C217" i="1"/>
  <c r="A218" i="1"/>
  <c r="B218" i="1" s="1"/>
  <c r="C218" i="1"/>
  <c r="A219" i="1"/>
  <c r="B219" i="1" s="1"/>
  <c r="C219" i="1"/>
  <c r="A220" i="1"/>
  <c r="B220" i="1" s="1"/>
  <c r="C220" i="1"/>
  <c r="A221" i="1"/>
  <c r="B221" i="1" s="1"/>
  <c r="C221" i="1"/>
  <c r="A222" i="1"/>
  <c r="B222" i="1" s="1"/>
  <c r="C222" i="1"/>
  <c r="A223" i="1"/>
  <c r="B223" i="1" s="1"/>
  <c r="C223" i="1"/>
  <c r="A224" i="1"/>
  <c r="B224" i="1" s="1"/>
  <c r="C224" i="1"/>
  <c r="A225" i="1"/>
  <c r="B225" i="1" s="1"/>
  <c r="C225" i="1"/>
  <c r="A226" i="1"/>
  <c r="B226" i="1" s="1"/>
  <c r="C226" i="1"/>
  <c r="A227" i="1"/>
  <c r="B227" i="1" s="1"/>
  <c r="C227" i="1"/>
  <c r="A228" i="1"/>
  <c r="B228" i="1" s="1"/>
  <c r="C228" i="1"/>
  <c r="A229" i="1"/>
  <c r="B229" i="1" s="1"/>
  <c r="C229" i="1"/>
  <c r="A230" i="1"/>
  <c r="B230" i="1" s="1"/>
  <c r="C230" i="1"/>
  <c r="A231" i="1"/>
  <c r="B231" i="1" s="1"/>
  <c r="C231" i="1"/>
  <c r="A232" i="1"/>
  <c r="B232" i="1" s="1"/>
  <c r="C232" i="1"/>
  <c r="A233" i="1"/>
  <c r="B233" i="1" s="1"/>
  <c r="C233" i="1"/>
  <c r="A234" i="1"/>
  <c r="B234" i="1" s="1"/>
  <c r="C234" i="1"/>
  <c r="A235" i="1"/>
  <c r="B235" i="1" s="1"/>
  <c r="C235" i="1"/>
  <c r="A236" i="1"/>
  <c r="B236" i="1" s="1"/>
  <c r="C236" i="1"/>
  <c r="A237" i="1"/>
  <c r="B237" i="1" s="1"/>
  <c r="C237" i="1"/>
  <c r="A238" i="1"/>
  <c r="B238" i="1" s="1"/>
  <c r="C238" i="1"/>
  <c r="A239" i="1"/>
  <c r="B239" i="1" s="1"/>
  <c r="C239" i="1"/>
  <c r="A240" i="1"/>
  <c r="B240" i="1" s="1"/>
  <c r="C240" i="1"/>
  <c r="A241" i="1"/>
  <c r="B241" i="1" s="1"/>
  <c r="C241" i="1"/>
  <c r="A242" i="1"/>
  <c r="B242" i="1" s="1"/>
  <c r="C242" i="1"/>
  <c r="A243" i="1"/>
  <c r="B243" i="1" s="1"/>
  <c r="C243" i="1"/>
  <c r="A244" i="1"/>
  <c r="B244" i="1" s="1"/>
  <c r="C244" i="1"/>
  <c r="A245" i="1"/>
  <c r="B245" i="1" s="1"/>
  <c r="C245" i="1"/>
  <c r="A246" i="1"/>
  <c r="B246" i="1" s="1"/>
  <c r="C246" i="1"/>
  <c r="A247" i="1"/>
  <c r="B247" i="1" s="1"/>
  <c r="C247" i="1"/>
  <c r="A248" i="1"/>
  <c r="B248" i="1" s="1"/>
  <c r="C248" i="1"/>
  <c r="A249" i="1"/>
  <c r="B249" i="1" s="1"/>
  <c r="C249" i="1"/>
  <c r="A250" i="1"/>
  <c r="C250" i="1"/>
  <c r="A251" i="1"/>
  <c r="B251" i="1" s="1"/>
  <c r="C251" i="1"/>
  <c r="A252" i="1"/>
  <c r="B252" i="1" s="1"/>
  <c r="C252" i="1"/>
  <c r="A253" i="1"/>
  <c r="B253" i="1" s="1"/>
  <c r="C253" i="1"/>
  <c r="A254" i="1"/>
  <c r="B254" i="1" s="1"/>
  <c r="C254" i="1"/>
  <c r="A255" i="1"/>
  <c r="B255" i="1" s="1"/>
  <c r="C255" i="1"/>
  <c r="A256" i="1"/>
  <c r="B256" i="1" s="1"/>
  <c r="C256" i="1"/>
  <c r="A257" i="1"/>
  <c r="B257" i="1" s="1"/>
  <c r="C257" i="1"/>
  <c r="A258" i="1"/>
  <c r="B258" i="1" s="1"/>
  <c r="C258" i="1"/>
  <c r="A259" i="1"/>
  <c r="B259" i="1" s="1"/>
  <c r="C259" i="1"/>
  <c r="A260" i="1"/>
  <c r="B260" i="1" s="1"/>
  <c r="C260" i="1"/>
  <c r="A261" i="1"/>
  <c r="B261" i="1" s="1"/>
  <c r="C261" i="1"/>
  <c r="A262" i="1"/>
  <c r="B262" i="1" s="1"/>
  <c r="C262" i="1"/>
  <c r="A263" i="1"/>
  <c r="B263" i="1" s="1"/>
  <c r="C263" i="1"/>
  <c r="A264" i="1"/>
  <c r="B264" i="1" s="1"/>
  <c r="C264" i="1"/>
  <c r="A265" i="1"/>
  <c r="B265" i="1" s="1"/>
  <c r="C265" i="1"/>
  <c r="A266" i="1"/>
  <c r="B266" i="1" s="1"/>
  <c r="C266" i="1"/>
  <c r="A267" i="1"/>
  <c r="B267" i="1" s="1"/>
  <c r="C267" i="1"/>
  <c r="A268" i="1"/>
  <c r="B268" i="1" s="1"/>
  <c r="C268" i="1"/>
  <c r="A269" i="1"/>
  <c r="B269" i="1" s="1"/>
  <c r="C269" i="1"/>
  <c r="A270" i="1"/>
  <c r="B270" i="1" s="1"/>
  <c r="C270" i="1"/>
  <c r="A271" i="1"/>
  <c r="B271" i="1" s="1"/>
  <c r="C271" i="1"/>
  <c r="A272" i="1"/>
  <c r="B272" i="1" s="1"/>
  <c r="C272" i="1"/>
  <c r="A273" i="1"/>
  <c r="B273" i="1" s="1"/>
  <c r="C273" i="1"/>
  <c r="A274" i="1"/>
  <c r="B274" i="1" s="1"/>
  <c r="C274" i="1"/>
  <c r="A275" i="1"/>
  <c r="B275" i="1" s="1"/>
  <c r="C275" i="1"/>
  <c r="A276" i="1"/>
  <c r="B276" i="1" s="1"/>
  <c r="C276" i="1"/>
  <c r="A277" i="1"/>
  <c r="B277" i="1" s="1"/>
  <c r="C277" i="1"/>
  <c r="A278" i="1"/>
  <c r="B278" i="1" s="1"/>
  <c r="C278" i="1"/>
  <c r="A279" i="1"/>
  <c r="B279" i="1" s="1"/>
  <c r="C279" i="1"/>
  <c r="A280" i="1"/>
  <c r="B280" i="1" s="1"/>
  <c r="C280" i="1"/>
  <c r="A281" i="1"/>
  <c r="B281" i="1" s="1"/>
  <c r="C281" i="1"/>
  <c r="A282" i="1"/>
  <c r="B282" i="1" s="1"/>
  <c r="C282" i="1"/>
  <c r="A283" i="1"/>
  <c r="B283" i="1" s="1"/>
  <c r="C283" i="1"/>
  <c r="A284" i="1"/>
  <c r="B284" i="1" s="1"/>
  <c r="C284" i="1"/>
  <c r="A285" i="1"/>
  <c r="B285" i="1" s="1"/>
  <c r="C285" i="1"/>
  <c r="A286" i="1"/>
  <c r="B286" i="1" s="1"/>
  <c r="C286" i="1"/>
  <c r="A287" i="1"/>
  <c r="B287" i="1" s="1"/>
  <c r="C287" i="1"/>
  <c r="A288" i="1"/>
  <c r="B288" i="1" s="1"/>
  <c r="C288" i="1"/>
  <c r="A289" i="1"/>
  <c r="B289" i="1" s="1"/>
  <c r="C289" i="1"/>
  <c r="A290" i="1"/>
  <c r="B290" i="1" s="1"/>
  <c r="C290" i="1"/>
  <c r="A291" i="1"/>
  <c r="B291" i="1" s="1"/>
  <c r="C291" i="1"/>
  <c r="A292" i="1"/>
  <c r="B292" i="1" s="1"/>
  <c r="C292" i="1"/>
  <c r="A293" i="1"/>
  <c r="B293" i="1" s="1"/>
  <c r="C293" i="1"/>
  <c r="A294" i="1"/>
  <c r="B294" i="1" s="1"/>
  <c r="C294" i="1"/>
  <c r="A295" i="1"/>
  <c r="B295" i="1" s="1"/>
  <c r="C295" i="1"/>
  <c r="A296" i="1"/>
  <c r="B296" i="1" s="1"/>
  <c r="C296" i="1"/>
  <c r="A297" i="1"/>
  <c r="B297" i="1" s="1"/>
  <c r="C297" i="1"/>
  <c r="A298" i="1"/>
  <c r="B298" i="1" s="1"/>
  <c r="C298" i="1"/>
  <c r="A299" i="1"/>
  <c r="B299" i="1" s="1"/>
  <c r="C299" i="1"/>
  <c r="A300" i="1"/>
  <c r="B300" i="1" s="1"/>
  <c r="C300" i="1"/>
  <c r="A301" i="1"/>
  <c r="B301" i="1" s="1"/>
  <c r="C301" i="1"/>
  <c r="A302" i="1"/>
  <c r="B302" i="1" s="1"/>
  <c r="C302" i="1"/>
  <c r="A303" i="1"/>
  <c r="B303" i="1" s="1"/>
  <c r="C303" i="1"/>
  <c r="A304" i="1"/>
  <c r="B304" i="1" s="1"/>
  <c r="C304" i="1"/>
  <c r="A305" i="1"/>
  <c r="B305" i="1" s="1"/>
  <c r="C305" i="1"/>
  <c r="A306" i="1"/>
  <c r="B306" i="1" s="1"/>
  <c r="C306" i="1"/>
  <c r="A307" i="1"/>
  <c r="B307" i="1" s="1"/>
  <c r="C307" i="1"/>
  <c r="A308" i="1"/>
  <c r="B308" i="1" s="1"/>
  <c r="C308" i="1"/>
  <c r="A309" i="1"/>
  <c r="B309" i="1" s="1"/>
  <c r="C309" i="1"/>
  <c r="A310" i="1"/>
  <c r="B310" i="1" s="1"/>
  <c r="C310" i="1"/>
  <c r="A311" i="1"/>
  <c r="B311" i="1" s="1"/>
  <c r="C311" i="1"/>
  <c r="A312" i="1"/>
  <c r="B312" i="1" s="1"/>
  <c r="C312" i="1"/>
  <c r="A313" i="1"/>
  <c r="B313" i="1" s="1"/>
  <c r="C313" i="1"/>
  <c r="A314" i="1"/>
  <c r="B314" i="1" s="1"/>
  <c r="C314" i="1"/>
  <c r="A315" i="1"/>
  <c r="B315" i="1" s="1"/>
  <c r="C315" i="1"/>
  <c r="A316" i="1"/>
  <c r="B316" i="1" s="1"/>
  <c r="C316" i="1"/>
  <c r="A317" i="1"/>
  <c r="B317" i="1" s="1"/>
  <c r="C317" i="1"/>
  <c r="A318" i="1"/>
  <c r="B318" i="1" s="1"/>
  <c r="C318" i="1"/>
  <c r="A319" i="1"/>
  <c r="B319" i="1" s="1"/>
  <c r="C319" i="1"/>
  <c r="A320" i="1"/>
  <c r="B320" i="1" s="1"/>
  <c r="C320" i="1"/>
  <c r="A321" i="1"/>
  <c r="B321" i="1" s="1"/>
  <c r="C321" i="1"/>
  <c r="A322" i="1"/>
  <c r="B322" i="1" s="1"/>
  <c r="C322" i="1"/>
  <c r="A323" i="1"/>
  <c r="B323" i="1" s="1"/>
  <c r="C323" i="1"/>
  <c r="A324" i="1"/>
  <c r="B324" i="1" s="1"/>
  <c r="C324" i="1"/>
  <c r="A325" i="1"/>
  <c r="B325" i="1" s="1"/>
  <c r="C325" i="1"/>
  <c r="A326" i="1"/>
  <c r="B326" i="1" s="1"/>
  <c r="C326" i="1"/>
  <c r="A327" i="1"/>
  <c r="B327" i="1" s="1"/>
  <c r="C327" i="1"/>
  <c r="A328" i="1"/>
  <c r="B328" i="1" s="1"/>
  <c r="C328" i="1"/>
  <c r="A329" i="1"/>
  <c r="B329" i="1" s="1"/>
  <c r="C329" i="1"/>
  <c r="A330" i="1"/>
  <c r="B330" i="1" s="1"/>
  <c r="C330" i="1"/>
  <c r="A331" i="1"/>
  <c r="B331" i="1" s="1"/>
  <c r="C331" i="1"/>
  <c r="A332" i="1"/>
  <c r="B332" i="1" s="1"/>
  <c r="C332" i="1"/>
  <c r="A333" i="1"/>
  <c r="B333" i="1" s="1"/>
  <c r="C333" i="1"/>
  <c r="A334" i="1"/>
  <c r="B334" i="1" s="1"/>
  <c r="C334" i="1"/>
  <c r="A335" i="1"/>
  <c r="B335" i="1" s="1"/>
  <c r="C335" i="1"/>
  <c r="A336" i="1"/>
  <c r="B336" i="1" s="1"/>
  <c r="C336" i="1"/>
  <c r="A337" i="1"/>
  <c r="B337" i="1" s="1"/>
  <c r="C337" i="1"/>
  <c r="A338" i="1"/>
  <c r="B338" i="1" s="1"/>
  <c r="C338" i="1"/>
  <c r="A339" i="1"/>
  <c r="B339" i="1" s="1"/>
  <c r="C339" i="1"/>
  <c r="A340" i="1"/>
  <c r="B340" i="1" s="1"/>
  <c r="C340" i="1"/>
  <c r="A341" i="1"/>
  <c r="B341" i="1" s="1"/>
  <c r="C341" i="1"/>
  <c r="A342" i="1"/>
  <c r="B342" i="1" s="1"/>
  <c r="C342" i="1"/>
  <c r="A343" i="1"/>
  <c r="B343" i="1" s="1"/>
  <c r="C343" i="1"/>
  <c r="A344" i="1"/>
  <c r="B344" i="1" s="1"/>
  <c r="C344" i="1"/>
  <c r="A345" i="1"/>
  <c r="B345" i="1" s="1"/>
  <c r="C345" i="1"/>
  <c r="A346" i="1"/>
  <c r="B346" i="1" s="1"/>
  <c r="C346" i="1"/>
  <c r="A347" i="1"/>
  <c r="B347" i="1" s="1"/>
  <c r="C347" i="1"/>
  <c r="A348" i="1"/>
  <c r="B348" i="1" s="1"/>
  <c r="C348" i="1"/>
  <c r="A349" i="1"/>
  <c r="B349" i="1" s="1"/>
  <c r="C349" i="1"/>
  <c r="A350" i="1"/>
  <c r="B350" i="1" s="1"/>
  <c r="C350" i="1"/>
  <c r="A351" i="1"/>
  <c r="B351" i="1" s="1"/>
  <c r="C351" i="1"/>
  <c r="A352" i="1"/>
  <c r="B352" i="1" s="1"/>
  <c r="C352" i="1"/>
  <c r="A353" i="1"/>
  <c r="B353" i="1" s="1"/>
  <c r="C353" i="1"/>
  <c r="A354" i="1"/>
  <c r="B354" i="1" s="1"/>
  <c r="C354" i="1"/>
  <c r="A355" i="1"/>
  <c r="B355" i="1" s="1"/>
  <c r="C355" i="1"/>
  <c r="A356" i="1"/>
  <c r="B356" i="1" s="1"/>
  <c r="C356" i="1"/>
  <c r="A357" i="1"/>
  <c r="B357" i="1" s="1"/>
  <c r="C357" i="1"/>
  <c r="A358" i="1"/>
  <c r="B358" i="1" s="1"/>
  <c r="C358" i="1"/>
  <c r="A359" i="1"/>
  <c r="B359" i="1" s="1"/>
  <c r="C359" i="1"/>
  <c r="A360" i="1"/>
  <c r="B360" i="1" s="1"/>
  <c r="C360" i="1"/>
  <c r="A361" i="1"/>
  <c r="B361" i="1" s="1"/>
  <c r="C361" i="1"/>
  <c r="A362" i="1"/>
  <c r="B362" i="1" s="1"/>
  <c r="C362" i="1"/>
  <c r="A363" i="1"/>
  <c r="B363" i="1" s="1"/>
  <c r="C363" i="1"/>
  <c r="A364" i="1"/>
  <c r="B364" i="1" s="1"/>
  <c r="C364" i="1"/>
  <c r="A365" i="1"/>
  <c r="B365" i="1" s="1"/>
  <c r="C365" i="1"/>
  <c r="A366" i="1"/>
  <c r="B366" i="1" s="1"/>
  <c r="C366" i="1"/>
  <c r="A367" i="1"/>
  <c r="B367" i="1" s="1"/>
  <c r="C367" i="1"/>
  <c r="A368" i="1"/>
  <c r="B368" i="1" s="1"/>
  <c r="C368" i="1"/>
  <c r="A369" i="1"/>
  <c r="B369" i="1" s="1"/>
  <c r="C369" i="1"/>
  <c r="A370" i="1"/>
  <c r="B370" i="1" s="1"/>
  <c r="C370" i="1"/>
  <c r="A371" i="1"/>
  <c r="B371" i="1" s="1"/>
  <c r="C371" i="1"/>
  <c r="A372" i="1"/>
  <c r="B372" i="1" s="1"/>
  <c r="C372" i="1"/>
  <c r="A373" i="1"/>
  <c r="B373" i="1" s="1"/>
  <c r="C373" i="1"/>
  <c r="A374" i="1"/>
  <c r="B374" i="1" s="1"/>
  <c r="C374" i="1"/>
  <c r="A375" i="1"/>
  <c r="B375" i="1" s="1"/>
  <c r="C375" i="1"/>
  <c r="A376" i="1"/>
  <c r="B376" i="1" s="1"/>
  <c r="C376" i="1"/>
  <c r="A377" i="1"/>
  <c r="B377" i="1" s="1"/>
  <c r="C377" i="1"/>
  <c r="A378" i="1"/>
  <c r="B378" i="1" s="1"/>
  <c r="C378" i="1"/>
  <c r="A379" i="1"/>
  <c r="B379" i="1" s="1"/>
  <c r="C379" i="1"/>
  <c r="A380" i="1"/>
  <c r="B380" i="1" s="1"/>
  <c r="C380" i="1"/>
  <c r="A381" i="1"/>
  <c r="B381" i="1" s="1"/>
  <c r="C381" i="1"/>
  <c r="A382" i="1"/>
  <c r="B382" i="1" s="1"/>
  <c r="C382" i="1"/>
  <c r="A383" i="1"/>
  <c r="B383" i="1" s="1"/>
  <c r="C383" i="1"/>
  <c r="A384" i="1"/>
  <c r="B384" i="1" s="1"/>
  <c r="C384" i="1"/>
  <c r="A385" i="1"/>
  <c r="B385" i="1" s="1"/>
  <c r="C385" i="1"/>
  <c r="A386" i="1"/>
  <c r="B386" i="1" s="1"/>
  <c r="C386" i="1"/>
  <c r="A387" i="1"/>
  <c r="B387" i="1" s="1"/>
  <c r="C387" i="1"/>
  <c r="A388" i="1"/>
  <c r="B388" i="1" s="1"/>
  <c r="C388" i="1"/>
  <c r="A389" i="1"/>
  <c r="B389" i="1" s="1"/>
  <c r="C389" i="1"/>
  <c r="A390" i="1"/>
  <c r="B390" i="1" s="1"/>
  <c r="C390" i="1"/>
  <c r="A391" i="1"/>
  <c r="B391" i="1" s="1"/>
  <c r="C391" i="1"/>
  <c r="A392" i="1"/>
  <c r="B392" i="1" s="1"/>
  <c r="C392" i="1"/>
  <c r="A393" i="1"/>
  <c r="B393" i="1" s="1"/>
  <c r="C393" i="1"/>
  <c r="A394" i="1"/>
  <c r="B394" i="1" s="1"/>
  <c r="C394" i="1"/>
  <c r="A395" i="1"/>
  <c r="B395" i="1" s="1"/>
  <c r="C395" i="1"/>
  <c r="A396" i="1"/>
  <c r="B396" i="1" s="1"/>
  <c r="C396" i="1"/>
  <c r="A397" i="1"/>
  <c r="B397" i="1" s="1"/>
  <c r="C397" i="1"/>
  <c r="A398" i="1"/>
  <c r="B398" i="1" s="1"/>
  <c r="C398" i="1"/>
  <c r="A399" i="1"/>
  <c r="B399" i="1" s="1"/>
  <c r="C399" i="1"/>
  <c r="A400" i="1"/>
  <c r="B400" i="1" s="1"/>
  <c r="C400" i="1"/>
  <c r="A401" i="1"/>
  <c r="B401" i="1" s="1"/>
  <c r="C401" i="1"/>
  <c r="A402" i="1"/>
  <c r="B402" i="1" s="1"/>
  <c r="C402" i="1"/>
  <c r="A403" i="1"/>
  <c r="B403" i="1" s="1"/>
  <c r="C403" i="1"/>
  <c r="A404" i="1"/>
  <c r="B404" i="1" s="1"/>
  <c r="C404" i="1"/>
  <c r="A405" i="1"/>
  <c r="B405" i="1" s="1"/>
  <c r="C405" i="1"/>
  <c r="A406" i="1"/>
  <c r="B406" i="1" s="1"/>
  <c r="C406" i="1"/>
  <c r="A407" i="1"/>
  <c r="B407" i="1" s="1"/>
  <c r="C407" i="1"/>
  <c r="A408" i="1"/>
  <c r="B408" i="1" s="1"/>
  <c r="C408" i="1"/>
  <c r="A409" i="1"/>
  <c r="B409" i="1" s="1"/>
  <c r="C409" i="1"/>
  <c r="A410" i="1"/>
  <c r="B410" i="1" s="1"/>
  <c r="C410" i="1"/>
  <c r="A411" i="1"/>
  <c r="B411" i="1" s="1"/>
  <c r="C411" i="1"/>
  <c r="A412" i="1"/>
  <c r="B412" i="1" s="1"/>
  <c r="C412" i="1"/>
  <c r="A413" i="1"/>
  <c r="B413" i="1" s="1"/>
  <c r="C413" i="1"/>
  <c r="A414" i="1"/>
  <c r="B414" i="1" s="1"/>
  <c r="C414" i="1"/>
  <c r="A415" i="1"/>
  <c r="B415" i="1" s="1"/>
  <c r="C415" i="1"/>
  <c r="A416" i="1"/>
  <c r="B416" i="1" s="1"/>
  <c r="C416" i="1"/>
  <c r="A417" i="1"/>
  <c r="B417" i="1" s="1"/>
  <c r="C417" i="1"/>
  <c r="A418" i="1"/>
  <c r="B418" i="1" s="1"/>
  <c r="C418" i="1"/>
  <c r="A419" i="1"/>
  <c r="B419" i="1" s="1"/>
  <c r="C419" i="1"/>
  <c r="A420" i="1"/>
  <c r="B420" i="1" s="1"/>
  <c r="C420" i="1"/>
  <c r="A421" i="1"/>
  <c r="B421" i="1" s="1"/>
  <c r="C421" i="1"/>
  <c r="A422" i="1"/>
  <c r="B422" i="1" s="1"/>
  <c r="C422" i="1"/>
  <c r="A423" i="1"/>
  <c r="B423" i="1" s="1"/>
  <c r="C423" i="1"/>
  <c r="A424" i="1"/>
  <c r="B424" i="1" s="1"/>
  <c r="C424" i="1"/>
  <c r="A425" i="1"/>
  <c r="B425" i="1" s="1"/>
  <c r="C425" i="1"/>
  <c r="A426" i="1"/>
  <c r="B426" i="1" s="1"/>
  <c r="C426" i="1"/>
  <c r="A427" i="1"/>
  <c r="B427" i="1" s="1"/>
  <c r="C427" i="1"/>
  <c r="A428" i="1"/>
  <c r="B428" i="1" s="1"/>
  <c r="C428" i="1"/>
  <c r="A429" i="1"/>
  <c r="B429" i="1" s="1"/>
  <c r="C429" i="1"/>
  <c r="A430" i="1"/>
  <c r="B430" i="1" s="1"/>
  <c r="C430" i="1"/>
  <c r="A431" i="1"/>
  <c r="B431" i="1" s="1"/>
  <c r="C431" i="1"/>
  <c r="A432" i="1"/>
  <c r="B432" i="1" s="1"/>
  <c r="C432" i="1"/>
  <c r="A433" i="1"/>
  <c r="B433" i="1" s="1"/>
  <c r="C433" i="1"/>
  <c r="A434" i="1"/>
  <c r="B434" i="1" s="1"/>
  <c r="C434" i="1"/>
  <c r="A435" i="1"/>
  <c r="B435" i="1" s="1"/>
  <c r="C435" i="1"/>
  <c r="A436" i="1"/>
  <c r="B436" i="1" s="1"/>
  <c r="C436" i="1"/>
  <c r="A437" i="1"/>
  <c r="B437" i="1" s="1"/>
  <c r="C437" i="1"/>
  <c r="A438" i="1"/>
  <c r="B438" i="1" s="1"/>
  <c r="C438" i="1"/>
  <c r="A439" i="1"/>
  <c r="B439" i="1" s="1"/>
  <c r="C439" i="1"/>
  <c r="A440" i="1"/>
  <c r="B440" i="1" s="1"/>
  <c r="C440" i="1"/>
  <c r="A441" i="1"/>
  <c r="B441" i="1" s="1"/>
  <c r="C441" i="1"/>
  <c r="A442" i="1"/>
  <c r="C442" i="1"/>
  <c r="A443" i="1"/>
  <c r="C443" i="1"/>
  <c r="A444" i="1"/>
  <c r="B444" i="1" s="1"/>
  <c r="C444" i="1"/>
  <c r="A445" i="1"/>
  <c r="B445" i="1" s="1"/>
  <c r="C445" i="1"/>
  <c r="A446" i="1"/>
  <c r="B446" i="1" s="1"/>
  <c r="C446" i="1"/>
  <c r="A447" i="1"/>
  <c r="B447" i="1" s="1"/>
  <c r="C447" i="1"/>
  <c r="A448" i="1"/>
  <c r="B448" i="1" s="1"/>
  <c r="C448" i="1"/>
  <c r="A449" i="1"/>
  <c r="B449" i="1" s="1"/>
  <c r="C449" i="1"/>
  <c r="A450" i="1"/>
  <c r="B450" i="1" s="1"/>
  <c r="C450" i="1"/>
  <c r="A451" i="1"/>
  <c r="B451" i="1" s="1"/>
  <c r="C451" i="1"/>
  <c r="A452" i="1"/>
  <c r="B452" i="1" s="1"/>
  <c r="C452" i="1"/>
  <c r="A453" i="1"/>
  <c r="B453" i="1" s="1"/>
  <c r="C453" i="1"/>
  <c r="A454" i="1"/>
  <c r="B454" i="1" s="1"/>
  <c r="C454" i="1"/>
  <c r="A455" i="1"/>
  <c r="B455" i="1" s="1"/>
  <c r="C455" i="1"/>
  <c r="A456" i="1"/>
  <c r="B456" i="1" s="1"/>
  <c r="C456" i="1"/>
  <c r="A457" i="1"/>
  <c r="B457" i="1" s="1"/>
  <c r="C457" i="1"/>
  <c r="A458" i="1"/>
  <c r="B458" i="1" s="1"/>
  <c r="C458" i="1"/>
  <c r="A459" i="1"/>
  <c r="B459" i="1" s="1"/>
  <c r="C459" i="1"/>
  <c r="A460" i="1"/>
  <c r="B460" i="1" s="1"/>
  <c r="C460" i="1"/>
  <c r="A461" i="1"/>
  <c r="B461" i="1" s="1"/>
  <c r="C461" i="1"/>
  <c r="A462" i="1"/>
  <c r="B462" i="1" s="1"/>
  <c r="C462" i="1"/>
  <c r="A463" i="1"/>
  <c r="B463" i="1" s="1"/>
  <c r="C463" i="1"/>
  <c r="A464" i="1"/>
  <c r="B464" i="1" s="1"/>
  <c r="C464" i="1"/>
  <c r="A465" i="1"/>
  <c r="B465" i="1" s="1"/>
  <c r="C465" i="1"/>
  <c r="A466" i="1"/>
  <c r="B466" i="1" s="1"/>
  <c r="C466" i="1"/>
  <c r="A467" i="1"/>
  <c r="B467" i="1" s="1"/>
  <c r="C467" i="1"/>
  <c r="A468" i="1"/>
  <c r="B468" i="1" s="1"/>
  <c r="C468" i="1"/>
  <c r="A469" i="1"/>
  <c r="B469" i="1" s="1"/>
  <c r="C469" i="1"/>
  <c r="A470" i="1"/>
  <c r="B470" i="1" s="1"/>
  <c r="C470" i="1"/>
  <c r="A471" i="1"/>
  <c r="B471" i="1" s="1"/>
  <c r="C471" i="1"/>
  <c r="A472" i="1"/>
  <c r="B472" i="1" s="1"/>
  <c r="C472" i="1"/>
  <c r="A473" i="1"/>
  <c r="B473" i="1" s="1"/>
  <c r="C473" i="1"/>
  <c r="A474" i="1"/>
  <c r="B474" i="1" s="1"/>
  <c r="C474" i="1"/>
  <c r="A475" i="1"/>
  <c r="B475" i="1" s="1"/>
  <c r="C475" i="1"/>
  <c r="A476" i="1"/>
  <c r="B476" i="1" s="1"/>
  <c r="C476" i="1"/>
  <c r="A477" i="1"/>
  <c r="B477" i="1" s="1"/>
  <c r="C477" i="1"/>
  <c r="A478" i="1"/>
  <c r="C478" i="1"/>
  <c r="A479" i="1"/>
  <c r="B479" i="1" s="1"/>
  <c r="C479" i="1"/>
  <c r="A480" i="1"/>
  <c r="B480" i="1" s="1"/>
  <c r="C480" i="1"/>
  <c r="A481" i="1"/>
  <c r="B481" i="1" s="1"/>
  <c r="C481" i="1"/>
  <c r="A482" i="1"/>
  <c r="B482" i="1" s="1"/>
  <c r="C482" i="1"/>
  <c r="A483" i="1"/>
  <c r="B483" i="1" s="1"/>
  <c r="C483" i="1"/>
  <c r="A484" i="1"/>
  <c r="B484" i="1" s="1"/>
  <c r="C484" i="1"/>
  <c r="A485" i="1"/>
  <c r="B485" i="1" s="1"/>
  <c r="C485" i="1"/>
  <c r="A486" i="1"/>
  <c r="B486" i="1" s="1"/>
  <c r="C486" i="1"/>
  <c r="A487" i="1"/>
  <c r="B487" i="1" s="1"/>
  <c r="C487" i="1"/>
  <c r="A488" i="1"/>
  <c r="C488" i="1"/>
  <c r="A489" i="1"/>
  <c r="C489" i="1"/>
  <c r="A490" i="1"/>
  <c r="B490" i="1" s="1"/>
  <c r="C490" i="1"/>
  <c r="A491" i="1"/>
  <c r="B491" i="1" s="1"/>
  <c r="C491" i="1"/>
  <c r="A492" i="1"/>
  <c r="B492" i="1" s="1"/>
  <c r="C492" i="1"/>
  <c r="A493" i="1"/>
  <c r="B493" i="1" s="1"/>
  <c r="C493" i="1"/>
  <c r="A494" i="1"/>
  <c r="B494" i="1" s="1"/>
  <c r="C494" i="1"/>
  <c r="A495" i="1"/>
  <c r="B495" i="1" s="1"/>
  <c r="C495" i="1"/>
  <c r="A496" i="1"/>
  <c r="B496" i="1" s="1"/>
  <c r="C496" i="1"/>
  <c r="A497" i="1"/>
  <c r="B497" i="1" s="1"/>
  <c r="C497" i="1"/>
  <c r="A498" i="1"/>
  <c r="B498" i="1" s="1"/>
  <c r="C498" i="1"/>
  <c r="A499" i="1"/>
  <c r="B499" i="1" s="1"/>
  <c r="C499" i="1"/>
  <c r="A500" i="1"/>
  <c r="B500" i="1" s="1"/>
  <c r="C500" i="1"/>
  <c r="A501" i="1"/>
  <c r="C501" i="1"/>
  <c r="A502" i="1"/>
  <c r="B502" i="1" s="1"/>
  <c r="C502" i="1"/>
  <c r="A503" i="1"/>
  <c r="B503" i="1" s="1"/>
  <c r="C503" i="1"/>
  <c r="A504" i="1"/>
  <c r="B504" i="1" s="1"/>
  <c r="C504" i="1"/>
  <c r="A505" i="1"/>
  <c r="B505" i="1" s="1"/>
  <c r="C505" i="1"/>
  <c r="A506" i="1"/>
  <c r="B506" i="1" s="1"/>
  <c r="C506" i="1"/>
  <c r="A507" i="1"/>
  <c r="B507" i="1" s="1"/>
  <c r="C507" i="1"/>
  <c r="A508" i="1"/>
  <c r="B508" i="1" s="1"/>
  <c r="C508" i="1"/>
  <c r="A509" i="1"/>
  <c r="B509" i="1" s="1"/>
  <c r="C509" i="1"/>
  <c r="A510" i="1"/>
  <c r="B510" i="1" s="1"/>
  <c r="C510" i="1"/>
  <c r="A511" i="1"/>
  <c r="B511" i="1" s="1"/>
  <c r="C511" i="1"/>
  <c r="A512" i="1"/>
  <c r="B512" i="1" s="1"/>
  <c r="C512" i="1"/>
  <c r="A513" i="1"/>
  <c r="B513" i="1" s="1"/>
  <c r="C513" i="1"/>
  <c r="A514" i="1"/>
  <c r="B514" i="1" s="1"/>
  <c r="C514" i="1"/>
  <c r="A515" i="1"/>
  <c r="B515" i="1" s="1"/>
  <c r="C515" i="1"/>
  <c r="A516" i="1"/>
  <c r="B516" i="1" s="1"/>
  <c r="C516" i="1"/>
  <c r="A517" i="1"/>
  <c r="B517" i="1" s="1"/>
  <c r="C517" i="1"/>
  <c r="A518" i="1"/>
  <c r="B518" i="1" s="1"/>
  <c r="C518" i="1"/>
  <c r="A519" i="1"/>
  <c r="B519" i="1" s="1"/>
  <c r="C519" i="1"/>
  <c r="A520" i="1"/>
  <c r="B520" i="1" s="1"/>
  <c r="C520" i="1"/>
  <c r="A521" i="1"/>
  <c r="B521" i="1" s="1"/>
  <c r="C521" i="1"/>
  <c r="A522" i="1"/>
  <c r="B522" i="1" s="1"/>
  <c r="C522" i="1"/>
  <c r="A523" i="1"/>
  <c r="B523" i="1" s="1"/>
  <c r="C523" i="1"/>
  <c r="A524" i="1"/>
  <c r="B524" i="1" s="1"/>
  <c r="C524" i="1"/>
  <c r="A525" i="1"/>
  <c r="B525" i="1" s="1"/>
  <c r="C525" i="1"/>
  <c r="A526" i="1"/>
  <c r="B526" i="1" s="1"/>
  <c r="C526" i="1"/>
  <c r="A527" i="1"/>
  <c r="B527" i="1" s="1"/>
  <c r="C527" i="1"/>
  <c r="A528" i="1"/>
  <c r="B528" i="1" s="1"/>
  <c r="C528" i="1"/>
  <c r="A529" i="1"/>
  <c r="B529" i="1" s="1"/>
  <c r="C529" i="1"/>
  <c r="A530" i="1"/>
  <c r="B530" i="1" s="1"/>
  <c r="C530" i="1"/>
  <c r="A531" i="1"/>
  <c r="B531" i="1" s="1"/>
  <c r="C531" i="1"/>
  <c r="A532" i="1"/>
  <c r="B532" i="1" s="1"/>
  <c r="C532" i="1"/>
  <c r="A533" i="1"/>
  <c r="C533" i="1"/>
  <c r="A534" i="1"/>
  <c r="B534" i="1" s="1"/>
  <c r="C534" i="1"/>
  <c r="A535" i="1"/>
  <c r="B535" i="1" s="1"/>
  <c r="C535" i="1"/>
  <c r="A536" i="1"/>
  <c r="B536" i="1" s="1"/>
  <c r="C536" i="1"/>
  <c r="A537" i="1"/>
  <c r="B537" i="1" s="1"/>
  <c r="C537" i="1"/>
  <c r="A538" i="1"/>
  <c r="B538" i="1" s="1"/>
  <c r="C538" i="1"/>
  <c r="A539" i="1"/>
  <c r="B539" i="1" s="1"/>
  <c r="C539" i="1"/>
  <c r="A540" i="1"/>
  <c r="B540" i="1" s="1"/>
  <c r="C540" i="1"/>
  <c r="A541" i="1"/>
  <c r="B541" i="1" s="1"/>
  <c r="C541" i="1"/>
  <c r="A542" i="1"/>
  <c r="B542" i="1" s="1"/>
  <c r="C542" i="1"/>
  <c r="A543" i="1"/>
  <c r="B543" i="1" s="1"/>
  <c r="C543" i="1"/>
  <c r="A544" i="1"/>
  <c r="B544" i="1" s="1"/>
  <c r="C544" i="1"/>
  <c r="A545" i="1"/>
  <c r="B545" i="1" s="1"/>
  <c r="C545" i="1"/>
  <c r="A546" i="1"/>
  <c r="B546" i="1" s="1"/>
  <c r="C546" i="1"/>
  <c r="A547" i="1"/>
  <c r="B547" i="1" s="1"/>
  <c r="C547" i="1"/>
  <c r="A548" i="1"/>
  <c r="B548" i="1" s="1"/>
  <c r="C548" i="1"/>
  <c r="A549" i="1"/>
  <c r="B549" i="1" s="1"/>
  <c r="C549" i="1"/>
  <c r="A550" i="1"/>
  <c r="B550" i="1" s="1"/>
  <c r="C550" i="1"/>
  <c r="A551" i="1"/>
  <c r="B551" i="1" s="1"/>
  <c r="C551" i="1"/>
  <c r="A552" i="1"/>
  <c r="C552" i="1"/>
  <c r="A553" i="1"/>
  <c r="B553" i="1" s="1"/>
  <c r="C553" i="1"/>
  <c r="A554" i="1"/>
  <c r="B554" i="1" s="1"/>
  <c r="C554" i="1"/>
  <c r="A555" i="1"/>
  <c r="B555" i="1" s="1"/>
  <c r="C555" i="1"/>
  <c r="A556" i="1"/>
  <c r="B556" i="1" s="1"/>
  <c r="C556" i="1"/>
  <c r="A557" i="1"/>
  <c r="B557" i="1" s="1"/>
  <c r="C557" i="1"/>
  <c r="A558" i="1"/>
  <c r="B558" i="1" s="1"/>
  <c r="C558" i="1"/>
  <c r="A559" i="1"/>
  <c r="B559" i="1" s="1"/>
  <c r="C559" i="1"/>
  <c r="A560" i="1"/>
  <c r="B560" i="1" s="1"/>
  <c r="C560" i="1"/>
  <c r="A561" i="1"/>
  <c r="B561" i="1" s="1"/>
  <c r="C561" i="1"/>
  <c r="A562" i="1"/>
  <c r="B562" i="1" s="1"/>
  <c r="C562" i="1"/>
  <c r="A563" i="1"/>
  <c r="B563" i="1" s="1"/>
  <c r="C563" i="1"/>
  <c r="A564" i="1"/>
  <c r="B564" i="1" s="1"/>
  <c r="C564" i="1"/>
  <c r="A565" i="1"/>
  <c r="B565" i="1" s="1"/>
  <c r="C565" i="1"/>
  <c r="A566" i="1"/>
  <c r="B566" i="1" s="1"/>
  <c r="C566" i="1"/>
  <c r="A567" i="1"/>
  <c r="B567" i="1" s="1"/>
  <c r="C567" i="1"/>
  <c r="A568" i="1"/>
  <c r="B568" i="1" s="1"/>
  <c r="C568" i="1"/>
  <c r="A569" i="1"/>
  <c r="B569" i="1" s="1"/>
  <c r="C569" i="1"/>
  <c r="A570" i="1"/>
  <c r="B570" i="1" s="1"/>
  <c r="C570" i="1"/>
  <c r="A571" i="1"/>
  <c r="B571" i="1" s="1"/>
  <c r="C571" i="1"/>
  <c r="A572" i="1"/>
  <c r="B572" i="1" s="1"/>
  <c r="C572" i="1"/>
  <c r="A573" i="1"/>
  <c r="B573" i="1" s="1"/>
  <c r="C573" i="1"/>
  <c r="A574" i="1"/>
  <c r="B574" i="1" s="1"/>
  <c r="C574" i="1"/>
  <c r="A575" i="1"/>
  <c r="B575" i="1" s="1"/>
  <c r="C575" i="1"/>
  <c r="A576" i="1"/>
  <c r="B576" i="1" s="1"/>
  <c r="C576" i="1"/>
  <c r="A577" i="1"/>
  <c r="B577" i="1" s="1"/>
  <c r="C577" i="1"/>
  <c r="A578" i="1"/>
  <c r="B578" i="1" s="1"/>
  <c r="C578" i="1"/>
  <c r="A579" i="1"/>
  <c r="B579" i="1" s="1"/>
  <c r="C579" i="1"/>
  <c r="A580" i="1"/>
  <c r="B580" i="1" s="1"/>
  <c r="C580" i="1"/>
  <c r="A581" i="1"/>
  <c r="B581" i="1" s="1"/>
  <c r="C581" i="1"/>
  <c r="A582" i="1"/>
  <c r="B582" i="1" s="1"/>
  <c r="C582" i="1"/>
  <c r="A583" i="1"/>
  <c r="B583" i="1" s="1"/>
  <c r="C583" i="1"/>
  <c r="A584" i="1"/>
  <c r="B584" i="1" s="1"/>
  <c r="C584" i="1"/>
  <c r="A585" i="1"/>
  <c r="B585" i="1" s="1"/>
  <c r="C585" i="1"/>
  <c r="A586" i="1"/>
  <c r="B586" i="1" s="1"/>
  <c r="C586" i="1"/>
  <c r="A587" i="1"/>
  <c r="B587" i="1" s="1"/>
  <c r="C587" i="1"/>
  <c r="A588" i="1"/>
  <c r="B588" i="1" s="1"/>
  <c r="C588" i="1"/>
  <c r="A589" i="1"/>
  <c r="B589" i="1" s="1"/>
  <c r="C589" i="1"/>
  <c r="A590" i="1"/>
  <c r="B590" i="1" s="1"/>
  <c r="C590" i="1"/>
  <c r="A591" i="1"/>
  <c r="B591" i="1" s="1"/>
  <c r="C591" i="1"/>
  <c r="A592" i="1"/>
  <c r="B592" i="1" s="1"/>
  <c r="C592" i="1"/>
  <c r="A593" i="1"/>
  <c r="B593" i="1" s="1"/>
  <c r="C593" i="1"/>
  <c r="A594" i="1"/>
  <c r="B594" i="1" s="1"/>
  <c r="C594" i="1"/>
  <c r="A595" i="1"/>
  <c r="B595" i="1" s="1"/>
  <c r="C595" i="1"/>
  <c r="A596" i="1"/>
  <c r="B596" i="1" s="1"/>
  <c r="C596" i="1"/>
  <c r="A597" i="1"/>
  <c r="B597" i="1" s="1"/>
  <c r="C597" i="1"/>
  <c r="A598" i="1"/>
  <c r="B598" i="1" s="1"/>
  <c r="C598" i="1"/>
  <c r="A599" i="1"/>
  <c r="B599" i="1" s="1"/>
  <c r="C599" i="1"/>
  <c r="A600" i="1"/>
  <c r="B600" i="1" s="1"/>
  <c r="C600" i="1"/>
  <c r="A601" i="1"/>
  <c r="B601" i="1" s="1"/>
  <c r="C601" i="1"/>
  <c r="A602" i="1"/>
  <c r="B602" i="1" s="1"/>
  <c r="C602" i="1"/>
  <c r="A603" i="1"/>
  <c r="B603" i="1" s="1"/>
  <c r="C603" i="1"/>
  <c r="A604" i="1"/>
  <c r="B604" i="1" s="1"/>
  <c r="C604" i="1"/>
  <c r="A605" i="1"/>
  <c r="B605" i="1" s="1"/>
  <c r="C605" i="1"/>
  <c r="A606" i="1"/>
  <c r="B606" i="1" s="1"/>
  <c r="C606" i="1"/>
  <c r="A607" i="1"/>
  <c r="B607" i="1" s="1"/>
  <c r="C607" i="1"/>
  <c r="A608" i="1"/>
  <c r="B608" i="1" s="1"/>
  <c r="C608" i="1"/>
  <c r="A609" i="1"/>
  <c r="B609" i="1" s="1"/>
  <c r="C609" i="1"/>
  <c r="A610" i="1"/>
  <c r="B610" i="1" s="1"/>
  <c r="C610" i="1"/>
  <c r="A611" i="1"/>
  <c r="B611" i="1" s="1"/>
  <c r="C611" i="1"/>
  <c r="A612" i="1"/>
  <c r="B612" i="1" s="1"/>
  <c r="C612" i="1"/>
  <c r="A613" i="1"/>
  <c r="B613" i="1" s="1"/>
  <c r="C613" i="1"/>
  <c r="A614" i="1"/>
  <c r="B614" i="1" s="1"/>
  <c r="C614" i="1"/>
  <c r="A615" i="1"/>
  <c r="B615" i="1" s="1"/>
  <c r="C615" i="1"/>
  <c r="A616" i="1"/>
  <c r="B616" i="1" s="1"/>
  <c r="C616" i="1"/>
  <c r="A617" i="1"/>
  <c r="B617" i="1" s="1"/>
  <c r="C617" i="1"/>
  <c r="A618" i="1"/>
  <c r="B618" i="1" s="1"/>
  <c r="C618" i="1"/>
  <c r="A619" i="1"/>
  <c r="B619" i="1" s="1"/>
  <c r="C619" i="1"/>
  <c r="A620" i="1"/>
  <c r="B620" i="1" s="1"/>
  <c r="C620" i="1"/>
  <c r="A621" i="1"/>
  <c r="B621" i="1" s="1"/>
  <c r="C621" i="1"/>
  <c r="A622" i="1"/>
  <c r="B622" i="1" s="1"/>
  <c r="C622" i="1"/>
  <c r="A623" i="1"/>
  <c r="B623" i="1" s="1"/>
  <c r="C623" i="1"/>
  <c r="A624" i="1"/>
  <c r="B624" i="1" s="1"/>
  <c r="C624" i="1"/>
  <c r="A625" i="1"/>
  <c r="B625" i="1" s="1"/>
  <c r="C625" i="1"/>
  <c r="A626" i="1"/>
  <c r="B626" i="1" s="1"/>
  <c r="C626" i="1"/>
  <c r="A627" i="1"/>
  <c r="B627" i="1" s="1"/>
  <c r="C627" i="1"/>
  <c r="A628" i="1"/>
  <c r="B628" i="1" s="1"/>
  <c r="C628" i="1"/>
  <c r="A629" i="1"/>
  <c r="B629" i="1" s="1"/>
  <c r="C629" i="1"/>
  <c r="A630" i="1"/>
  <c r="B630" i="1" s="1"/>
  <c r="C630" i="1"/>
  <c r="A631" i="1"/>
  <c r="B631" i="1" s="1"/>
  <c r="C631" i="1"/>
  <c r="A632" i="1"/>
  <c r="B632" i="1" s="1"/>
  <c r="C632" i="1"/>
  <c r="A633" i="1"/>
  <c r="B633" i="1" s="1"/>
  <c r="C633" i="1"/>
  <c r="A634" i="1"/>
  <c r="B634" i="1" s="1"/>
  <c r="C634" i="1"/>
  <c r="A635" i="1"/>
  <c r="B635" i="1" s="1"/>
  <c r="C635" i="1"/>
  <c r="A636" i="1"/>
  <c r="B636" i="1" s="1"/>
  <c r="C636" i="1"/>
  <c r="A637" i="1"/>
  <c r="B637" i="1" s="1"/>
  <c r="C637" i="1"/>
  <c r="A638" i="1"/>
  <c r="B638" i="1" s="1"/>
  <c r="C638" i="1"/>
  <c r="A639" i="1"/>
  <c r="B639" i="1" s="1"/>
  <c r="C639" i="1"/>
  <c r="A640" i="1"/>
  <c r="B640" i="1" s="1"/>
  <c r="C640" i="1"/>
  <c r="A641" i="1"/>
  <c r="B641" i="1" s="1"/>
  <c r="C641" i="1"/>
  <c r="A642" i="1"/>
  <c r="B642" i="1" s="1"/>
  <c r="C642" i="1"/>
  <c r="A643" i="1"/>
  <c r="B643" i="1" s="1"/>
  <c r="C643" i="1"/>
  <c r="A644" i="1"/>
  <c r="B644" i="1" s="1"/>
  <c r="C644" i="1"/>
  <c r="A645" i="1"/>
  <c r="B645" i="1" s="1"/>
  <c r="C645" i="1"/>
  <c r="A646" i="1"/>
  <c r="B646" i="1" s="1"/>
  <c r="C646" i="1"/>
  <c r="A647" i="1"/>
  <c r="B647" i="1" s="1"/>
  <c r="C647" i="1"/>
  <c r="A648" i="1"/>
  <c r="B648" i="1" s="1"/>
  <c r="C648" i="1"/>
  <c r="A649" i="1"/>
  <c r="B649" i="1" s="1"/>
  <c r="C649" i="1"/>
  <c r="A650" i="1"/>
  <c r="B650" i="1" s="1"/>
  <c r="C650" i="1"/>
  <c r="A651" i="1"/>
  <c r="B651" i="1" s="1"/>
  <c r="C651" i="1"/>
  <c r="A652" i="1"/>
  <c r="B652" i="1" s="1"/>
  <c r="C652" i="1"/>
  <c r="A653" i="1"/>
  <c r="B653" i="1" s="1"/>
  <c r="C653" i="1"/>
  <c r="A654" i="1"/>
  <c r="B654" i="1" s="1"/>
  <c r="C654" i="1"/>
  <c r="A655" i="1"/>
  <c r="B655" i="1" s="1"/>
  <c r="C655" i="1"/>
  <c r="A656" i="1"/>
  <c r="B656" i="1" s="1"/>
  <c r="C656" i="1"/>
  <c r="A657" i="1"/>
  <c r="B657" i="1" s="1"/>
  <c r="C657" i="1"/>
  <c r="A658" i="1"/>
  <c r="B658" i="1" s="1"/>
  <c r="C658" i="1"/>
  <c r="A659" i="1"/>
  <c r="B659" i="1" s="1"/>
  <c r="C659" i="1"/>
  <c r="A660" i="1"/>
  <c r="B660" i="1" s="1"/>
  <c r="C660" i="1"/>
  <c r="A661" i="1"/>
  <c r="B661" i="1" s="1"/>
  <c r="C661" i="1"/>
  <c r="A662" i="1"/>
  <c r="B662" i="1" s="1"/>
  <c r="C662" i="1"/>
  <c r="A663" i="1"/>
  <c r="B663" i="1" s="1"/>
  <c r="C663" i="1"/>
  <c r="A664" i="1"/>
  <c r="B664" i="1" s="1"/>
  <c r="C664" i="1"/>
  <c r="A665" i="1"/>
  <c r="B665" i="1" s="1"/>
  <c r="C665" i="1"/>
  <c r="A666" i="1"/>
  <c r="B666" i="1" s="1"/>
  <c r="C666" i="1"/>
  <c r="A667" i="1"/>
  <c r="B667" i="1" s="1"/>
  <c r="C667" i="1"/>
  <c r="A668" i="1"/>
  <c r="B668" i="1" s="1"/>
  <c r="C668" i="1"/>
  <c r="A669" i="1"/>
  <c r="B669" i="1" s="1"/>
  <c r="C669" i="1"/>
  <c r="A670" i="1"/>
  <c r="B670" i="1" s="1"/>
  <c r="C670" i="1"/>
  <c r="A671" i="1"/>
  <c r="B671" i="1" s="1"/>
  <c r="C671" i="1"/>
  <c r="A672" i="1"/>
  <c r="B672" i="1" s="1"/>
  <c r="C672" i="1"/>
  <c r="A673" i="1"/>
  <c r="B673" i="1" s="1"/>
  <c r="C673" i="1"/>
  <c r="A674" i="1"/>
  <c r="B674" i="1" s="1"/>
  <c r="C674" i="1"/>
  <c r="A675" i="1"/>
  <c r="B675" i="1" s="1"/>
  <c r="C675" i="1"/>
  <c r="A676" i="1"/>
  <c r="B676" i="1" s="1"/>
  <c r="C676" i="1"/>
  <c r="A677" i="1"/>
  <c r="B677" i="1" s="1"/>
  <c r="C677" i="1"/>
  <c r="A678" i="1"/>
  <c r="B678" i="1" s="1"/>
  <c r="C678" i="1"/>
  <c r="A679" i="1"/>
  <c r="B679" i="1" s="1"/>
  <c r="C679" i="1"/>
  <c r="A680" i="1"/>
  <c r="B680" i="1" s="1"/>
  <c r="C680" i="1"/>
  <c r="A681" i="1"/>
  <c r="B681" i="1" s="1"/>
  <c r="C681" i="1"/>
  <c r="A682" i="1"/>
  <c r="C682" i="1"/>
  <c r="A683" i="1"/>
  <c r="B683" i="1" s="1"/>
  <c r="C683" i="1"/>
  <c r="A684" i="1"/>
  <c r="B684" i="1" s="1"/>
  <c r="C684" i="1"/>
  <c r="A685" i="1"/>
  <c r="B685" i="1" s="1"/>
  <c r="C685" i="1"/>
  <c r="A686" i="1"/>
  <c r="B686" i="1" s="1"/>
  <c r="C686" i="1"/>
  <c r="A687" i="1"/>
  <c r="B687" i="1" s="1"/>
  <c r="C687" i="1"/>
  <c r="A688" i="1"/>
  <c r="B688" i="1" s="1"/>
  <c r="C688" i="1"/>
  <c r="A689" i="1"/>
  <c r="B689" i="1" s="1"/>
  <c r="C689" i="1"/>
  <c r="A690" i="1"/>
  <c r="B690" i="1" s="1"/>
  <c r="C690" i="1"/>
  <c r="A691" i="1"/>
  <c r="B691" i="1" s="1"/>
  <c r="C691" i="1"/>
  <c r="A692" i="1"/>
  <c r="B692" i="1" s="1"/>
  <c r="C692" i="1"/>
  <c r="A693" i="1"/>
  <c r="B693" i="1" s="1"/>
  <c r="C693" i="1"/>
  <c r="A694" i="1"/>
  <c r="B694" i="1" s="1"/>
  <c r="C694" i="1"/>
  <c r="A695" i="1"/>
  <c r="B695" i="1" s="1"/>
  <c r="C695" i="1"/>
  <c r="A696" i="1"/>
  <c r="B696" i="1" s="1"/>
  <c r="C696" i="1"/>
  <c r="A697" i="1"/>
  <c r="B697" i="1" s="1"/>
  <c r="C697" i="1"/>
  <c r="A698" i="1"/>
  <c r="B698" i="1" s="1"/>
  <c r="C698" i="1"/>
  <c r="A699" i="1"/>
  <c r="B699" i="1" s="1"/>
  <c r="C699" i="1"/>
  <c r="A700" i="1"/>
  <c r="B700" i="1" s="1"/>
  <c r="C700" i="1"/>
  <c r="A701" i="1"/>
  <c r="B701" i="1" s="1"/>
  <c r="C701" i="1"/>
  <c r="A702" i="1"/>
  <c r="B702" i="1" s="1"/>
  <c r="C702" i="1"/>
  <c r="A703" i="1"/>
  <c r="B703" i="1" s="1"/>
  <c r="C703" i="1"/>
  <c r="A704" i="1"/>
  <c r="B704" i="1" s="1"/>
  <c r="C704" i="1"/>
  <c r="A705" i="1"/>
  <c r="B705" i="1" s="1"/>
  <c r="C705" i="1"/>
  <c r="A706" i="1"/>
  <c r="B706" i="1" s="1"/>
  <c r="C706" i="1"/>
  <c r="A707" i="1"/>
  <c r="B707" i="1" s="1"/>
  <c r="C707" i="1"/>
  <c r="A708" i="1"/>
  <c r="B708" i="1" s="1"/>
  <c r="C708" i="1"/>
  <c r="A709" i="1"/>
  <c r="B709" i="1" s="1"/>
  <c r="C709" i="1"/>
  <c r="A710" i="1"/>
  <c r="B710" i="1" s="1"/>
  <c r="C710" i="1"/>
  <c r="A711" i="1"/>
  <c r="B711" i="1" s="1"/>
  <c r="C711" i="1"/>
  <c r="A712" i="1"/>
  <c r="B712" i="1" s="1"/>
  <c r="C712" i="1"/>
  <c r="A713" i="1"/>
  <c r="B713" i="1" s="1"/>
  <c r="C713" i="1"/>
  <c r="A714" i="1"/>
  <c r="B714" i="1" s="1"/>
  <c r="C714" i="1"/>
  <c r="A715" i="1"/>
  <c r="B715" i="1" s="1"/>
  <c r="C715" i="1"/>
  <c r="A716" i="1"/>
  <c r="B716" i="1" s="1"/>
  <c r="C716" i="1"/>
  <c r="A717" i="1"/>
  <c r="B717" i="1" s="1"/>
  <c r="C717" i="1"/>
  <c r="A718" i="1"/>
  <c r="B718" i="1" s="1"/>
  <c r="C718" i="1"/>
  <c r="A719" i="1"/>
  <c r="B719" i="1" s="1"/>
  <c r="C719" i="1"/>
  <c r="A720" i="1"/>
  <c r="B720" i="1" s="1"/>
  <c r="C720" i="1"/>
  <c r="A721" i="1"/>
  <c r="B721" i="1" s="1"/>
  <c r="C721" i="1"/>
  <c r="A722" i="1"/>
  <c r="B722" i="1" s="1"/>
  <c r="C722" i="1"/>
  <c r="A723" i="1"/>
  <c r="B723" i="1" s="1"/>
  <c r="C723" i="1"/>
  <c r="A724" i="1"/>
  <c r="B724" i="1" s="1"/>
  <c r="C724" i="1"/>
  <c r="A725" i="1"/>
  <c r="B725" i="1" s="1"/>
  <c r="C725" i="1"/>
  <c r="A726" i="1"/>
  <c r="B726" i="1" s="1"/>
  <c r="C726" i="1"/>
  <c r="A727" i="1"/>
  <c r="B727" i="1" s="1"/>
  <c r="C727" i="1"/>
  <c r="A728" i="1"/>
  <c r="C728" i="1"/>
  <c r="A729" i="1"/>
  <c r="B729" i="1" s="1"/>
  <c r="C729" i="1"/>
  <c r="A730" i="1"/>
  <c r="B730" i="1" s="1"/>
  <c r="C730" i="1"/>
  <c r="A731" i="1"/>
  <c r="B731" i="1" s="1"/>
  <c r="C731" i="1"/>
  <c r="A732" i="1"/>
  <c r="B732" i="1" s="1"/>
  <c r="C732" i="1"/>
  <c r="A733" i="1"/>
  <c r="B733" i="1" s="1"/>
  <c r="C733" i="1"/>
  <c r="A734" i="1"/>
  <c r="B734" i="1" s="1"/>
  <c r="C734" i="1"/>
  <c r="A735" i="1"/>
  <c r="B735" i="1" s="1"/>
  <c r="C735" i="1"/>
  <c r="A736" i="1"/>
  <c r="B736" i="1" s="1"/>
  <c r="C736" i="1"/>
  <c r="A737" i="1"/>
  <c r="B737" i="1" s="1"/>
  <c r="C737" i="1"/>
  <c r="A738" i="1"/>
  <c r="B738" i="1" s="1"/>
  <c r="C738" i="1"/>
  <c r="A739" i="1"/>
  <c r="B739" i="1" s="1"/>
  <c r="C739" i="1"/>
  <c r="A740" i="1"/>
  <c r="B740" i="1" s="1"/>
  <c r="C740" i="1"/>
  <c r="A741" i="1"/>
  <c r="B741" i="1" s="1"/>
  <c r="C741" i="1"/>
  <c r="A742" i="1"/>
  <c r="B742" i="1" s="1"/>
  <c r="C742" i="1"/>
  <c r="A743" i="1"/>
  <c r="B743" i="1" s="1"/>
  <c r="C743" i="1"/>
  <c r="A744" i="1"/>
  <c r="B744" i="1" s="1"/>
  <c r="C744" i="1"/>
  <c r="A745" i="1"/>
  <c r="B745" i="1" s="1"/>
  <c r="C745" i="1"/>
  <c r="A746" i="1"/>
  <c r="B746" i="1" s="1"/>
  <c r="C746" i="1"/>
  <c r="A747" i="1"/>
  <c r="B747" i="1" s="1"/>
  <c r="C747" i="1"/>
  <c r="A748" i="1"/>
  <c r="B748" i="1" s="1"/>
  <c r="C748" i="1"/>
  <c r="A749" i="1"/>
  <c r="B749" i="1" s="1"/>
  <c r="C749" i="1"/>
  <c r="A750" i="1"/>
  <c r="B750" i="1" s="1"/>
  <c r="C750" i="1"/>
  <c r="A751" i="1"/>
  <c r="B751" i="1" s="1"/>
  <c r="C751" i="1"/>
  <c r="A752" i="1"/>
  <c r="B752" i="1" s="1"/>
  <c r="C752" i="1"/>
  <c r="A753" i="1"/>
  <c r="B753" i="1" s="1"/>
  <c r="C753" i="1"/>
  <c r="A754" i="1"/>
  <c r="B754" i="1" s="1"/>
  <c r="C754" i="1"/>
  <c r="A755" i="1"/>
  <c r="B755" i="1" s="1"/>
  <c r="C755" i="1"/>
  <c r="A756" i="1"/>
  <c r="B756" i="1" s="1"/>
  <c r="C756" i="1"/>
  <c r="A757" i="1"/>
  <c r="B757" i="1" s="1"/>
  <c r="C757" i="1"/>
  <c r="A758" i="1"/>
  <c r="B758" i="1" s="1"/>
  <c r="C758" i="1"/>
  <c r="A759" i="1"/>
  <c r="B759" i="1" s="1"/>
  <c r="C759" i="1"/>
  <c r="A760" i="1"/>
  <c r="B760" i="1" s="1"/>
  <c r="C760" i="1"/>
  <c r="A761" i="1"/>
  <c r="B761" i="1" s="1"/>
  <c r="C761" i="1"/>
  <c r="A762" i="1"/>
  <c r="B762" i="1" s="1"/>
  <c r="C762" i="1"/>
  <c r="A763" i="1"/>
  <c r="B763" i="1" s="1"/>
  <c r="C763" i="1"/>
  <c r="A764" i="1"/>
  <c r="B764" i="1" s="1"/>
  <c r="C764" i="1"/>
  <c r="A765" i="1"/>
  <c r="B765" i="1" s="1"/>
  <c r="C765" i="1"/>
  <c r="A766" i="1"/>
  <c r="B766" i="1" s="1"/>
  <c r="C766" i="1"/>
  <c r="A767" i="1"/>
  <c r="B767" i="1" s="1"/>
  <c r="C767" i="1"/>
  <c r="A768" i="1"/>
  <c r="B768" i="1" s="1"/>
  <c r="C768" i="1"/>
  <c r="A769" i="1"/>
  <c r="B769" i="1" s="1"/>
  <c r="C769" i="1"/>
  <c r="A770" i="1"/>
  <c r="B770" i="1" s="1"/>
  <c r="C770" i="1"/>
  <c r="A771" i="1"/>
  <c r="B771" i="1" s="1"/>
  <c r="C771" i="1"/>
  <c r="A772" i="1"/>
  <c r="B772" i="1" s="1"/>
  <c r="C772" i="1"/>
  <c r="A773" i="1"/>
  <c r="B773" i="1" s="1"/>
  <c r="C773" i="1"/>
  <c r="A774" i="1"/>
  <c r="B774" i="1" s="1"/>
  <c r="C774" i="1"/>
  <c r="A775" i="1"/>
  <c r="B775" i="1" s="1"/>
  <c r="C775" i="1"/>
  <c r="A776" i="1"/>
  <c r="B776" i="1" s="1"/>
  <c r="C776" i="1"/>
  <c r="A777" i="1"/>
  <c r="B777" i="1" s="1"/>
  <c r="C777" i="1"/>
  <c r="A778" i="1"/>
  <c r="B778" i="1" s="1"/>
  <c r="C778" i="1"/>
  <c r="A779" i="1"/>
  <c r="B779" i="1" s="1"/>
  <c r="C779" i="1"/>
  <c r="A780" i="1"/>
  <c r="B780" i="1" s="1"/>
  <c r="C780" i="1"/>
  <c r="A781" i="1"/>
  <c r="B781" i="1" s="1"/>
  <c r="C781" i="1"/>
  <c r="A782" i="1"/>
  <c r="B782" i="1" s="1"/>
  <c r="C782" i="1"/>
  <c r="A783" i="1"/>
  <c r="B783" i="1" s="1"/>
  <c r="C783" i="1"/>
  <c r="A784" i="1"/>
  <c r="B784" i="1" s="1"/>
  <c r="C784" i="1"/>
  <c r="A785" i="1"/>
  <c r="B785" i="1" s="1"/>
  <c r="C785" i="1"/>
  <c r="A786" i="1"/>
  <c r="B786" i="1" s="1"/>
  <c r="C786" i="1"/>
  <c r="A787" i="1"/>
  <c r="B787" i="1" s="1"/>
  <c r="C787" i="1"/>
  <c r="A788" i="1"/>
  <c r="C788" i="1"/>
  <c r="A789" i="1"/>
  <c r="B789" i="1" s="1"/>
  <c r="C789" i="1"/>
  <c r="A790" i="1"/>
  <c r="B790" i="1" s="1"/>
  <c r="C790" i="1"/>
  <c r="A791" i="1"/>
  <c r="B791" i="1" s="1"/>
  <c r="C791" i="1"/>
  <c r="A792" i="1"/>
  <c r="B792" i="1" s="1"/>
  <c r="C792" i="1"/>
  <c r="A793" i="1"/>
  <c r="B793" i="1" s="1"/>
  <c r="C793" i="1"/>
  <c r="A794" i="1"/>
  <c r="B794" i="1" s="1"/>
  <c r="C794" i="1"/>
  <c r="A795" i="1"/>
  <c r="B795" i="1" s="1"/>
  <c r="C795" i="1"/>
  <c r="A796" i="1"/>
  <c r="B796" i="1" s="1"/>
  <c r="C796" i="1"/>
  <c r="A797" i="1"/>
  <c r="B797" i="1" s="1"/>
  <c r="C797" i="1"/>
  <c r="A798" i="1"/>
  <c r="B798" i="1" s="1"/>
  <c r="C798" i="1"/>
  <c r="A799" i="1"/>
  <c r="B799" i="1" s="1"/>
  <c r="C799" i="1"/>
  <c r="A800" i="1"/>
  <c r="B800" i="1" s="1"/>
  <c r="C800" i="1"/>
  <c r="A801" i="1"/>
  <c r="B801" i="1" s="1"/>
  <c r="C801" i="1"/>
  <c r="A802" i="1"/>
  <c r="B802" i="1" s="1"/>
  <c r="C802" i="1"/>
  <c r="A803" i="1"/>
  <c r="B803" i="1" s="1"/>
  <c r="C803" i="1"/>
  <c r="A804" i="1"/>
  <c r="B804" i="1" s="1"/>
  <c r="C804" i="1"/>
  <c r="A805" i="1"/>
  <c r="B805" i="1" s="1"/>
  <c r="C805" i="1"/>
  <c r="A806" i="1"/>
  <c r="B806" i="1" s="1"/>
  <c r="C806" i="1"/>
  <c r="A807" i="1"/>
  <c r="B807" i="1" s="1"/>
  <c r="C807" i="1"/>
  <c r="A808" i="1"/>
  <c r="B808" i="1" s="1"/>
  <c r="C808" i="1"/>
  <c r="A809" i="1"/>
  <c r="B809" i="1" s="1"/>
  <c r="C809" i="1"/>
  <c r="A810" i="1"/>
  <c r="B810" i="1" s="1"/>
  <c r="C810" i="1"/>
  <c r="A811" i="1"/>
  <c r="B811" i="1" s="1"/>
  <c r="C811" i="1"/>
  <c r="A812" i="1"/>
  <c r="B812" i="1" s="1"/>
  <c r="C812" i="1"/>
  <c r="A813" i="1"/>
  <c r="B813" i="1" s="1"/>
  <c r="C813" i="1"/>
  <c r="A814" i="1"/>
  <c r="B814" i="1" s="1"/>
  <c r="C814" i="1"/>
  <c r="A815" i="1"/>
  <c r="B815" i="1" s="1"/>
  <c r="C815" i="1"/>
  <c r="A816" i="1"/>
  <c r="B816" i="1" s="1"/>
  <c r="C816" i="1"/>
  <c r="A817" i="1"/>
  <c r="B817" i="1" s="1"/>
  <c r="C817" i="1"/>
  <c r="A818" i="1"/>
  <c r="B818" i="1" s="1"/>
  <c r="C818" i="1"/>
  <c r="A819" i="1"/>
  <c r="B819" i="1" s="1"/>
  <c r="C819" i="1"/>
  <c r="A820" i="1"/>
  <c r="B820" i="1" s="1"/>
  <c r="C820" i="1"/>
  <c r="A821" i="1"/>
  <c r="B821" i="1" s="1"/>
  <c r="C821" i="1"/>
  <c r="A822" i="1"/>
  <c r="B822" i="1" s="1"/>
  <c r="C822" i="1"/>
  <c r="A823" i="1"/>
  <c r="B823" i="1" s="1"/>
  <c r="C823" i="1"/>
  <c r="A824" i="1"/>
  <c r="B824" i="1" s="1"/>
  <c r="C824" i="1"/>
  <c r="A825" i="1"/>
  <c r="B825" i="1" s="1"/>
  <c r="C825" i="1"/>
  <c r="A826" i="1"/>
  <c r="B826" i="1" s="1"/>
  <c r="C826" i="1"/>
  <c r="A827" i="1"/>
  <c r="C827" i="1"/>
  <c r="A828" i="1"/>
  <c r="B828" i="1" s="1"/>
  <c r="C828" i="1"/>
  <c r="A829" i="1"/>
  <c r="B829" i="1" s="1"/>
  <c r="C829" i="1"/>
  <c r="A830" i="1"/>
  <c r="B830" i="1" s="1"/>
  <c r="C830" i="1"/>
  <c r="A831" i="1"/>
  <c r="B831" i="1" s="1"/>
  <c r="C831" i="1"/>
  <c r="A832" i="1"/>
  <c r="B832" i="1" s="1"/>
  <c r="C832" i="1"/>
  <c r="A833" i="1"/>
  <c r="B833" i="1" s="1"/>
  <c r="C833" i="1"/>
  <c r="A834" i="1"/>
  <c r="B834" i="1" s="1"/>
  <c r="C834" i="1"/>
  <c r="A835" i="1"/>
  <c r="B835" i="1" s="1"/>
  <c r="C835" i="1"/>
  <c r="A836" i="1"/>
  <c r="B836" i="1" s="1"/>
  <c r="C836" i="1"/>
  <c r="A837" i="1"/>
  <c r="B837" i="1" s="1"/>
  <c r="C837" i="1"/>
  <c r="A838" i="1"/>
  <c r="B838" i="1" s="1"/>
  <c r="C838" i="1"/>
  <c r="A839" i="1"/>
  <c r="B839" i="1" s="1"/>
  <c r="C839" i="1"/>
  <c r="A840" i="1"/>
  <c r="B840" i="1" s="1"/>
  <c r="C840" i="1"/>
  <c r="A841" i="1"/>
  <c r="B841" i="1" s="1"/>
  <c r="C841" i="1"/>
  <c r="A842" i="1"/>
  <c r="B842" i="1" s="1"/>
  <c r="C842" i="1"/>
  <c r="A843" i="1"/>
  <c r="B843" i="1" s="1"/>
  <c r="C843" i="1"/>
  <c r="A844" i="1"/>
  <c r="B844" i="1" s="1"/>
  <c r="C844" i="1"/>
  <c r="A845" i="1"/>
  <c r="B845" i="1" s="1"/>
  <c r="C845" i="1"/>
  <c r="A846" i="1"/>
  <c r="B846" i="1" s="1"/>
  <c r="C846" i="1"/>
  <c r="A847" i="1"/>
  <c r="B847" i="1" s="1"/>
  <c r="C847" i="1"/>
  <c r="A848" i="1"/>
  <c r="B848" i="1" s="1"/>
  <c r="C848" i="1"/>
  <c r="A849" i="1"/>
  <c r="B849" i="1" s="1"/>
  <c r="C849" i="1"/>
  <c r="A850" i="1"/>
  <c r="B850" i="1" s="1"/>
  <c r="C850" i="1"/>
  <c r="A851" i="1"/>
  <c r="B851" i="1" s="1"/>
  <c r="C851" i="1"/>
  <c r="A852" i="1"/>
  <c r="B852" i="1" s="1"/>
  <c r="C852" i="1"/>
  <c r="A853" i="1"/>
  <c r="B853" i="1" s="1"/>
  <c r="C853" i="1"/>
  <c r="A854" i="1"/>
  <c r="B854" i="1" s="1"/>
  <c r="C854" i="1"/>
  <c r="A855" i="1"/>
  <c r="B855" i="1" s="1"/>
  <c r="C855" i="1"/>
  <c r="A856" i="1"/>
  <c r="B856" i="1" s="1"/>
  <c r="C856" i="1"/>
  <c r="A857" i="1"/>
  <c r="B857" i="1" s="1"/>
  <c r="C857" i="1"/>
  <c r="A858" i="1"/>
  <c r="B858" i="1" s="1"/>
  <c r="C858" i="1"/>
  <c r="A859" i="1"/>
  <c r="B859" i="1" s="1"/>
  <c r="C859" i="1"/>
  <c r="A860" i="1"/>
  <c r="B860" i="1" s="1"/>
  <c r="C860" i="1"/>
  <c r="A861" i="1"/>
  <c r="B861" i="1" s="1"/>
  <c r="C861" i="1"/>
  <c r="A862" i="1"/>
  <c r="B862" i="1" s="1"/>
  <c r="C862" i="1"/>
  <c r="A863" i="1"/>
  <c r="B863" i="1" s="1"/>
  <c r="C863" i="1"/>
  <c r="A864" i="1"/>
  <c r="B864" i="1" s="1"/>
  <c r="C864" i="1"/>
  <c r="A865" i="1"/>
  <c r="B865" i="1" s="1"/>
  <c r="C865" i="1"/>
  <c r="A866" i="1"/>
  <c r="B866" i="1" s="1"/>
  <c r="C866" i="1"/>
  <c r="A867" i="1"/>
  <c r="B867" i="1" s="1"/>
  <c r="C867" i="1"/>
  <c r="A868" i="1"/>
  <c r="B868" i="1" s="1"/>
  <c r="C868" i="1"/>
  <c r="A869" i="1"/>
  <c r="B869" i="1" s="1"/>
  <c r="C869" i="1"/>
  <c r="A870" i="1"/>
  <c r="B870" i="1" s="1"/>
  <c r="C870" i="1"/>
  <c r="A871" i="1"/>
  <c r="B871" i="1" s="1"/>
  <c r="C871" i="1"/>
  <c r="A872" i="1"/>
  <c r="B872" i="1" s="1"/>
  <c r="C872" i="1"/>
  <c r="A873" i="1"/>
  <c r="B873" i="1" s="1"/>
  <c r="C873" i="1"/>
  <c r="A874" i="1"/>
  <c r="B874" i="1" s="1"/>
  <c r="C874" i="1"/>
  <c r="A875" i="1"/>
  <c r="B875" i="1" s="1"/>
  <c r="C875" i="1"/>
  <c r="A876" i="1"/>
  <c r="B876" i="1" s="1"/>
  <c r="C876" i="1"/>
  <c r="A877" i="1"/>
  <c r="B877" i="1" s="1"/>
  <c r="C877" i="1"/>
  <c r="A878" i="1"/>
  <c r="B878" i="1" s="1"/>
  <c r="C878" i="1"/>
  <c r="A879" i="1"/>
  <c r="B879" i="1" s="1"/>
  <c r="C879" i="1"/>
  <c r="A880" i="1"/>
  <c r="B880" i="1" s="1"/>
  <c r="C880" i="1"/>
  <c r="A881" i="1"/>
  <c r="B881" i="1" s="1"/>
  <c r="C881" i="1"/>
  <c r="A882" i="1"/>
  <c r="B882" i="1" s="1"/>
  <c r="C882" i="1"/>
  <c r="A883" i="1"/>
  <c r="B883" i="1" s="1"/>
  <c r="C883" i="1"/>
  <c r="A884" i="1"/>
  <c r="B884" i="1" s="1"/>
  <c r="C884" i="1"/>
  <c r="A885" i="1"/>
  <c r="B885" i="1" s="1"/>
  <c r="C885" i="1"/>
  <c r="A886" i="1"/>
  <c r="B886" i="1" s="1"/>
  <c r="C886" i="1"/>
  <c r="A887" i="1"/>
  <c r="B887" i="1" s="1"/>
  <c r="C887" i="1"/>
  <c r="A888" i="1"/>
  <c r="B888" i="1" s="1"/>
  <c r="C888" i="1"/>
  <c r="A889" i="1"/>
  <c r="B889" i="1" s="1"/>
  <c r="C889" i="1"/>
  <c r="A890" i="1"/>
  <c r="B890" i="1" s="1"/>
  <c r="C890" i="1"/>
  <c r="A891" i="1"/>
  <c r="B891" i="1" s="1"/>
  <c r="C891" i="1"/>
  <c r="A892" i="1"/>
  <c r="B892" i="1" s="1"/>
  <c r="C892" i="1"/>
  <c r="A893" i="1"/>
  <c r="B893" i="1" s="1"/>
  <c r="C893" i="1"/>
  <c r="A894" i="1"/>
  <c r="B894" i="1" s="1"/>
  <c r="C894" i="1"/>
  <c r="A895" i="1"/>
  <c r="B895" i="1" s="1"/>
  <c r="C895" i="1"/>
  <c r="A896" i="1"/>
  <c r="B896" i="1" s="1"/>
  <c r="C896" i="1"/>
  <c r="A897" i="1"/>
  <c r="B897" i="1" s="1"/>
  <c r="C897" i="1"/>
  <c r="A898" i="1"/>
  <c r="B898" i="1" s="1"/>
  <c r="C898" i="1"/>
  <c r="A899" i="1"/>
  <c r="B899" i="1" s="1"/>
  <c r="C899" i="1"/>
  <c r="A900" i="1"/>
  <c r="B900" i="1" s="1"/>
  <c r="C900" i="1"/>
  <c r="A901" i="1"/>
  <c r="B901" i="1" s="1"/>
  <c r="C901" i="1"/>
  <c r="A902" i="1"/>
  <c r="B902" i="1" s="1"/>
  <c r="C902" i="1"/>
  <c r="A903" i="1"/>
  <c r="B903" i="1" s="1"/>
  <c r="C903" i="1"/>
  <c r="A904" i="1"/>
  <c r="B904" i="1" s="1"/>
  <c r="C904" i="1"/>
  <c r="A905" i="1"/>
  <c r="B905" i="1" s="1"/>
  <c r="C905" i="1"/>
  <c r="A906" i="1"/>
  <c r="B906" i="1" s="1"/>
  <c r="C906" i="1"/>
  <c r="A907" i="1"/>
  <c r="B907" i="1" s="1"/>
  <c r="C907" i="1"/>
  <c r="A908" i="1"/>
  <c r="B908" i="1" s="1"/>
  <c r="C908" i="1"/>
  <c r="A909" i="1"/>
  <c r="B909" i="1" s="1"/>
  <c r="C909" i="1"/>
  <c r="A910" i="1"/>
  <c r="B910" i="1" s="1"/>
  <c r="C910" i="1"/>
  <c r="A911" i="1"/>
  <c r="B911" i="1" s="1"/>
  <c r="C911" i="1"/>
  <c r="A912" i="1"/>
  <c r="B912" i="1" s="1"/>
  <c r="C912" i="1"/>
  <c r="A913" i="1"/>
  <c r="B913" i="1" s="1"/>
  <c r="C913" i="1"/>
  <c r="A914" i="1"/>
  <c r="B914" i="1" s="1"/>
  <c r="C914" i="1"/>
  <c r="A915" i="1"/>
  <c r="B915" i="1" s="1"/>
  <c r="C915" i="1"/>
  <c r="A916" i="1"/>
  <c r="B916" i="1" s="1"/>
  <c r="C916" i="1"/>
  <c r="A917" i="1"/>
  <c r="B917" i="1" s="1"/>
  <c r="C917" i="1"/>
  <c r="A918" i="1"/>
  <c r="B918" i="1" s="1"/>
  <c r="C918" i="1"/>
  <c r="A919" i="1"/>
  <c r="B919" i="1" s="1"/>
  <c r="C919" i="1"/>
  <c r="A920" i="1"/>
  <c r="B920" i="1" s="1"/>
  <c r="C920" i="1"/>
  <c r="A921" i="1"/>
  <c r="B921" i="1" s="1"/>
  <c r="C921" i="1"/>
  <c r="A922" i="1"/>
  <c r="B922" i="1" s="1"/>
  <c r="C922" i="1"/>
  <c r="A923" i="1"/>
  <c r="B923" i="1" s="1"/>
  <c r="C923" i="1"/>
  <c r="A924" i="1"/>
  <c r="B924" i="1" s="1"/>
  <c r="C924" i="1"/>
  <c r="A925" i="1"/>
  <c r="B925" i="1" s="1"/>
  <c r="C925" i="1"/>
  <c r="A926" i="1"/>
  <c r="B926" i="1" s="1"/>
  <c r="C926" i="1"/>
  <c r="A927" i="1"/>
  <c r="B927" i="1" s="1"/>
  <c r="C927" i="1"/>
  <c r="A928" i="1"/>
  <c r="B928" i="1" s="1"/>
  <c r="C928" i="1"/>
  <c r="A929" i="1"/>
  <c r="B929" i="1" s="1"/>
  <c r="C929" i="1"/>
  <c r="A930" i="1"/>
  <c r="B930" i="1" s="1"/>
  <c r="C930" i="1"/>
  <c r="A931" i="1"/>
  <c r="B931" i="1" s="1"/>
  <c r="C931" i="1"/>
  <c r="A932" i="1"/>
  <c r="B932" i="1" s="1"/>
  <c r="C932" i="1"/>
  <c r="A933" i="1"/>
  <c r="B933" i="1" s="1"/>
  <c r="C933" i="1"/>
  <c r="A934" i="1"/>
  <c r="B934" i="1" s="1"/>
  <c r="C934" i="1"/>
  <c r="A935" i="1"/>
  <c r="B935" i="1" s="1"/>
  <c r="C935" i="1"/>
  <c r="A936" i="1"/>
  <c r="B936" i="1" s="1"/>
  <c r="C936" i="1"/>
  <c r="A937" i="1"/>
  <c r="B937" i="1" s="1"/>
  <c r="C937" i="1"/>
  <c r="A938" i="1"/>
  <c r="B938" i="1" s="1"/>
  <c r="C938" i="1"/>
  <c r="A939" i="1"/>
  <c r="B939" i="1" s="1"/>
  <c r="C939" i="1"/>
  <c r="A940" i="1"/>
  <c r="B940" i="1" s="1"/>
  <c r="C940" i="1"/>
  <c r="A941" i="1"/>
  <c r="B941" i="1" s="1"/>
  <c r="C941" i="1"/>
  <c r="A942" i="1"/>
  <c r="B942" i="1" s="1"/>
  <c r="C942" i="1"/>
  <c r="A943" i="1"/>
  <c r="B943" i="1" s="1"/>
  <c r="C943" i="1"/>
  <c r="A944" i="1"/>
  <c r="C944" i="1"/>
  <c r="A945" i="1"/>
  <c r="B945" i="1" s="1"/>
  <c r="C945" i="1"/>
  <c r="A946" i="1"/>
  <c r="B946" i="1" s="1"/>
  <c r="C946" i="1"/>
  <c r="A947" i="1"/>
  <c r="B947" i="1" s="1"/>
  <c r="C947" i="1"/>
  <c r="A948" i="1"/>
  <c r="B948" i="1" s="1"/>
  <c r="C948" i="1"/>
  <c r="A949" i="1"/>
  <c r="B949" i="1" s="1"/>
  <c r="C949" i="1"/>
  <c r="A950" i="1"/>
  <c r="B950" i="1" s="1"/>
  <c r="C950" i="1"/>
  <c r="A951" i="1"/>
  <c r="B951" i="1" s="1"/>
  <c r="C951" i="1"/>
  <c r="A952" i="1"/>
  <c r="B952" i="1" s="1"/>
  <c r="C952" i="1"/>
  <c r="A953" i="1"/>
  <c r="B953" i="1" s="1"/>
  <c r="C953" i="1"/>
  <c r="A954" i="1"/>
  <c r="B954" i="1" s="1"/>
  <c r="C954" i="1"/>
  <c r="A955" i="1"/>
  <c r="B955" i="1" s="1"/>
  <c r="C955" i="1"/>
  <c r="A956" i="1"/>
  <c r="B956" i="1" s="1"/>
  <c r="C956" i="1"/>
  <c r="A957" i="1"/>
  <c r="B957" i="1" s="1"/>
  <c r="C957" i="1"/>
  <c r="A958" i="1"/>
  <c r="B958" i="1" s="1"/>
  <c r="C958" i="1"/>
  <c r="A959" i="1"/>
  <c r="B959" i="1" s="1"/>
  <c r="C959" i="1"/>
  <c r="A960" i="1"/>
  <c r="B960" i="1" s="1"/>
  <c r="C960" i="1"/>
  <c r="A961" i="1"/>
  <c r="B961" i="1" s="1"/>
  <c r="C961" i="1"/>
  <c r="A962" i="1"/>
  <c r="B962" i="1" s="1"/>
  <c r="C962" i="1"/>
  <c r="A963" i="1"/>
  <c r="B963" i="1" s="1"/>
  <c r="C963" i="1"/>
  <c r="A964" i="1"/>
  <c r="B964" i="1" s="1"/>
  <c r="C964" i="1"/>
  <c r="A965" i="1"/>
  <c r="B965" i="1" s="1"/>
  <c r="C965" i="1"/>
  <c r="A966" i="1"/>
  <c r="B966" i="1" s="1"/>
  <c r="C966" i="1"/>
  <c r="A967" i="1"/>
  <c r="B967" i="1" s="1"/>
  <c r="C967" i="1"/>
  <c r="A968" i="1"/>
  <c r="B968" i="1" s="1"/>
  <c r="C968" i="1"/>
  <c r="A969" i="1"/>
  <c r="B969" i="1" s="1"/>
  <c r="C969" i="1"/>
  <c r="A970" i="1"/>
  <c r="B970" i="1" s="1"/>
  <c r="C970" i="1"/>
  <c r="A971" i="1"/>
  <c r="B971" i="1" s="1"/>
  <c r="C971" i="1"/>
  <c r="A972" i="1"/>
  <c r="B972" i="1" s="1"/>
  <c r="C972" i="1"/>
  <c r="A973" i="1"/>
  <c r="B973" i="1" s="1"/>
  <c r="C973" i="1"/>
  <c r="A974" i="1"/>
  <c r="B974" i="1" s="1"/>
  <c r="C974" i="1"/>
  <c r="A975" i="1"/>
  <c r="B975" i="1" s="1"/>
  <c r="C975" i="1"/>
  <c r="A976" i="1"/>
  <c r="B976" i="1" s="1"/>
  <c r="C976" i="1"/>
  <c r="A977" i="1"/>
  <c r="B977" i="1" s="1"/>
  <c r="C977" i="1"/>
  <c r="A978" i="1"/>
  <c r="B978" i="1" s="1"/>
  <c r="C978" i="1"/>
  <c r="A979" i="1"/>
  <c r="B979" i="1" s="1"/>
  <c r="C979" i="1"/>
  <c r="A980" i="1"/>
  <c r="B980" i="1" s="1"/>
  <c r="C980" i="1"/>
  <c r="A981" i="1"/>
  <c r="B981" i="1" s="1"/>
  <c r="C981" i="1"/>
  <c r="A982" i="1"/>
  <c r="B982" i="1" s="1"/>
  <c r="C982" i="1"/>
  <c r="A983" i="1"/>
  <c r="B983" i="1" s="1"/>
  <c r="C983" i="1"/>
  <c r="A984" i="1"/>
  <c r="B984" i="1" s="1"/>
  <c r="C984" i="1"/>
  <c r="A985" i="1"/>
  <c r="B985" i="1" s="1"/>
  <c r="C985" i="1"/>
  <c r="A986" i="1"/>
  <c r="B986" i="1" s="1"/>
  <c r="C986" i="1"/>
  <c r="A987" i="1"/>
  <c r="B987" i="1" s="1"/>
  <c r="C987" i="1"/>
  <c r="A988" i="1"/>
  <c r="B988" i="1" s="1"/>
  <c r="C988" i="1"/>
  <c r="A989" i="1"/>
  <c r="B989" i="1" s="1"/>
  <c r="C989" i="1"/>
  <c r="A990" i="1"/>
  <c r="B990" i="1" s="1"/>
  <c r="C990" i="1"/>
  <c r="A991" i="1"/>
  <c r="B991" i="1" s="1"/>
  <c r="C991" i="1"/>
  <c r="A992" i="1"/>
  <c r="B992" i="1" s="1"/>
  <c r="C992" i="1"/>
  <c r="A993" i="1"/>
  <c r="B993" i="1" s="1"/>
  <c r="C993" i="1"/>
  <c r="A994" i="1"/>
  <c r="B994" i="1" s="1"/>
  <c r="C994" i="1"/>
  <c r="A995" i="1"/>
  <c r="B995" i="1" s="1"/>
  <c r="C995" i="1"/>
  <c r="A996" i="1"/>
  <c r="B996" i="1" s="1"/>
  <c r="C996" i="1"/>
  <c r="A997" i="1"/>
  <c r="B997" i="1" s="1"/>
  <c r="C997" i="1"/>
  <c r="A998" i="1"/>
  <c r="B998" i="1" s="1"/>
  <c r="C998" i="1"/>
  <c r="A999" i="1"/>
  <c r="B999" i="1" s="1"/>
  <c r="C999" i="1"/>
  <c r="A1000" i="1"/>
  <c r="B1000" i="1" s="1"/>
  <c r="C1000" i="1"/>
  <c r="A1001" i="1"/>
  <c r="B1001" i="1" s="1"/>
  <c r="C1001" i="1"/>
  <c r="A1002" i="1"/>
  <c r="B1002" i="1" s="1"/>
  <c r="C1002" i="1"/>
  <c r="A1003" i="1"/>
  <c r="B1003" i="1" s="1"/>
  <c r="C1003" i="1"/>
  <c r="A1004" i="1"/>
  <c r="B1004" i="1" s="1"/>
  <c r="C1004" i="1"/>
  <c r="A1005" i="1"/>
  <c r="B1005" i="1" s="1"/>
  <c r="C1005" i="1"/>
  <c r="A1006" i="1"/>
  <c r="B1006" i="1" s="1"/>
  <c r="C1006" i="1"/>
  <c r="A1007" i="1"/>
  <c r="B1007" i="1" s="1"/>
  <c r="C1007" i="1"/>
  <c r="A1008" i="1"/>
  <c r="B1008" i="1" s="1"/>
  <c r="C1008" i="1"/>
  <c r="A1009" i="1"/>
  <c r="B1009" i="1" s="1"/>
  <c r="C1009" i="1"/>
  <c r="A1010" i="1"/>
  <c r="B1010" i="1" s="1"/>
  <c r="C1010" i="1"/>
  <c r="A1011" i="1"/>
  <c r="B1011" i="1" s="1"/>
  <c r="C1011" i="1"/>
  <c r="A1012" i="1"/>
  <c r="B1012" i="1" s="1"/>
  <c r="C1012" i="1"/>
  <c r="A1013" i="1"/>
  <c r="B1013" i="1" s="1"/>
  <c r="C1013" i="1"/>
  <c r="A1014" i="1"/>
  <c r="B1014" i="1" s="1"/>
  <c r="C1014" i="1"/>
  <c r="A1015" i="1"/>
  <c r="B1015" i="1" s="1"/>
  <c r="C1015" i="1"/>
  <c r="A1016" i="1"/>
  <c r="B1016" i="1" s="1"/>
  <c r="C1016" i="1"/>
  <c r="A1017" i="1"/>
  <c r="B1017" i="1" s="1"/>
  <c r="C1017" i="1"/>
  <c r="A1018" i="1"/>
  <c r="B1018" i="1" s="1"/>
  <c r="C1018" i="1"/>
  <c r="A1019" i="1"/>
  <c r="B1019" i="1" s="1"/>
  <c r="C1019" i="1"/>
  <c r="A1020" i="1"/>
  <c r="B1020" i="1" s="1"/>
  <c r="C1020" i="1"/>
  <c r="A1021" i="1"/>
  <c r="B1021" i="1" s="1"/>
  <c r="C1021" i="1"/>
  <c r="A1022" i="1"/>
  <c r="B1022" i="1" s="1"/>
  <c r="C1022" i="1"/>
  <c r="A1023" i="1"/>
  <c r="B1023" i="1" s="1"/>
  <c r="C1023" i="1"/>
  <c r="A1024" i="1"/>
  <c r="B1024" i="1" s="1"/>
  <c r="C1024" i="1"/>
  <c r="A1025" i="1"/>
  <c r="B1025" i="1" s="1"/>
  <c r="C1025" i="1"/>
  <c r="A1026" i="1"/>
  <c r="B1026" i="1" s="1"/>
  <c r="C1026" i="1"/>
  <c r="A1027" i="1"/>
  <c r="B1027" i="1" s="1"/>
  <c r="C1027" i="1"/>
  <c r="A1028" i="1"/>
  <c r="B1028" i="1" s="1"/>
  <c r="C1028" i="1"/>
  <c r="A1029" i="1"/>
  <c r="B1029" i="1" s="1"/>
  <c r="C1029" i="1"/>
  <c r="A1030" i="1"/>
  <c r="B1030" i="1" s="1"/>
  <c r="C1030" i="1"/>
  <c r="A1031" i="1"/>
  <c r="B1031" i="1" s="1"/>
  <c r="C1031" i="1"/>
  <c r="A1032" i="1"/>
  <c r="B1032" i="1" s="1"/>
  <c r="C1032" i="1"/>
  <c r="A1033" i="1"/>
  <c r="B1033" i="1" s="1"/>
  <c r="C1033" i="1"/>
  <c r="A1034" i="1"/>
  <c r="B1034" i="1" s="1"/>
  <c r="C1034" i="1"/>
  <c r="A1035" i="1"/>
  <c r="B1035" i="1" s="1"/>
  <c r="C1035" i="1"/>
  <c r="A1036" i="1"/>
  <c r="B1036" i="1" s="1"/>
  <c r="C1036" i="1"/>
  <c r="A1037" i="1"/>
  <c r="B1037" i="1" s="1"/>
  <c r="C1037" i="1"/>
  <c r="A1038" i="1"/>
  <c r="B1038" i="1" s="1"/>
  <c r="C1038" i="1"/>
  <c r="A1039" i="1"/>
  <c r="B1039" i="1" s="1"/>
  <c r="C1039" i="1"/>
  <c r="A1040" i="1"/>
  <c r="B1040" i="1" s="1"/>
  <c r="C1040" i="1"/>
  <c r="A1041" i="1"/>
  <c r="B1041" i="1" s="1"/>
  <c r="C1041" i="1"/>
  <c r="A1042" i="1"/>
  <c r="B1042" i="1" s="1"/>
  <c r="C1042" i="1"/>
  <c r="A1043" i="1"/>
  <c r="C1043" i="1"/>
  <c r="A1044" i="1"/>
  <c r="B1044" i="1" s="1"/>
  <c r="C1044" i="1"/>
  <c r="A1045" i="1"/>
  <c r="B1045" i="1" s="1"/>
  <c r="C1045" i="1"/>
  <c r="A1046" i="1"/>
  <c r="B1046" i="1" s="1"/>
  <c r="C1046" i="1"/>
  <c r="A1047" i="1"/>
  <c r="B1047" i="1" s="1"/>
  <c r="C1047" i="1"/>
  <c r="A1048" i="1"/>
  <c r="B1048" i="1" s="1"/>
  <c r="C1048" i="1"/>
  <c r="A1049" i="1"/>
  <c r="B1049" i="1" s="1"/>
  <c r="C1049" i="1"/>
  <c r="A1050" i="1"/>
  <c r="B1050" i="1" s="1"/>
  <c r="C1050" i="1"/>
  <c r="A1051" i="1"/>
  <c r="B1051" i="1" s="1"/>
  <c r="C1051" i="1"/>
  <c r="A1052" i="1"/>
  <c r="C1052" i="1"/>
  <c r="A1053" i="1"/>
  <c r="B1053" i="1" s="1"/>
  <c r="C1053" i="1"/>
  <c r="A1054" i="1"/>
  <c r="B1054" i="1" s="1"/>
  <c r="C1054" i="1"/>
  <c r="A1055" i="1"/>
  <c r="B1055" i="1" s="1"/>
  <c r="C1055" i="1"/>
  <c r="A1056" i="1"/>
  <c r="B1056" i="1" s="1"/>
  <c r="C1056" i="1"/>
  <c r="A1057" i="1"/>
  <c r="B1057" i="1" s="1"/>
  <c r="C1057" i="1"/>
  <c r="A1058" i="1"/>
  <c r="B1058" i="1" s="1"/>
  <c r="C1058" i="1"/>
  <c r="A1059" i="1"/>
  <c r="B1059" i="1" s="1"/>
  <c r="C1059" i="1"/>
  <c r="A1060" i="1"/>
  <c r="B1060" i="1" s="1"/>
  <c r="C1060" i="1"/>
  <c r="A1061" i="1"/>
  <c r="B1061" i="1" s="1"/>
  <c r="C1061" i="1"/>
  <c r="A1062" i="1"/>
  <c r="B1062" i="1" s="1"/>
  <c r="C1062" i="1"/>
  <c r="A1063" i="1"/>
  <c r="B1063" i="1" s="1"/>
  <c r="C1063" i="1"/>
  <c r="A1064" i="1"/>
  <c r="B1064" i="1" s="1"/>
  <c r="C1064" i="1"/>
  <c r="A1065" i="1"/>
  <c r="B1065" i="1" s="1"/>
  <c r="C1065" i="1"/>
  <c r="A1066" i="1"/>
  <c r="B1066" i="1" s="1"/>
  <c r="C1066" i="1"/>
  <c r="A1067" i="1"/>
  <c r="B1067" i="1" s="1"/>
  <c r="C1067" i="1"/>
  <c r="A1068" i="1"/>
  <c r="B1068" i="1" s="1"/>
  <c r="C1068" i="1"/>
  <c r="A1069" i="1"/>
  <c r="B1069" i="1" s="1"/>
  <c r="C1069" i="1"/>
  <c r="A1070" i="1"/>
  <c r="B1070" i="1" s="1"/>
  <c r="C1070" i="1"/>
  <c r="A1071" i="1"/>
  <c r="B1071" i="1" s="1"/>
  <c r="C1071" i="1"/>
  <c r="A1072" i="1"/>
  <c r="B1072" i="1" s="1"/>
  <c r="C1072" i="1"/>
  <c r="A1073" i="1"/>
  <c r="B1073" i="1" s="1"/>
  <c r="C1073" i="1"/>
  <c r="A1074" i="1"/>
  <c r="B1074" i="1" s="1"/>
  <c r="C1074" i="1"/>
  <c r="A1075" i="1"/>
  <c r="B1075" i="1" s="1"/>
  <c r="C1075" i="1"/>
  <c r="A1076" i="1"/>
  <c r="B1076" i="1" s="1"/>
  <c r="C1076" i="1"/>
  <c r="A1077" i="1"/>
  <c r="B1077" i="1" s="1"/>
  <c r="C1077" i="1"/>
  <c r="A1078" i="1"/>
  <c r="B1078" i="1" s="1"/>
  <c r="C1078" i="1"/>
  <c r="A1079" i="1"/>
  <c r="B1079" i="1" s="1"/>
  <c r="C1079" i="1"/>
  <c r="A1080" i="1"/>
  <c r="B1080" i="1" s="1"/>
  <c r="C1080" i="1"/>
  <c r="A1081" i="1"/>
  <c r="B1081" i="1" s="1"/>
  <c r="C1081" i="1"/>
  <c r="A1082" i="1"/>
  <c r="B1082" i="1" s="1"/>
  <c r="C1082" i="1"/>
  <c r="A1083" i="1"/>
  <c r="B1083" i="1" s="1"/>
  <c r="C1083" i="1"/>
  <c r="A1084" i="1"/>
  <c r="B1084" i="1" s="1"/>
  <c r="C1084" i="1"/>
  <c r="A1085" i="1"/>
  <c r="B1085" i="1" s="1"/>
  <c r="C1085" i="1"/>
  <c r="A1086" i="1"/>
  <c r="B1086" i="1" s="1"/>
  <c r="C1086" i="1"/>
  <c r="A1087" i="1"/>
  <c r="B1087" i="1" s="1"/>
  <c r="C1087" i="1"/>
  <c r="A1088" i="1"/>
  <c r="B1088" i="1" s="1"/>
  <c r="C1088" i="1"/>
  <c r="A1089" i="1"/>
  <c r="B1089" i="1" s="1"/>
  <c r="C1089" i="1"/>
  <c r="A1090" i="1"/>
  <c r="B1090" i="1" s="1"/>
  <c r="C1090" i="1"/>
  <c r="A1091" i="1"/>
  <c r="B1091" i="1" s="1"/>
  <c r="C1091" i="1"/>
  <c r="A1092" i="1"/>
  <c r="B1092" i="1" s="1"/>
  <c r="C1092" i="1"/>
  <c r="A1093" i="1"/>
  <c r="B1093" i="1" s="1"/>
  <c r="C1093" i="1"/>
  <c r="A1094" i="1"/>
  <c r="B1094" i="1" s="1"/>
  <c r="C1094" i="1"/>
  <c r="A1095" i="1"/>
  <c r="B1095" i="1" s="1"/>
  <c r="C1095" i="1"/>
  <c r="A1096" i="1"/>
  <c r="B1096" i="1" s="1"/>
  <c r="C1096" i="1"/>
  <c r="A1097" i="1"/>
  <c r="B1097" i="1" s="1"/>
  <c r="C1097" i="1"/>
  <c r="A1098" i="1"/>
  <c r="B1098" i="1" s="1"/>
  <c r="C1098" i="1"/>
  <c r="A1099" i="1"/>
  <c r="B1099" i="1" s="1"/>
  <c r="C1099" i="1"/>
  <c r="A1100" i="1"/>
  <c r="B1100" i="1" s="1"/>
  <c r="C1100" i="1"/>
  <c r="A1101" i="1"/>
  <c r="B1101" i="1" s="1"/>
  <c r="C1101" i="1"/>
  <c r="A1102" i="1"/>
  <c r="B1102" i="1" s="1"/>
  <c r="C1102" i="1"/>
  <c r="A1103" i="1"/>
  <c r="B1103" i="1" s="1"/>
  <c r="C1103" i="1"/>
  <c r="A1104" i="1"/>
  <c r="B1104" i="1" s="1"/>
  <c r="C1104" i="1"/>
  <c r="A1105" i="1"/>
  <c r="B1105" i="1" s="1"/>
  <c r="C1105" i="1"/>
  <c r="A1106" i="1"/>
  <c r="B1106" i="1" s="1"/>
  <c r="C1106" i="1"/>
  <c r="A1107" i="1"/>
  <c r="B1107" i="1" s="1"/>
  <c r="C1107" i="1"/>
  <c r="A1108" i="1"/>
  <c r="B1108" i="1" s="1"/>
  <c r="C1108" i="1"/>
  <c r="A1109" i="1"/>
  <c r="B1109" i="1" s="1"/>
  <c r="C1109" i="1"/>
  <c r="A1110" i="1"/>
  <c r="B1110" i="1" s="1"/>
  <c r="C1110" i="1"/>
  <c r="A1111" i="1"/>
  <c r="B1111" i="1" s="1"/>
  <c r="C1111" i="1"/>
  <c r="A1112" i="1"/>
  <c r="B1112" i="1" s="1"/>
  <c r="C1112" i="1"/>
  <c r="A1113" i="1"/>
  <c r="B1113" i="1" s="1"/>
  <c r="C1113" i="1"/>
  <c r="A1114" i="1"/>
  <c r="B1114" i="1" s="1"/>
  <c r="C1114" i="1"/>
  <c r="A1115" i="1"/>
  <c r="B1115" i="1" s="1"/>
  <c r="C1115" i="1"/>
  <c r="A1116" i="1"/>
  <c r="B1116" i="1" s="1"/>
  <c r="C1116" i="1"/>
  <c r="A1117" i="1"/>
  <c r="B1117" i="1" s="1"/>
  <c r="C1117" i="1"/>
  <c r="A1118" i="1"/>
  <c r="B1118" i="1" s="1"/>
  <c r="C1118" i="1"/>
  <c r="A1119" i="1"/>
  <c r="B1119" i="1" s="1"/>
  <c r="C1119" i="1"/>
  <c r="A1120" i="1"/>
  <c r="B1120" i="1" s="1"/>
  <c r="C1120" i="1"/>
  <c r="A1121" i="1"/>
  <c r="B1121" i="1" s="1"/>
  <c r="C1121" i="1"/>
  <c r="A1122" i="1"/>
  <c r="B1122" i="1" s="1"/>
  <c r="C1122" i="1"/>
  <c r="A1123" i="1"/>
  <c r="B1123" i="1" s="1"/>
  <c r="C1123" i="1"/>
  <c r="A1124" i="1"/>
  <c r="B1124" i="1" s="1"/>
  <c r="C1124" i="1"/>
  <c r="A1125" i="1"/>
  <c r="B1125" i="1" s="1"/>
  <c r="C1125" i="1"/>
  <c r="A1126" i="1"/>
  <c r="B1126" i="1" s="1"/>
  <c r="C1126" i="1"/>
  <c r="A1127" i="1"/>
  <c r="B1127" i="1" s="1"/>
  <c r="C1127" i="1"/>
  <c r="A1128" i="1"/>
  <c r="B1128" i="1" s="1"/>
  <c r="C1128" i="1"/>
  <c r="A1129" i="1"/>
  <c r="B1129" i="1" s="1"/>
  <c r="C1129" i="1"/>
  <c r="A1130" i="1"/>
  <c r="B1130" i="1" s="1"/>
  <c r="C1130" i="1"/>
  <c r="A1131" i="1"/>
  <c r="B1131" i="1" s="1"/>
  <c r="C1131" i="1"/>
  <c r="A1132" i="1"/>
  <c r="B1132" i="1" s="1"/>
  <c r="C1132" i="1"/>
  <c r="A1133" i="1"/>
  <c r="B1133" i="1" s="1"/>
  <c r="C1133" i="1"/>
  <c r="A1134" i="1"/>
  <c r="B1134" i="1" s="1"/>
  <c r="C1134" i="1"/>
  <c r="A1135" i="1"/>
  <c r="B1135" i="1" s="1"/>
  <c r="C1135" i="1"/>
  <c r="A1136" i="1"/>
  <c r="B1136" i="1" s="1"/>
  <c r="C1136" i="1"/>
  <c r="A1137" i="1"/>
  <c r="B1137" i="1" s="1"/>
  <c r="C1137" i="1"/>
  <c r="A1138" i="1"/>
  <c r="B1138" i="1" s="1"/>
  <c r="C1138" i="1"/>
  <c r="A1139" i="1"/>
  <c r="B1139" i="1" s="1"/>
  <c r="C1139" i="1"/>
  <c r="A1140" i="1"/>
  <c r="B1140" i="1" s="1"/>
  <c r="C1140" i="1"/>
  <c r="A1141" i="1"/>
  <c r="B1141" i="1" s="1"/>
  <c r="C1141" i="1"/>
  <c r="A1142" i="1"/>
  <c r="B1142" i="1" s="1"/>
  <c r="C1142" i="1"/>
  <c r="A1143" i="1"/>
  <c r="B1143" i="1" s="1"/>
  <c r="C1143" i="1"/>
  <c r="A1144" i="1"/>
  <c r="B1144" i="1" s="1"/>
  <c r="C1144" i="1"/>
  <c r="A1145" i="1"/>
  <c r="B1145" i="1" s="1"/>
  <c r="C1145" i="1"/>
  <c r="A1146" i="1"/>
  <c r="B1146" i="1" s="1"/>
  <c r="C1146" i="1"/>
  <c r="A1147" i="1"/>
  <c r="B1147" i="1" s="1"/>
  <c r="C1147" i="1"/>
  <c r="A1148" i="1"/>
  <c r="B1148" i="1" s="1"/>
  <c r="C1148" i="1"/>
  <c r="A1149" i="1"/>
  <c r="B1149" i="1" s="1"/>
  <c r="C1149" i="1"/>
  <c r="A1150" i="1"/>
  <c r="B1150" i="1" s="1"/>
  <c r="C1150" i="1"/>
  <c r="A1151" i="1"/>
  <c r="B1151" i="1" s="1"/>
  <c r="C1151" i="1"/>
  <c r="A1152" i="1"/>
  <c r="B1152" i="1" s="1"/>
  <c r="C1152" i="1"/>
  <c r="A1153" i="1"/>
  <c r="B1153" i="1" s="1"/>
  <c r="C1153" i="1"/>
  <c r="A1154" i="1"/>
  <c r="B1154" i="1" s="1"/>
  <c r="C1154" i="1"/>
  <c r="A1155" i="1"/>
  <c r="B1155" i="1" s="1"/>
  <c r="C1155" i="1"/>
  <c r="A1156" i="1"/>
  <c r="B1156" i="1" s="1"/>
  <c r="C1156" i="1"/>
  <c r="A1157" i="1"/>
  <c r="B1157" i="1" s="1"/>
  <c r="C1157" i="1"/>
  <c r="A1158" i="1"/>
  <c r="B1158" i="1" s="1"/>
  <c r="C1158" i="1"/>
  <c r="A1159" i="1"/>
  <c r="B1159" i="1" s="1"/>
  <c r="C1159" i="1"/>
  <c r="A1160" i="1"/>
  <c r="B1160" i="1" s="1"/>
  <c r="C1160" i="1"/>
  <c r="A1161" i="1"/>
  <c r="B1161" i="1" s="1"/>
  <c r="C1161" i="1"/>
  <c r="A1162" i="1"/>
  <c r="B1162" i="1" s="1"/>
  <c r="C1162" i="1"/>
  <c r="A1163" i="1"/>
  <c r="B1163" i="1" s="1"/>
  <c r="C1163" i="1"/>
  <c r="A1164" i="1"/>
  <c r="B1164" i="1" s="1"/>
  <c r="C1164" i="1"/>
  <c r="A1165" i="1"/>
  <c r="B1165" i="1" s="1"/>
  <c r="C1165" i="1"/>
  <c r="A1166" i="1"/>
  <c r="B1166" i="1" s="1"/>
  <c r="C1166" i="1"/>
  <c r="A1167" i="1"/>
  <c r="B1167" i="1" s="1"/>
  <c r="C1167" i="1"/>
  <c r="A1168" i="1"/>
  <c r="B1168" i="1" s="1"/>
  <c r="C1168" i="1"/>
  <c r="A1169" i="1"/>
  <c r="B1169" i="1" s="1"/>
  <c r="C1169" i="1"/>
  <c r="A1170" i="1"/>
  <c r="B1170" i="1" s="1"/>
  <c r="C1170" i="1"/>
  <c r="A1171" i="1"/>
  <c r="B1171" i="1" s="1"/>
  <c r="C1171" i="1"/>
  <c r="A1172" i="1"/>
  <c r="B1172" i="1" s="1"/>
  <c r="C1172" i="1"/>
  <c r="A1173" i="1"/>
  <c r="B1173" i="1" s="1"/>
  <c r="C1173" i="1"/>
  <c r="A1174" i="1"/>
  <c r="B1174" i="1" s="1"/>
  <c r="C1174" i="1"/>
  <c r="A1175" i="1"/>
  <c r="B1175" i="1" s="1"/>
  <c r="C1175" i="1"/>
  <c r="A1176" i="1"/>
  <c r="B1176" i="1" s="1"/>
  <c r="C1176" i="1"/>
  <c r="A1177" i="1"/>
  <c r="B1177" i="1" s="1"/>
  <c r="C1177" i="1"/>
  <c r="A1178" i="1"/>
  <c r="B1178" i="1" s="1"/>
  <c r="C1178" i="1"/>
  <c r="A1179" i="1"/>
  <c r="B1179" i="1" s="1"/>
  <c r="C1179" i="1"/>
  <c r="A1180" i="1"/>
  <c r="B1180" i="1" s="1"/>
  <c r="C1180" i="1"/>
  <c r="A1181" i="1"/>
  <c r="B1181" i="1" s="1"/>
  <c r="C1181" i="1"/>
  <c r="A1182" i="1"/>
  <c r="B1182" i="1" s="1"/>
  <c r="C1182" i="1"/>
  <c r="A1183" i="1"/>
  <c r="B1183" i="1" s="1"/>
  <c r="C1183" i="1"/>
  <c r="A1184" i="1"/>
  <c r="B1184" i="1" s="1"/>
  <c r="C1184" i="1"/>
  <c r="A1185" i="1"/>
  <c r="B1185" i="1" s="1"/>
  <c r="C1185" i="1"/>
  <c r="A1186" i="1"/>
  <c r="B1186" i="1" s="1"/>
  <c r="C1186" i="1"/>
  <c r="A1187" i="1"/>
  <c r="B1187" i="1" s="1"/>
  <c r="C1187" i="1"/>
  <c r="A1188" i="1"/>
  <c r="B1188" i="1" s="1"/>
  <c r="C1188" i="1"/>
  <c r="A1189" i="1"/>
  <c r="B1189" i="1" s="1"/>
  <c r="C1189" i="1"/>
  <c r="A1190" i="1"/>
  <c r="B1190" i="1" s="1"/>
  <c r="C1190" i="1"/>
  <c r="A1191" i="1"/>
  <c r="B1191" i="1" s="1"/>
  <c r="C1191" i="1"/>
  <c r="A1192" i="1"/>
  <c r="B1192" i="1" s="1"/>
  <c r="C1192" i="1"/>
  <c r="A1193" i="1"/>
  <c r="B1193" i="1" s="1"/>
  <c r="C1193" i="1"/>
  <c r="A1194" i="1"/>
  <c r="B1194" i="1" s="1"/>
  <c r="C1194" i="1"/>
  <c r="A1195" i="1"/>
  <c r="B1195" i="1" s="1"/>
  <c r="C1195" i="1"/>
  <c r="A1196" i="1"/>
  <c r="B1196" i="1" s="1"/>
  <c r="C1196" i="1"/>
  <c r="A1197" i="1"/>
  <c r="B1197" i="1" s="1"/>
  <c r="C1197" i="1"/>
  <c r="A1198" i="1"/>
  <c r="B1198" i="1" s="1"/>
  <c r="C1198" i="1"/>
  <c r="A1199" i="1"/>
  <c r="B1199" i="1" s="1"/>
  <c r="C1199" i="1"/>
  <c r="A1200" i="1"/>
  <c r="B1200" i="1" s="1"/>
  <c r="C1200" i="1"/>
  <c r="A1201" i="1"/>
  <c r="B1201" i="1" s="1"/>
  <c r="C1201" i="1"/>
  <c r="A1202" i="1"/>
  <c r="B1202" i="1" s="1"/>
  <c r="C1202" i="1"/>
  <c r="A1203" i="1"/>
  <c r="B1203" i="1" s="1"/>
  <c r="C1203" i="1"/>
  <c r="A1204" i="1"/>
  <c r="B1204" i="1" s="1"/>
  <c r="C1204" i="1"/>
  <c r="A1205" i="1"/>
  <c r="B1205" i="1" s="1"/>
  <c r="C1205" i="1"/>
  <c r="A1206" i="1"/>
  <c r="B1206" i="1" s="1"/>
  <c r="C1206" i="1"/>
  <c r="A1207" i="1"/>
  <c r="B1207" i="1" s="1"/>
  <c r="C1207" i="1"/>
  <c r="A1208" i="1"/>
  <c r="B1208" i="1" s="1"/>
  <c r="C1208" i="1"/>
  <c r="A1209" i="1"/>
  <c r="C1209" i="1"/>
  <c r="A1210" i="1"/>
  <c r="B1210" i="1" s="1"/>
  <c r="C1210" i="1"/>
  <c r="A1211" i="1"/>
  <c r="B1211" i="1" s="1"/>
  <c r="C1211" i="1"/>
  <c r="A1212" i="1"/>
  <c r="B1212" i="1" s="1"/>
  <c r="C1212" i="1"/>
  <c r="A1213" i="1"/>
  <c r="B1213" i="1" s="1"/>
  <c r="C1213" i="1"/>
  <c r="A1214" i="1"/>
  <c r="B1214" i="1" s="1"/>
  <c r="C1214" i="1"/>
  <c r="A1215" i="1"/>
  <c r="B1215" i="1" s="1"/>
  <c r="C1215" i="1"/>
  <c r="A1216" i="1"/>
  <c r="B1216" i="1" s="1"/>
  <c r="C1216" i="1"/>
  <c r="A1217" i="1"/>
  <c r="B1217" i="1" s="1"/>
  <c r="C1217" i="1"/>
  <c r="A1218" i="1"/>
  <c r="B1218" i="1" s="1"/>
  <c r="C1218" i="1"/>
  <c r="A1219" i="1"/>
  <c r="B1219" i="1" s="1"/>
  <c r="C1219" i="1"/>
  <c r="A1220" i="1"/>
  <c r="B1220" i="1" s="1"/>
  <c r="C1220" i="1"/>
  <c r="A1221" i="1"/>
  <c r="B1221" i="1" s="1"/>
  <c r="C1221" i="1"/>
  <c r="A1222" i="1"/>
  <c r="B1222" i="1" s="1"/>
  <c r="C1222" i="1"/>
  <c r="A1223" i="1"/>
  <c r="B1223" i="1" s="1"/>
  <c r="C1223" i="1"/>
  <c r="A1224" i="1"/>
  <c r="B1224" i="1" s="1"/>
  <c r="C1224" i="1"/>
  <c r="A1225" i="1"/>
  <c r="B1225" i="1" s="1"/>
  <c r="C1225" i="1"/>
  <c r="A1226" i="1"/>
  <c r="B1226" i="1" s="1"/>
  <c r="C1226" i="1"/>
  <c r="A1227" i="1"/>
  <c r="B1227" i="1" s="1"/>
  <c r="C1227" i="1"/>
  <c r="A1228" i="1"/>
  <c r="B1228" i="1" s="1"/>
  <c r="C1228" i="1"/>
  <c r="A1229" i="1"/>
  <c r="B1229" i="1" s="1"/>
  <c r="C1229" i="1"/>
  <c r="A1230" i="1"/>
  <c r="B1230" i="1" s="1"/>
  <c r="C1230" i="1"/>
  <c r="A1231" i="1"/>
  <c r="B1231" i="1" s="1"/>
  <c r="C1231" i="1"/>
  <c r="A1232" i="1"/>
  <c r="B1232" i="1" s="1"/>
  <c r="C1232" i="1"/>
  <c r="A1233" i="1"/>
  <c r="B1233" i="1" s="1"/>
  <c r="C1233" i="1"/>
  <c r="A1234" i="1"/>
  <c r="B1234" i="1" s="1"/>
  <c r="C1234" i="1"/>
  <c r="A1235" i="1"/>
  <c r="B1235" i="1" s="1"/>
  <c r="C1235" i="1"/>
  <c r="A1236" i="1"/>
  <c r="B1236" i="1" s="1"/>
  <c r="C1236" i="1"/>
  <c r="A1237" i="1"/>
  <c r="B1237" i="1" s="1"/>
  <c r="C1237" i="1"/>
  <c r="A1238" i="1"/>
  <c r="B1238" i="1" s="1"/>
  <c r="C1238" i="1"/>
  <c r="A1239" i="1"/>
  <c r="B1239" i="1" s="1"/>
  <c r="C1239" i="1"/>
  <c r="A1240" i="1"/>
  <c r="B1240" i="1" s="1"/>
  <c r="C1240" i="1"/>
  <c r="A1241" i="1"/>
  <c r="B1241" i="1" s="1"/>
  <c r="C1241" i="1"/>
  <c r="A1242" i="1"/>
  <c r="B1242" i="1" s="1"/>
  <c r="C1242" i="1"/>
  <c r="A1243" i="1"/>
  <c r="B1243" i="1" s="1"/>
  <c r="C1243" i="1"/>
  <c r="A1244" i="1"/>
  <c r="C1244" i="1"/>
  <c r="A1245" i="1"/>
  <c r="B1245" i="1" s="1"/>
  <c r="C1245" i="1"/>
  <c r="A1246" i="1"/>
  <c r="B1246" i="1" s="1"/>
  <c r="C1246" i="1"/>
  <c r="A1247" i="1"/>
  <c r="B1247" i="1" s="1"/>
  <c r="C1247" i="1"/>
  <c r="A1248" i="1"/>
  <c r="B1248" i="1" s="1"/>
  <c r="C1248" i="1"/>
  <c r="A1249" i="1"/>
  <c r="B1249" i="1" s="1"/>
  <c r="C1249" i="1"/>
  <c r="A1250" i="1"/>
  <c r="B1250" i="1" s="1"/>
  <c r="C1250" i="1"/>
  <c r="A1251" i="1"/>
  <c r="B1251" i="1" s="1"/>
  <c r="C1251" i="1"/>
  <c r="A1252" i="1"/>
  <c r="B1252" i="1" s="1"/>
  <c r="C1252" i="1"/>
  <c r="A1253" i="1"/>
  <c r="B1253" i="1" s="1"/>
  <c r="C1253" i="1"/>
  <c r="A1254" i="1"/>
  <c r="B1254" i="1" s="1"/>
  <c r="C1254" i="1"/>
  <c r="A1255" i="1"/>
  <c r="B1255" i="1" s="1"/>
  <c r="C1255" i="1"/>
  <c r="A1256" i="1"/>
  <c r="B1256" i="1" s="1"/>
  <c r="C1256" i="1"/>
  <c r="A1257" i="1"/>
  <c r="B1257" i="1" s="1"/>
  <c r="C1257" i="1"/>
  <c r="A1258" i="1"/>
  <c r="B1258" i="1" s="1"/>
  <c r="C1258" i="1"/>
  <c r="A1259" i="1"/>
  <c r="B1259" i="1" s="1"/>
  <c r="C1259" i="1"/>
  <c r="A1260" i="1"/>
  <c r="B1260" i="1" s="1"/>
  <c r="C1260" i="1"/>
  <c r="A1261" i="1"/>
  <c r="B1261" i="1" s="1"/>
  <c r="C1261" i="1"/>
  <c r="A1262" i="1"/>
  <c r="B1262" i="1" s="1"/>
  <c r="C1262" i="1"/>
  <c r="A1263" i="1"/>
  <c r="B1263" i="1" s="1"/>
  <c r="C1263" i="1"/>
  <c r="A1264" i="1"/>
  <c r="B1264" i="1" s="1"/>
  <c r="C1264" i="1"/>
  <c r="A1265" i="1"/>
  <c r="B1265" i="1" s="1"/>
  <c r="C1265" i="1"/>
  <c r="A1266" i="1"/>
  <c r="B1266" i="1" s="1"/>
  <c r="C1266" i="1"/>
  <c r="A1267" i="1"/>
  <c r="B1267" i="1" s="1"/>
  <c r="C1267" i="1"/>
  <c r="A1268" i="1"/>
  <c r="B1268" i="1" s="1"/>
  <c r="C1268" i="1"/>
  <c r="A1269" i="1"/>
  <c r="C1269" i="1"/>
  <c r="A1270" i="1"/>
  <c r="B1270" i="1" s="1"/>
  <c r="C1270" i="1"/>
  <c r="A1271" i="1"/>
  <c r="B1271" i="1" s="1"/>
  <c r="C1271" i="1"/>
  <c r="A1272" i="1"/>
  <c r="B1272" i="1" s="1"/>
  <c r="C1272" i="1"/>
  <c r="A1273" i="1"/>
  <c r="B1273" i="1" s="1"/>
  <c r="C1273" i="1"/>
  <c r="A1274" i="1"/>
  <c r="B1274" i="1" s="1"/>
  <c r="C1274" i="1"/>
  <c r="A1275" i="1"/>
  <c r="B1275" i="1" s="1"/>
  <c r="C1275" i="1"/>
  <c r="A1276" i="1"/>
  <c r="B1276" i="1" s="1"/>
  <c r="C1276" i="1"/>
  <c r="A1277" i="1"/>
  <c r="B1277" i="1" s="1"/>
  <c r="C1277" i="1"/>
  <c r="A1278" i="1"/>
  <c r="B1278" i="1" s="1"/>
  <c r="C1278" i="1"/>
  <c r="A1279" i="1"/>
  <c r="B1279" i="1" s="1"/>
  <c r="C1279" i="1"/>
  <c r="A1280" i="1"/>
  <c r="B1280" i="1" s="1"/>
  <c r="C1280" i="1"/>
  <c r="A1281" i="1"/>
  <c r="B1281" i="1" s="1"/>
  <c r="C1281" i="1"/>
  <c r="A1282" i="1"/>
  <c r="B1282" i="1" s="1"/>
  <c r="C1282" i="1"/>
  <c r="A1283" i="1"/>
  <c r="B1283" i="1" s="1"/>
  <c r="C1283" i="1"/>
  <c r="A1284" i="1"/>
  <c r="B1284" i="1" s="1"/>
  <c r="C1284" i="1"/>
  <c r="A1285" i="1"/>
  <c r="B1285" i="1" s="1"/>
  <c r="C1285" i="1"/>
  <c r="A1286" i="1"/>
  <c r="B1286" i="1" s="1"/>
  <c r="C1286" i="1"/>
  <c r="A1287" i="1"/>
  <c r="B1287" i="1" s="1"/>
  <c r="C1287" i="1"/>
  <c r="A1288" i="1"/>
  <c r="B1288" i="1" s="1"/>
  <c r="C1288" i="1"/>
  <c r="A1289" i="1"/>
  <c r="B1289" i="1" s="1"/>
  <c r="C1289" i="1"/>
  <c r="A1290" i="1"/>
  <c r="B1290" i="1" s="1"/>
  <c r="C1290" i="1"/>
  <c r="A1291" i="1"/>
  <c r="B1291" i="1" s="1"/>
  <c r="C1291" i="1"/>
  <c r="A1292" i="1"/>
  <c r="B1292" i="1" s="1"/>
  <c r="C1292" i="1"/>
  <c r="A1293" i="1"/>
  <c r="B1293" i="1" s="1"/>
  <c r="C1293" i="1"/>
  <c r="A1294" i="1"/>
  <c r="B1294" i="1" s="1"/>
  <c r="C1294" i="1"/>
  <c r="A1295" i="1"/>
  <c r="B1295" i="1" s="1"/>
  <c r="C1295" i="1"/>
  <c r="A1296" i="1"/>
  <c r="B1296" i="1" s="1"/>
  <c r="C1296" i="1"/>
  <c r="A1297" i="1"/>
  <c r="B1297" i="1" s="1"/>
  <c r="C1297" i="1"/>
  <c r="A1298" i="1"/>
  <c r="B1298" i="1" s="1"/>
  <c r="C1298" i="1"/>
  <c r="A1299" i="1"/>
  <c r="B1299" i="1" s="1"/>
  <c r="C1299" i="1"/>
  <c r="A1300" i="1"/>
  <c r="B1300" i="1" s="1"/>
  <c r="C1300" i="1"/>
  <c r="A1301" i="1"/>
  <c r="B1301" i="1" s="1"/>
  <c r="C1301" i="1"/>
  <c r="A1302" i="1"/>
  <c r="B1302" i="1" s="1"/>
  <c r="C1302" i="1"/>
  <c r="A1303" i="1"/>
  <c r="B1303" i="1" s="1"/>
  <c r="C1303" i="1"/>
  <c r="A1304" i="1"/>
  <c r="B1304" i="1" s="1"/>
  <c r="C1304" i="1"/>
  <c r="A1305" i="1"/>
  <c r="B1305" i="1" s="1"/>
  <c r="C1305" i="1"/>
  <c r="A1306" i="1"/>
  <c r="B1306" i="1" s="1"/>
  <c r="C1306" i="1"/>
  <c r="A1307" i="1"/>
  <c r="B1307" i="1" s="1"/>
  <c r="C1307" i="1"/>
  <c r="A1308" i="1"/>
  <c r="B1308" i="1" s="1"/>
  <c r="C1308" i="1"/>
  <c r="A1309" i="1"/>
  <c r="B1309" i="1" s="1"/>
  <c r="C1309" i="1"/>
  <c r="A1310" i="1"/>
  <c r="B1310" i="1" s="1"/>
  <c r="C1310" i="1"/>
  <c r="A1311" i="1"/>
  <c r="B1311" i="1" s="1"/>
  <c r="C1311" i="1"/>
  <c r="A1312" i="1"/>
  <c r="B1312" i="1" s="1"/>
  <c r="C1312" i="1"/>
  <c r="A1313" i="1"/>
  <c r="B1313" i="1" s="1"/>
  <c r="C1313" i="1"/>
  <c r="A1314" i="1"/>
  <c r="B1314" i="1" s="1"/>
  <c r="C1314" i="1"/>
  <c r="A1315" i="1"/>
  <c r="B1315" i="1" s="1"/>
  <c r="C1315" i="1"/>
  <c r="A1316" i="1"/>
  <c r="B1316" i="1" s="1"/>
  <c r="C1316" i="1"/>
  <c r="A1317" i="1"/>
  <c r="B1317" i="1" s="1"/>
  <c r="C1317" i="1"/>
  <c r="A1318" i="1"/>
  <c r="B1318" i="1" s="1"/>
  <c r="C1318" i="1"/>
  <c r="A1319" i="1"/>
  <c r="B1319" i="1" s="1"/>
  <c r="C1319" i="1"/>
  <c r="A1320" i="1"/>
  <c r="B1320" i="1" s="1"/>
  <c r="C1320" i="1"/>
  <c r="A1321" i="1"/>
  <c r="B1321" i="1" s="1"/>
  <c r="C1321" i="1"/>
  <c r="A1322" i="1"/>
  <c r="B1322" i="1" s="1"/>
  <c r="C1322" i="1"/>
  <c r="A1323" i="1"/>
  <c r="B1323" i="1" s="1"/>
  <c r="C1323" i="1"/>
  <c r="A1324" i="1"/>
  <c r="B1324" i="1" s="1"/>
  <c r="C1324" i="1"/>
  <c r="A1325" i="1"/>
  <c r="B1325" i="1" s="1"/>
  <c r="C1325" i="1"/>
  <c r="A1326" i="1"/>
  <c r="B1326" i="1" s="1"/>
  <c r="C1326" i="1"/>
  <c r="A1327" i="1"/>
  <c r="B1327" i="1" s="1"/>
  <c r="C1327" i="1"/>
  <c r="A1328" i="1"/>
  <c r="B1328" i="1" s="1"/>
  <c r="C1328" i="1"/>
  <c r="A1329" i="1"/>
  <c r="B1329" i="1" s="1"/>
  <c r="C1329" i="1"/>
  <c r="A1330" i="1"/>
  <c r="B1330" i="1" s="1"/>
  <c r="C1330" i="1"/>
  <c r="A1331" i="1"/>
  <c r="B1331" i="1" s="1"/>
  <c r="C1331" i="1"/>
  <c r="A1332" i="1"/>
  <c r="B1332" i="1" s="1"/>
  <c r="C1332" i="1"/>
  <c r="A1333" i="1"/>
  <c r="B1333" i="1" s="1"/>
  <c r="C1333" i="1"/>
  <c r="A1334" i="1"/>
  <c r="B1334" i="1" s="1"/>
  <c r="C1334" i="1"/>
  <c r="A1335" i="1"/>
  <c r="B1335" i="1" s="1"/>
  <c r="C1335" i="1"/>
  <c r="A1336" i="1"/>
  <c r="B1336" i="1" s="1"/>
  <c r="C1336" i="1"/>
  <c r="A1337" i="1"/>
  <c r="B1337" i="1" s="1"/>
  <c r="C1337" i="1"/>
  <c r="A1338" i="1"/>
  <c r="B1338" i="1" s="1"/>
  <c r="C1338" i="1"/>
  <c r="A1339" i="1"/>
  <c r="B1339" i="1" s="1"/>
  <c r="C1339" i="1"/>
  <c r="A1340" i="1"/>
  <c r="B1340" i="1" s="1"/>
  <c r="C1340" i="1"/>
  <c r="A1341" i="1"/>
  <c r="B1341" i="1" s="1"/>
  <c r="C1341" i="1"/>
  <c r="A1342" i="1"/>
  <c r="B1342" i="1" s="1"/>
  <c r="C1342" i="1"/>
  <c r="A1343" i="1"/>
  <c r="B1343" i="1" s="1"/>
  <c r="C1343" i="1"/>
  <c r="A1344" i="1"/>
  <c r="B1344" i="1" s="1"/>
  <c r="C1344" i="1"/>
  <c r="A1345" i="1"/>
  <c r="B1345" i="1" s="1"/>
  <c r="C1345" i="1"/>
  <c r="A1346" i="1"/>
  <c r="B1346" i="1" s="1"/>
  <c r="C1346" i="1"/>
  <c r="A1347" i="1"/>
  <c r="B1347" i="1" s="1"/>
  <c r="C1347" i="1"/>
  <c r="A1348" i="1"/>
  <c r="B1348" i="1" s="1"/>
  <c r="C1348" i="1"/>
  <c r="A1349" i="1"/>
  <c r="B1349" i="1" s="1"/>
  <c r="C1349" i="1"/>
  <c r="A1350" i="1"/>
  <c r="B1350" i="1" s="1"/>
  <c r="C1350" i="1"/>
  <c r="A1351" i="1"/>
  <c r="B1351" i="1" s="1"/>
  <c r="C1351" i="1"/>
  <c r="A1352" i="1"/>
  <c r="B1352" i="1" s="1"/>
  <c r="C1352" i="1"/>
  <c r="A1353" i="1"/>
  <c r="B1353" i="1" s="1"/>
  <c r="C1353" i="1"/>
  <c r="A1354" i="1"/>
  <c r="B1354" i="1" s="1"/>
  <c r="C1354" i="1"/>
  <c r="A1355" i="1"/>
  <c r="B1355" i="1" s="1"/>
  <c r="C1355" i="1"/>
  <c r="A1356" i="1"/>
  <c r="B1356" i="1" s="1"/>
  <c r="C1356" i="1"/>
  <c r="A1357" i="1"/>
  <c r="B1357" i="1" s="1"/>
  <c r="C1357" i="1"/>
  <c r="A1358" i="1"/>
  <c r="B1358" i="1" s="1"/>
  <c r="C1358" i="1"/>
  <c r="A1359" i="1"/>
  <c r="B1359" i="1" s="1"/>
  <c r="C1359" i="1"/>
  <c r="A1360" i="1"/>
  <c r="B1360" i="1" s="1"/>
  <c r="C1360" i="1"/>
  <c r="A1361" i="1"/>
  <c r="B1361" i="1" s="1"/>
  <c r="C1361" i="1"/>
  <c r="A1362" i="1"/>
  <c r="B1362" i="1" s="1"/>
  <c r="C1362" i="1"/>
  <c r="A1363" i="1"/>
  <c r="B1363" i="1" s="1"/>
  <c r="C1363" i="1"/>
  <c r="A1364" i="1"/>
  <c r="B1364" i="1" s="1"/>
  <c r="C1364" i="1"/>
  <c r="A1365" i="1"/>
  <c r="B1365" i="1" s="1"/>
  <c r="C1365" i="1"/>
  <c r="A1366" i="1"/>
  <c r="B1366" i="1" s="1"/>
  <c r="C1366" i="1"/>
  <c r="A1367" i="1"/>
  <c r="B1367" i="1" s="1"/>
  <c r="C1367" i="1"/>
  <c r="A1368" i="1"/>
  <c r="B1368" i="1" s="1"/>
  <c r="C1368" i="1"/>
  <c r="A1369" i="1"/>
  <c r="B1369" i="1" s="1"/>
  <c r="C1369" i="1"/>
  <c r="A1370" i="1"/>
  <c r="B1370" i="1" s="1"/>
  <c r="C1370" i="1"/>
  <c r="A1371" i="1"/>
  <c r="B1371" i="1" s="1"/>
  <c r="C1371" i="1"/>
  <c r="A1372" i="1"/>
  <c r="B1372" i="1" s="1"/>
  <c r="C1372" i="1"/>
  <c r="A1373" i="1"/>
  <c r="B1373" i="1" s="1"/>
  <c r="C1373" i="1"/>
  <c r="A1374" i="1"/>
  <c r="B1374" i="1" s="1"/>
  <c r="C1374" i="1"/>
  <c r="A1375" i="1"/>
  <c r="B1375" i="1" s="1"/>
  <c r="C1375" i="1"/>
  <c r="A1376" i="1"/>
  <c r="B1376" i="1" s="1"/>
  <c r="C1376" i="1"/>
  <c r="A1377" i="1"/>
  <c r="B1377" i="1" s="1"/>
  <c r="C1377" i="1"/>
  <c r="A1378" i="1"/>
  <c r="B1378" i="1" s="1"/>
  <c r="C1378" i="1"/>
  <c r="A1379" i="1"/>
  <c r="B1379" i="1" s="1"/>
  <c r="C1379" i="1"/>
  <c r="A1380" i="1"/>
  <c r="B1380" i="1" s="1"/>
  <c r="C1380" i="1"/>
  <c r="A1381" i="1"/>
  <c r="B1381" i="1" s="1"/>
  <c r="C1381" i="1"/>
  <c r="A1382" i="1"/>
  <c r="B1382" i="1" s="1"/>
  <c r="C1382" i="1"/>
  <c r="A1383" i="1"/>
  <c r="B1383" i="1" s="1"/>
  <c r="C1383" i="1"/>
  <c r="A1384" i="1"/>
  <c r="B1384" i="1" s="1"/>
  <c r="C1384" i="1"/>
  <c r="A1385" i="1"/>
  <c r="B1385" i="1" s="1"/>
  <c r="C1385" i="1"/>
  <c r="A1386" i="1"/>
  <c r="B1386" i="1" s="1"/>
  <c r="C1386" i="1"/>
  <c r="A1387" i="1"/>
  <c r="B1387" i="1" s="1"/>
  <c r="C1387" i="1"/>
  <c r="A1388" i="1"/>
  <c r="B1388" i="1" s="1"/>
  <c r="C1388" i="1"/>
  <c r="A1389" i="1"/>
  <c r="B1389" i="1" s="1"/>
  <c r="C1389" i="1"/>
  <c r="A1390" i="1"/>
  <c r="B1390" i="1" s="1"/>
  <c r="C1390" i="1"/>
  <c r="A1391" i="1"/>
  <c r="B1391" i="1" s="1"/>
  <c r="C1391" i="1"/>
  <c r="A1392" i="1"/>
  <c r="B1392" i="1" s="1"/>
  <c r="C1392" i="1"/>
  <c r="A1393" i="1"/>
  <c r="B1393" i="1" s="1"/>
  <c r="C1393" i="1"/>
  <c r="A1394" i="1"/>
  <c r="B1394" i="1" s="1"/>
  <c r="C1394" i="1"/>
  <c r="A1395" i="1"/>
  <c r="B1395" i="1" s="1"/>
  <c r="C1395" i="1"/>
  <c r="A1396" i="1"/>
  <c r="B1396" i="1" s="1"/>
  <c r="C1396" i="1"/>
  <c r="A1397" i="1"/>
  <c r="B1397" i="1" s="1"/>
  <c r="C1397" i="1"/>
  <c r="A1398" i="1"/>
  <c r="B1398" i="1" s="1"/>
  <c r="C1398" i="1"/>
  <c r="A1399" i="1"/>
  <c r="B1399" i="1" s="1"/>
  <c r="C1399" i="1"/>
  <c r="A1400" i="1"/>
  <c r="B1400" i="1" s="1"/>
  <c r="C1400" i="1"/>
  <c r="A1401" i="1"/>
  <c r="B1401" i="1" s="1"/>
  <c r="C1401" i="1"/>
  <c r="A1402" i="1"/>
  <c r="B1402" i="1" s="1"/>
  <c r="C1402" i="1"/>
  <c r="A1403" i="1"/>
  <c r="B1403" i="1" s="1"/>
  <c r="C1403" i="1"/>
  <c r="A1404" i="1"/>
  <c r="B1404" i="1" s="1"/>
  <c r="C1404" i="1"/>
  <c r="A1405" i="1"/>
  <c r="B1405" i="1" s="1"/>
  <c r="C1405" i="1"/>
  <c r="A1406" i="1"/>
  <c r="B1406" i="1" s="1"/>
  <c r="C1406" i="1"/>
  <c r="A1407" i="1"/>
  <c r="B1407" i="1" s="1"/>
  <c r="C1407" i="1"/>
  <c r="A1408" i="1"/>
  <c r="B1408" i="1" s="1"/>
  <c r="C1408" i="1"/>
  <c r="A1409" i="1"/>
  <c r="B1409" i="1" s="1"/>
  <c r="C1409" i="1"/>
  <c r="A1410" i="1"/>
  <c r="B1410" i="1" s="1"/>
  <c r="C1410" i="1"/>
  <c r="A1411" i="1"/>
  <c r="B1411" i="1" s="1"/>
  <c r="C1411" i="1"/>
  <c r="A1412" i="1"/>
  <c r="C1412" i="1"/>
  <c r="A1413" i="1"/>
  <c r="B1413" i="1" s="1"/>
  <c r="C1413" i="1"/>
  <c r="A1414" i="1"/>
  <c r="B1414" i="1" s="1"/>
  <c r="C1414" i="1"/>
  <c r="A1415" i="1"/>
  <c r="B1415" i="1" s="1"/>
  <c r="C1415" i="1"/>
  <c r="A1416" i="1"/>
  <c r="B1416" i="1" s="1"/>
  <c r="C1416" i="1"/>
  <c r="A1417" i="1"/>
  <c r="B1417" i="1" s="1"/>
  <c r="C1417" i="1"/>
  <c r="A1418" i="1"/>
  <c r="B1418" i="1" s="1"/>
  <c r="C1418" i="1"/>
  <c r="A1419" i="1"/>
  <c r="B1419" i="1" s="1"/>
  <c r="C1419" i="1"/>
  <c r="A1420" i="1"/>
  <c r="B1420" i="1" s="1"/>
  <c r="C1420" i="1"/>
  <c r="A1421" i="1"/>
  <c r="B1421" i="1" s="1"/>
  <c r="C1421" i="1"/>
  <c r="A1422" i="1"/>
  <c r="B1422" i="1" s="1"/>
  <c r="C1422" i="1"/>
  <c r="A1423" i="1"/>
  <c r="B1423" i="1" s="1"/>
  <c r="C1423" i="1"/>
  <c r="A1424" i="1"/>
  <c r="B1424" i="1" s="1"/>
  <c r="C1424" i="1"/>
  <c r="A1425" i="1"/>
  <c r="B1425" i="1" s="1"/>
  <c r="C1425" i="1"/>
  <c r="A1426" i="1"/>
  <c r="B1426" i="1" s="1"/>
  <c r="C1426" i="1"/>
  <c r="A1427" i="1"/>
  <c r="C1427" i="1"/>
  <c r="A1428" i="1"/>
  <c r="B1428" i="1" s="1"/>
  <c r="C1428" i="1"/>
  <c r="A1429" i="1"/>
  <c r="B1429" i="1" s="1"/>
  <c r="C1429" i="1"/>
  <c r="A1430" i="1"/>
  <c r="B1430" i="1" s="1"/>
  <c r="C1430" i="1"/>
  <c r="A1431" i="1"/>
  <c r="B1431" i="1" s="1"/>
  <c r="C1431" i="1"/>
  <c r="A1432" i="1"/>
  <c r="B1432" i="1" s="1"/>
  <c r="C1432" i="1"/>
  <c r="A1433" i="1"/>
  <c r="B1433" i="1" s="1"/>
  <c r="C1433" i="1"/>
  <c r="A1434" i="1"/>
  <c r="B1434" i="1" s="1"/>
  <c r="C1434" i="1"/>
  <c r="A1435" i="1"/>
  <c r="B1435" i="1" s="1"/>
  <c r="C1435" i="1"/>
  <c r="A1436" i="1"/>
  <c r="B1436" i="1" s="1"/>
  <c r="C1436" i="1"/>
  <c r="A1437" i="1"/>
  <c r="B1437" i="1" s="1"/>
  <c r="C1437" i="1"/>
  <c r="A1438" i="1"/>
  <c r="B1438" i="1" s="1"/>
  <c r="C1438" i="1"/>
  <c r="A1439" i="1"/>
  <c r="B1439" i="1" s="1"/>
  <c r="C1439" i="1"/>
  <c r="A1440" i="1"/>
  <c r="B1440" i="1" s="1"/>
  <c r="C1440" i="1"/>
  <c r="A1441" i="1"/>
  <c r="B1441" i="1" s="1"/>
  <c r="C1441" i="1"/>
  <c r="A1442" i="1"/>
  <c r="B1442" i="1" s="1"/>
  <c r="C1442" i="1"/>
  <c r="A1443" i="1"/>
  <c r="B1443" i="1" s="1"/>
  <c r="C1443" i="1"/>
  <c r="A1444" i="1"/>
  <c r="B1444" i="1" s="1"/>
  <c r="C1444" i="1"/>
  <c r="A1445" i="1"/>
  <c r="B1445" i="1" s="1"/>
  <c r="C1445" i="1"/>
  <c r="A1446" i="1"/>
  <c r="B1446" i="1" s="1"/>
  <c r="C1446" i="1"/>
  <c r="A1447" i="1"/>
  <c r="B1447" i="1" s="1"/>
  <c r="C1447" i="1"/>
  <c r="A1448" i="1"/>
  <c r="C1448" i="1"/>
  <c r="A1449" i="1"/>
  <c r="B1449" i="1" s="1"/>
  <c r="C1449" i="1"/>
  <c r="A1450" i="1"/>
  <c r="B1450" i="1" s="1"/>
  <c r="C1450" i="1"/>
  <c r="A1451" i="1"/>
  <c r="B1451" i="1" s="1"/>
  <c r="C1451" i="1"/>
  <c r="A1452" i="1"/>
  <c r="B1452" i="1" s="1"/>
  <c r="C1452" i="1"/>
  <c r="A1453" i="1"/>
  <c r="B1453" i="1" s="1"/>
  <c r="C1453" i="1"/>
  <c r="A1454" i="1"/>
  <c r="B1454" i="1" s="1"/>
  <c r="C1454" i="1"/>
  <c r="A1455" i="1"/>
  <c r="B1455" i="1" s="1"/>
  <c r="C1455" i="1"/>
  <c r="A1456" i="1"/>
  <c r="B1456" i="1" s="1"/>
  <c r="C1456" i="1"/>
  <c r="A1457" i="1"/>
  <c r="B1457" i="1" s="1"/>
  <c r="C1457" i="1"/>
  <c r="A1458" i="1"/>
  <c r="B1458" i="1" s="1"/>
  <c r="C1458" i="1"/>
  <c r="A1459" i="1"/>
  <c r="B1459" i="1" s="1"/>
  <c r="C1459" i="1"/>
  <c r="A1460" i="1"/>
  <c r="B1460" i="1" s="1"/>
  <c r="C1460" i="1"/>
  <c r="A1461" i="1"/>
  <c r="B1461" i="1" s="1"/>
  <c r="C1461" i="1"/>
  <c r="A1462" i="1"/>
  <c r="B1462" i="1" s="1"/>
  <c r="C1462" i="1"/>
  <c r="A1463" i="1"/>
  <c r="B1463" i="1" s="1"/>
  <c r="C1463" i="1"/>
  <c r="A1464" i="1"/>
  <c r="B1464" i="1" s="1"/>
  <c r="C1464" i="1"/>
  <c r="A1465" i="1"/>
  <c r="B1465" i="1" s="1"/>
  <c r="C1465" i="1"/>
  <c r="A1466" i="1"/>
  <c r="B1466" i="1" s="1"/>
  <c r="C1466" i="1"/>
  <c r="A1467" i="1"/>
  <c r="B1467" i="1" s="1"/>
  <c r="C1467" i="1"/>
  <c r="A1468" i="1"/>
  <c r="B1468" i="1" s="1"/>
  <c r="C1468" i="1"/>
  <c r="A1469" i="1"/>
  <c r="B1469" i="1" s="1"/>
  <c r="C1469" i="1"/>
  <c r="A1470" i="1"/>
  <c r="B1470" i="1" s="1"/>
  <c r="C1470" i="1"/>
  <c r="A1471" i="1"/>
  <c r="B1471" i="1" s="1"/>
  <c r="C1471" i="1"/>
  <c r="A1472" i="1"/>
  <c r="B1472" i="1" s="1"/>
  <c r="C1472" i="1"/>
  <c r="A1473" i="1"/>
  <c r="B1473" i="1" s="1"/>
  <c r="C1473" i="1"/>
  <c r="A1474" i="1"/>
  <c r="B1474" i="1" s="1"/>
  <c r="C1474" i="1"/>
  <c r="A1475" i="1"/>
  <c r="C1475" i="1"/>
  <c r="A1476" i="1"/>
  <c r="B1476" i="1" s="1"/>
  <c r="C1476" i="1"/>
  <c r="A1477" i="1"/>
  <c r="B1477" i="1" s="1"/>
  <c r="C1477" i="1"/>
  <c r="A1478" i="1"/>
  <c r="B1478" i="1" s="1"/>
  <c r="C1478" i="1"/>
  <c r="A1479" i="1"/>
  <c r="B1479" i="1" s="1"/>
  <c r="C1479" i="1"/>
  <c r="A1480" i="1"/>
  <c r="B1480" i="1" s="1"/>
  <c r="C1480" i="1"/>
  <c r="A1481" i="1"/>
  <c r="B1481" i="1" s="1"/>
  <c r="C1481" i="1"/>
  <c r="A1482" i="1"/>
  <c r="B1482" i="1" s="1"/>
  <c r="C1482" i="1"/>
  <c r="A1483" i="1"/>
  <c r="B1483" i="1" s="1"/>
  <c r="C1483" i="1"/>
  <c r="A1484" i="1"/>
  <c r="B1484" i="1" s="1"/>
  <c r="C1484" i="1"/>
  <c r="A1485" i="1"/>
  <c r="B1485" i="1" s="1"/>
  <c r="C1485" i="1"/>
  <c r="A1486" i="1"/>
  <c r="B1486" i="1" s="1"/>
  <c r="C1486" i="1"/>
  <c r="A1487" i="1"/>
  <c r="B1487" i="1" s="1"/>
  <c r="C1487" i="1"/>
  <c r="A1488" i="1"/>
  <c r="B1488" i="1" s="1"/>
  <c r="C1488" i="1"/>
  <c r="A1489" i="1"/>
  <c r="B1489" i="1" s="1"/>
  <c r="C1489" i="1"/>
  <c r="A1490" i="1"/>
  <c r="B1490" i="1" s="1"/>
  <c r="C1490" i="1"/>
  <c r="A1491" i="1"/>
  <c r="B1491" i="1" s="1"/>
  <c r="C1491" i="1"/>
  <c r="A1492" i="1"/>
  <c r="B1492" i="1" s="1"/>
  <c r="C1492" i="1"/>
  <c r="A1493" i="1"/>
  <c r="B1493" i="1" s="1"/>
  <c r="C1493" i="1"/>
  <c r="A1494" i="1"/>
  <c r="B1494" i="1" s="1"/>
  <c r="C1494" i="1"/>
  <c r="A1495" i="1"/>
  <c r="B1495" i="1" s="1"/>
  <c r="C1495" i="1"/>
  <c r="A1496" i="1"/>
  <c r="B1496" i="1" s="1"/>
  <c r="C1496" i="1"/>
  <c r="A1497" i="1"/>
  <c r="B1497" i="1" s="1"/>
  <c r="C1497" i="1"/>
  <c r="A1498" i="1"/>
  <c r="B1498" i="1" s="1"/>
  <c r="C1498" i="1"/>
  <c r="A1499" i="1"/>
  <c r="B1499" i="1" s="1"/>
  <c r="C1499" i="1"/>
  <c r="A1500" i="1"/>
  <c r="B1500" i="1" s="1"/>
  <c r="C1500" i="1"/>
  <c r="A1501" i="1"/>
  <c r="B1501" i="1" s="1"/>
  <c r="C1501" i="1"/>
  <c r="A1502" i="1"/>
  <c r="B1502" i="1" s="1"/>
  <c r="C1502" i="1"/>
  <c r="A1503" i="1"/>
  <c r="B1503" i="1" s="1"/>
  <c r="C1503" i="1"/>
  <c r="A1504" i="1"/>
  <c r="B1504" i="1" s="1"/>
  <c r="C1504" i="1"/>
  <c r="A1505" i="1"/>
  <c r="B1505" i="1" s="1"/>
  <c r="C1505" i="1"/>
  <c r="A1506" i="1"/>
  <c r="B1506" i="1" s="1"/>
  <c r="C1506" i="1"/>
  <c r="A1507" i="1"/>
  <c r="B1507" i="1" s="1"/>
  <c r="C1507" i="1"/>
  <c r="A1508" i="1"/>
  <c r="B1508" i="1" s="1"/>
  <c r="C1508" i="1"/>
  <c r="A1509" i="1"/>
  <c r="B1509" i="1" s="1"/>
  <c r="C1509" i="1"/>
  <c r="A1510" i="1"/>
  <c r="C1510" i="1"/>
  <c r="A1511" i="1"/>
  <c r="B1511" i="1" s="1"/>
  <c r="C1511" i="1"/>
  <c r="A1512" i="1"/>
  <c r="B1512" i="1" s="1"/>
  <c r="C1512" i="1"/>
  <c r="A1513" i="1"/>
  <c r="B1513" i="1" s="1"/>
  <c r="C1513" i="1"/>
  <c r="A1514" i="1"/>
  <c r="B1514" i="1" s="1"/>
  <c r="C1514" i="1"/>
  <c r="A1515" i="1"/>
  <c r="B1515" i="1" s="1"/>
  <c r="C1515" i="1"/>
  <c r="A1516" i="1"/>
  <c r="B1516" i="1" s="1"/>
  <c r="C1516" i="1"/>
  <c r="A1517" i="1"/>
  <c r="B1517" i="1" s="1"/>
  <c r="C1517" i="1"/>
  <c r="A1518" i="1"/>
  <c r="B1518" i="1" s="1"/>
  <c r="C1518" i="1"/>
  <c r="A1519" i="1"/>
  <c r="B1519" i="1" s="1"/>
  <c r="C1519" i="1"/>
  <c r="A1520" i="1"/>
  <c r="B1520" i="1" s="1"/>
  <c r="C1520" i="1"/>
  <c r="A1521" i="1"/>
  <c r="B1521" i="1" s="1"/>
  <c r="C1521" i="1"/>
  <c r="A1522" i="1"/>
  <c r="B1522" i="1" s="1"/>
  <c r="C1522" i="1"/>
  <c r="A1523" i="1"/>
  <c r="B1523" i="1" s="1"/>
  <c r="C1523" i="1"/>
  <c r="A1524" i="1"/>
  <c r="B1524" i="1" s="1"/>
  <c r="C1524" i="1"/>
  <c r="A1525" i="1"/>
  <c r="B1525" i="1" s="1"/>
  <c r="C1525" i="1"/>
  <c r="A1526" i="1"/>
  <c r="B1526" i="1" s="1"/>
  <c r="C1526" i="1"/>
  <c r="A1527" i="1"/>
  <c r="B1527" i="1" s="1"/>
  <c r="C1527" i="1"/>
  <c r="A1528" i="1"/>
  <c r="B1528" i="1" s="1"/>
  <c r="C1528" i="1"/>
  <c r="A1529" i="1"/>
  <c r="B1529" i="1" s="1"/>
  <c r="C1529" i="1"/>
  <c r="A1530" i="1"/>
  <c r="B1530" i="1" s="1"/>
  <c r="C1530" i="1"/>
  <c r="A1531" i="1"/>
  <c r="B1531" i="1" s="1"/>
  <c r="C1531" i="1"/>
  <c r="A1532" i="1"/>
  <c r="B1532" i="1" s="1"/>
  <c r="C1532" i="1"/>
  <c r="A1533" i="1"/>
  <c r="B1533" i="1" s="1"/>
  <c r="C1533" i="1"/>
  <c r="A1534" i="1"/>
  <c r="B1534" i="1" s="1"/>
  <c r="C1534" i="1"/>
  <c r="A1535" i="1"/>
  <c r="B1535" i="1" s="1"/>
  <c r="C1535" i="1"/>
  <c r="A1536" i="1"/>
  <c r="B1536" i="1" s="1"/>
  <c r="C1536" i="1"/>
  <c r="A1537" i="1"/>
  <c r="B1537" i="1" s="1"/>
  <c r="C1537" i="1"/>
  <c r="A1538" i="1"/>
  <c r="B1538" i="1" s="1"/>
  <c r="C1538" i="1"/>
  <c r="A1539" i="1"/>
  <c r="B1539" i="1" s="1"/>
  <c r="C1539" i="1"/>
  <c r="A1540" i="1"/>
  <c r="B1540" i="1" s="1"/>
  <c r="C1540" i="1"/>
  <c r="A1541" i="1"/>
  <c r="B1541" i="1" s="1"/>
  <c r="C1541" i="1"/>
  <c r="A1542" i="1"/>
  <c r="B1542" i="1" s="1"/>
  <c r="C1542" i="1"/>
  <c r="A1543" i="1"/>
  <c r="B1543" i="1" s="1"/>
  <c r="C1543" i="1"/>
  <c r="A1544" i="1"/>
  <c r="B1544" i="1" s="1"/>
  <c r="C1544" i="1"/>
  <c r="A1545" i="1"/>
  <c r="B1545" i="1" s="1"/>
  <c r="C1545" i="1"/>
  <c r="A1546" i="1"/>
  <c r="B1546" i="1" s="1"/>
  <c r="C1546" i="1"/>
  <c r="A1547" i="1"/>
  <c r="B1547" i="1" s="1"/>
  <c r="C1547" i="1"/>
  <c r="A1548" i="1"/>
  <c r="B1548" i="1" s="1"/>
  <c r="C1548" i="1"/>
  <c r="A1549" i="1"/>
  <c r="B1549" i="1" s="1"/>
  <c r="C1549" i="1"/>
  <c r="A1550" i="1"/>
  <c r="B1550" i="1" s="1"/>
  <c r="C1550" i="1"/>
  <c r="A1551" i="1"/>
  <c r="B1551" i="1" s="1"/>
  <c r="C1551" i="1"/>
  <c r="A1552" i="1"/>
  <c r="B1552" i="1" s="1"/>
  <c r="C1552" i="1"/>
  <c r="A1553" i="1"/>
  <c r="B1553" i="1" s="1"/>
  <c r="C1553" i="1"/>
  <c r="A1554" i="1"/>
  <c r="B1554" i="1" s="1"/>
  <c r="C1554" i="1"/>
  <c r="A1555" i="1"/>
  <c r="B1555" i="1" s="1"/>
  <c r="C1555" i="1"/>
  <c r="A1556" i="1"/>
  <c r="B1556" i="1" s="1"/>
  <c r="C1556" i="1"/>
  <c r="A1557" i="1"/>
  <c r="B1557" i="1" s="1"/>
  <c r="C1557" i="1"/>
  <c r="A1558" i="1"/>
  <c r="B1558" i="1" s="1"/>
  <c r="C1558" i="1"/>
  <c r="A1559" i="1"/>
  <c r="B1559" i="1" s="1"/>
  <c r="C1559" i="1"/>
  <c r="A1560" i="1"/>
  <c r="B1560" i="1" s="1"/>
  <c r="C1560" i="1"/>
  <c r="A1561" i="1"/>
  <c r="B1561" i="1" s="1"/>
  <c r="C1561" i="1"/>
  <c r="A1562" i="1"/>
  <c r="B1562" i="1" s="1"/>
  <c r="C1562" i="1"/>
  <c r="A1563" i="1"/>
  <c r="B1563" i="1" s="1"/>
  <c r="C1563" i="1"/>
  <c r="A1564" i="1"/>
  <c r="B1564" i="1" s="1"/>
  <c r="C1564" i="1"/>
  <c r="A1565" i="1"/>
  <c r="B1565" i="1" s="1"/>
  <c r="C1565" i="1"/>
  <c r="A1566" i="1"/>
  <c r="B1566" i="1" s="1"/>
  <c r="C1566" i="1"/>
  <c r="A1567" i="1"/>
  <c r="B1567" i="1" s="1"/>
  <c r="C1567" i="1"/>
  <c r="A1568" i="1"/>
  <c r="B1568" i="1" s="1"/>
  <c r="C1568" i="1"/>
  <c r="A1569" i="1"/>
  <c r="B1569" i="1" s="1"/>
  <c r="C1569" i="1"/>
  <c r="A1570" i="1"/>
  <c r="B1570" i="1" s="1"/>
  <c r="C1570" i="1"/>
  <c r="A1571" i="1"/>
  <c r="B1571" i="1" s="1"/>
  <c r="C1571" i="1"/>
  <c r="A1572" i="1"/>
  <c r="B1572" i="1" s="1"/>
  <c r="C1572" i="1"/>
  <c r="A1573" i="1"/>
  <c r="B1573" i="1" s="1"/>
  <c r="C1573" i="1"/>
  <c r="A1574" i="1"/>
  <c r="B1574" i="1" s="1"/>
  <c r="C1574" i="1"/>
  <c r="A1575" i="1"/>
  <c r="B1575" i="1" s="1"/>
  <c r="C1575" i="1"/>
  <c r="A1576" i="1"/>
  <c r="B1576" i="1" s="1"/>
  <c r="C1576" i="1"/>
  <c r="A1577" i="1"/>
  <c r="B1577" i="1" s="1"/>
  <c r="C1577" i="1"/>
  <c r="A1578" i="1"/>
  <c r="B1578" i="1" s="1"/>
  <c r="C1578" i="1"/>
  <c r="A1579" i="1"/>
  <c r="B1579" i="1" s="1"/>
  <c r="C1579" i="1"/>
  <c r="A1580" i="1"/>
  <c r="B1580" i="1" s="1"/>
  <c r="C1580" i="1"/>
  <c r="A1581" i="1"/>
  <c r="B1581" i="1" s="1"/>
  <c r="C1581" i="1"/>
  <c r="A1582" i="1"/>
  <c r="B1582" i="1" s="1"/>
  <c r="C1582" i="1"/>
  <c r="A1583" i="1"/>
  <c r="B1583" i="1" s="1"/>
  <c r="C1583" i="1"/>
  <c r="A1584" i="1"/>
  <c r="B1584" i="1" s="1"/>
  <c r="C1584" i="1"/>
  <c r="A1585" i="1"/>
  <c r="B1585" i="1" s="1"/>
  <c r="C1585" i="1"/>
  <c r="A1586" i="1"/>
  <c r="B1586" i="1" s="1"/>
  <c r="C1586" i="1"/>
  <c r="A1587" i="1"/>
  <c r="B1587" i="1" s="1"/>
  <c r="C1587" i="1"/>
  <c r="A1588" i="1"/>
  <c r="B1588" i="1" s="1"/>
  <c r="C1588" i="1"/>
  <c r="A1589" i="1"/>
  <c r="B1589" i="1" s="1"/>
  <c r="C1589" i="1"/>
  <c r="A1590" i="1"/>
  <c r="B1590" i="1" s="1"/>
  <c r="C1590" i="1"/>
  <c r="A1591" i="1"/>
  <c r="B1591" i="1" s="1"/>
  <c r="C1591" i="1"/>
  <c r="A1592" i="1"/>
  <c r="B1592" i="1" s="1"/>
  <c r="C1592" i="1"/>
  <c r="A1593" i="1"/>
  <c r="B1593" i="1" s="1"/>
  <c r="C1593" i="1"/>
  <c r="A1594" i="1"/>
  <c r="B1594" i="1" s="1"/>
  <c r="C1594" i="1"/>
  <c r="A1595" i="1"/>
  <c r="C1595" i="1"/>
  <c r="A1596" i="1"/>
  <c r="B1596" i="1" s="1"/>
  <c r="C1596" i="1"/>
  <c r="A1597" i="1"/>
  <c r="B1597" i="1" s="1"/>
  <c r="C1597" i="1"/>
  <c r="A1598" i="1"/>
  <c r="B1598" i="1" s="1"/>
  <c r="C1598" i="1"/>
  <c r="A1599" i="1"/>
  <c r="B1599" i="1" s="1"/>
  <c r="C1599" i="1"/>
  <c r="A1600" i="1"/>
  <c r="B1600" i="1" s="1"/>
  <c r="C1600" i="1"/>
  <c r="A1601" i="1"/>
  <c r="B1601" i="1" s="1"/>
  <c r="C1601" i="1"/>
  <c r="A1602" i="1"/>
  <c r="B1602" i="1" s="1"/>
  <c r="C1602" i="1"/>
  <c r="A1603" i="1"/>
  <c r="B1603" i="1" s="1"/>
  <c r="C1603" i="1"/>
  <c r="A1604" i="1"/>
  <c r="B1604" i="1" s="1"/>
  <c r="C1604" i="1"/>
  <c r="A1605" i="1"/>
  <c r="B1605" i="1" s="1"/>
  <c r="C1605" i="1"/>
  <c r="A1606" i="1"/>
  <c r="B1606" i="1" s="1"/>
  <c r="C1606" i="1"/>
  <c r="A1607" i="1"/>
  <c r="B1607" i="1" s="1"/>
  <c r="C1607" i="1"/>
  <c r="A1608" i="1"/>
  <c r="B1608" i="1" s="1"/>
  <c r="C1608" i="1"/>
  <c r="A1609" i="1"/>
  <c r="B1609" i="1" s="1"/>
  <c r="C1609" i="1"/>
  <c r="A1610" i="1"/>
  <c r="B1610" i="1" s="1"/>
  <c r="C1610" i="1"/>
  <c r="A1611" i="1"/>
  <c r="B1611" i="1" s="1"/>
  <c r="C1611" i="1"/>
  <c r="A1612" i="1"/>
  <c r="B1612" i="1" s="1"/>
  <c r="C1612" i="1"/>
  <c r="A1613" i="1"/>
  <c r="B1613" i="1" s="1"/>
  <c r="C1613" i="1"/>
  <c r="A1614" i="1"/>
  <c r="B1614" i="1" s="1"/>
  <c r="C1614" i="1"/>
  <c r="A1615" i="1"/>
  <c r="B1615" i="1" s="1"/>
  <c r="C1615" i="1"/>
  <c r="A1616" i="1"/>
  <c r="B1616" i="1" s="1"/>
  <c r="C1616" i="1"/>
  <c r="A1617" i="1"/>
  <c r="B1617" i="1" s="1"/>
  <c r="C1617" i="1"/>
  <c r="A1618" i="1"/>
  <c r="B1618" i="1" s="1"/>
  <c r="C1618" i="1"/>
  <c r="A1619" i="1"/>
  <c r="B1619" i="1" s="1"/>
  <c r="C1619" i="1"/>
  <c r="A1620" i="1"/>
  <c r="B1620" i="1" s="1"/>
  <c r="C1620" i="1"/>
  <c r="A1621" i="1"/>
  <c r="B1621" i="1" s="1"/>
  <c r="C1621" i="1"/>
  <c r="A1622" i="1"/>
  <c r="B1622" i="1" s="1"/>
  <c r="C1622" i="1"/>
  <c r="A1623" i="1"/>
  <c r="B1623" i="1" s="1"/>
  <c r="C1623" i="1"/>
  <c r="A1624" i="1"/>
  <c r="B1624" i="1" s="1"/>
  <c r="C1624" i="1"/>
  <c r="A1625" i="1"/>
  <c r="B1625" i="1" s="1"/>
  <c r="C1625" i="1"/>
  <c r="A1626" i="1"/>
  <c r="B1626" i="1" s="1"/>
  <c r="C1626" i="1"/>
  <c r="A1627" i="1"/>
  <c r="B1627" i="1" s="1"/>
  <c r="C1627" i="1"/>
  <c r="A1628" i="1"/>
  <c r="B1628" i="1" s="1"/>
  <c r="C1628" i="1"/>
  <c r="A1629" i="1"/>
  <c r="B1629" i="1" s="1"/>
  <c r="C1629" i="1"/>
  <c r="A1630" i="1"/>
  <c r="B1630" i="1" s="1"/>
  <c r="C1630" i="1"/>
  <c r="A1631" i="1"/>
  <c r="B1631" i="1" s="1"/>
  <c r="C1631" i="1"/>
  <c r="A1632" i="1"/>
  <c r="B1632" i="1" s="1"/>
  <c r="C1632" i="1"/>
  <c r="A1633" i="1"/>
  <c r="B1633" i="1" s="1"/>
  <c r="C1633" i="1"/>
  <c r="A1634" i="1"/>
  <c r="B1634" i="1" s="1"/>
  <c r="C1634" i="1"/>
  <c r="A1635" i="1"/>
  <c r="B1635" i="1" s="1"/>
  <c r="C1635" i="1"/>
  <c r="A1636" i="1"/>
  <c r="B1636" i="1" s="1"/>
  <c r="C1636" i="1"/>
  <c r="A1637" i="1"/>
  <c r="B1637" i="1" s="1"/>
  <c r="C1637" i="1"/>
  <c r="A1638" i="1"/>
  <c r="B1638" i="1" s="1"/>
  <c r="C1638" i="1"/>
  <c r="A1639" i="1"/>
  <c r="B1639" i="1" s="1"/>
  <c r="C1639" i="1"/>
  <c r="A1640" i="1"/>
  <c r="C1640" i="1"/>
  <c r="A1641" i="1"/>
  <c r="B1641" i="1" s="1"/>
  <c r="C1641" i="1"/>
  <c r="A1642" i="1"/>
  <c r="C1642" i="1"/>
  <c r="A1643" i="1"/>
  <c r="B1643" i="1" s="1"/>
  <c r="C1643" i="1"/>
  <c r="A1644" i="1"/>
  <c r="B1644" i="1" s="1"/>
  <c r="C1644" i="1"/>
  <c r="A1645" i="1"/>
  <c r="B1645" i="1" s="1"/>
  <c r="C1645" i="1"/>
  <c r="A1646" i="1"/>
  <c r="B1646" i="1" s="1"/>
  <c r="C1646" i="1"/>
  <c r="A1647" i="1"/>
  <c r="B1647" i="1" s="1"/>
  <c r="C1647" i="1"/>
  <c r="A1648" i="1"/>
  <c r="B1648" i="1" s="1"/>
  <c r="C1648" i="1"/>
  <c r="A1649" i="1"/>
  <c r="B1649" i="1" s="1"/>
  <c r="C1649" i="1"/>
  <c r="A1650" i="1"/>
  <c r="B1650" i="1" s="1"/>
  <c r="C1650" i="1"/>
  <c r="A1651" i="1"/>
  <c r="B1651" i="1" s="1"/>
  <c r="C1651" i="1"/>
  <c r="A1652" i="1"/>
  <c r="C1652" i="1"/>
  <c r="A1653" i="1"/>
  <c r="C1653" i="1"/>
  <c r="A1654" i="1"/>
  <c r="B1654" i="1" s="1"/>
  <c r="C1654" i="1"/>
  <c r="A1655" i="1"/>
  <c r="B1655" i="1" s="1"/>
  <c r="C1655" i="1"/>
  <c r="A1656" i="1"/>
  <c r="B1656" i="1" s="1"/>
  <c r="C1656" i="1"/>
  <c r="A1657" i="1"/>
  <c r="B1657" i="1" s="1"/>
  <c r="C1657" i="1"/>
  <c r="A1658" i="1"/>
  <c r="B1658" i="1" s="1"/>
  <c r="C1658" i="1"/>
  <c r="A1659" i="1"/>
  <c r="B1659" i="1" s="1"/>
  <c r="C1659" i="1"/>
  <c r="A1660" i="1"/>
  <c r="B1660" i="1" s="1"/>
  <c r="C1660" i="1"/>
  <c r="A1661" i="1"/>
  <c r="B1661" i="1" s="1"/>
  <c r="C1661" i="1"/>
  <c r="A1662" i="1"/>
  <c r="B1662" i="1" s="1"/>
  <c r="C1662" i="1"/>
  <c r="A1663" i="1"/>
  <c r="B1663" i="1" s="1"/>
  <c r="C1663" i="1"/>
  <c r="A1664" i="1"/>
  <c r="B1664" i="1" s="1"/>
  <c r="C1664" i="1"/>
  <c r="A1665" i="1"/>
  <c r="B1665" i="1" s="1"/>
  <c r="C1665" i="1"/>
  <c r="A1666" i="1"/>
  <c r="B1666" i="1" s="1"/>
  <c r="C1666" i="1"/>
  <c r="A1667" i="1"/>
  <c r="C1667" i="1"/>
  <c r="A1668" i="1"/>
  <c r="B1668" i="1" s="1"/>
  <c r="C1668" i="1"/>
  <c r="A1669" i="1"/>
  <c r="B1669" i="1" s="1"/>
  <c r="C1669" i="1"/>
  <c r="A1670" i="1"/>
  <c r="B1670" i="1" s="1"/>
  <c r="C1670" i="1"/>
  <c r="A1671" i="1"/>
  <c r="B1671" i="1" s="1"/>
  <c r="C1671" i="1"/>
  <c r="A1672" i="1"/>
  <c r="B1672" i="1" s="1"/>
  <c r="C1672" i="1"/>
  <c r="A1673" i="1"/>
  <c r="B1673" i="1" s="1"/>
  <c r="C1673" i="1"/>
  <c r="A1674" i="1"/>
  <c r="B1674" i="1" s="1"/>
  <c r="C1674" i="1"/>
  <c r="A1675" i="1"/>
  <c r="B1675" i="1" s="1"/>
  <c r="C1675" i="1"/>
  <c r="A1676" i="1"/>
  <c r="B1676" i="1" s="1"/>
  <c r="C1676" i="1"/>
  <c r="A1677" i="1"/>
  <c r="B1677" i="1" s="1"/>
  <c r="C1677" i="1"/>
  <c r="A1678" i="1"/>
  <c r="C1678" i="1"/>
  <c r="A1679" i="1"/>
  <c r="B1679" i="1" s="1"/>
  <c r="C1679" i="1"/>
  <c r="A1680" i="1"/>
  <c r="B1680" i="1" s="1"/>
  <c r="C1680" i="1"/>
  <c r="A1681" i="1"/>
  <c r="B1681" i="1" s="1"/>
  <c r="C1681" i="1"/>
  <c r="A1682" i="1"/>
  <c r="B1682" i="1" s="1"/>
  <c r="C1682" i="1"/>
  <c r="A1683" i="1"/>
  <c r="B1683" i="1" s="1"/>
  <c r="C1683" i="1"/>
  <c r="A1684" i="1"/>
  <c r="B1684" i="1" s="1"/>
  <c r="C1684" i="1"/>
  <c r="A1685" i="1"/>
  <c r="B1685" i="1" s="1"/>
  <c r="C1685" i="1"/>
  <c r="A1686" i="1"/>
  <c r="B1686" i="1" s="1"/>
  <c r="C1686" i="1"/>
  <c r="A1687" i="1"/>
  <c r="B1687" i="1" s="1"/>
  <c r="C1687" i="1"/>
  <c r="A1688" i="1"/>
  <c r="B1688" i="1" s="1"/>
  <c r="C1688" i="1"/>
  <c r="A1689" i="1"/>
  <c r="B1689" i="1" s="1"/>
  <c r="C1689" i="1"/>
  <c r="A1690" i="1"/>
  <c r="C1690" i="1"/>
  <c r="A1691" i="1"/>
  <c r="B1691" i="1" s="1"/>
  <c r="C1691" i="1"/>
  <c r="A1692" i="1"/>
  <c r="B1692" i="1" s="1"/>
  <c r="C1692" i="1"/>
  <c r="A1693" i="1"/>
  <c r="B1693" i="1" s="1"/>
  <c r="C1693" i="1"/>
  <c r="A1694" i="1"/>
  <c r="B1694" i="1" s="1"/>
  <c r="C1694" i="1"/>
  <c r="A1695" i="1"/>
  <c r="B1695" i="1" s="1"/>
  <c r="C1695" i="1"/>
  <c r="A1696" i="1"/>
  <c r="B1696" i="1" s="1"/>
  <c r="C1696" i="1"/>
  <c r="A1697" i="1"/>
  <c r="B1697" i="1" s="1"/>
  <c r="C1697" i="1"/>
  <c r="A1698" i="1"/>
  <c r="B1698" i="1" s="1"/>
  <c r="C1698" i="1"/>
  <c r="A1699" i="1"/>
  <c r="B1699" i="1" s="1"/>
  <c r="C1699" i="1"/>
  <c r="A1700" i="1"/>
  <c r="B1700" i="1" s="1"/>
  <c r="C1700" i="1"/>
  <c r="A1701" i="1"/>
  <c r="B1701" i="1" s="1"/>
  <c r="C1701" i="1"/>
  <c r="A1702" i="1"/>
  <c r="B1702" i="1" s="1"/>
  <c r="C1702" i="1"/>
  <c r="A1703" i="1"/>
  <c r="C1703" i="1"/>
  <c r="A1704" i="1"/>
  <c r="B1704" i="1" s="1"/>
  <c r="C1704" i="1"/>
  <c r="A1705" i="1"/>
  <c r="B1705" i="1" s="1"/>
  <c r="C1705" i="1"/>
  <c r="A1706" i="1"/>
  <c r="B1706" i="1" s="1"/>
  <c r="C1706" i="1"/>
  <c r="A1707" i="1"/>
  <c r="B1707" i="1" s="1"/>
  <c r="C1707" i="1"/>
  <c r="A1708" i="1"/>
  <c r="B1708" i="1" s="1"/>
  <c r="C1708" i="1"/>
  <c r="A1709" i="1"/>
  <c r="B1709" i="1" s="1"/>
  <c r="C1709" i="1"/>
  <c r="A1710" i="1"/>
  <c r="B1710" i="1" s="1"/>
  <c r="C1710" i="1"/>
  <c r="A1711" i="1"/>
  <c r="B1711" i="1" s="1"/>
  <c r="C1711" i="1"/>
  <c r="A1712" i="1"/>
  <c r="B1712" i="1" s="1"/>
  <c r="C1712" i="1"/>
  <c r="A1713" i="1"/>
  <c r="B1713" i="1" s="1"/>
  <c r="C1713" i="1"/>
  <c r="A1714" i="1"/>
  <c r="B1714" i="1" s="1"/>
  <c r="C1714" i="1"/>
  <c r="A1715" i="1"/>
  <c r="B1715" i="1" s="1"/>
  <c r="C1715" i="1"/>
  <c r="A1716" i="1"/>
  <c r="B1716" i="1" s="1"/>
  <c r="C1716" i="1"/>
  <c r="A1717" i="1"/>
  <c r="B1717" i="1" s="1"/>
  <c r="C1717" i="1"/>
  <c r="A1718" i="1"/>
  <c r="B1718" i="1" s="1"/>
  <c r="C1718" i="1"/>
  <c r="A1719" i="1"/>
  <c r="B1719" i="1" s="1"/>
  <c r="C1719" i="1"/>
  <c r="A1720" i="1"/>
  <c r="B1720" i="1" s="1"/>
  <c r="C1720" i="1"/>
  <c r="A1721" i="1"/>
  <c r="B1721" i="1" s="1"/>
  <c r="C1721" i="1"/>
  <c r="A1722" i="1"/>
  <c r="B1722" i="1" s="1"/>
  <c r="C1722" i="1"/>
  <c r="A1723" i="1"/>
  <c r="B1723" i="1" s="1"/>
  <c r="C1723" i="1"/>
  <c r="A1724" i="1"/>
  <c r="B1724" i="1" s="1"/>
  <c r="C1724" i="1"/>
  <c r="A1725" i="1"/>
  <c r="B1725" i="1" s="1"/>
  <c r="C1725" i="1"/>
  <c r="A1726" i="1"/>
  <c r="B1726" i="1" s="1"/>
  <c r="C1726" i="1"/>
  <c r="A1727" i="1"/>
  <c r="B1727" i="1" s="1"/>
  <c r="C1727" i="1"/>
  <c r="A1728" i="1"/>
  <c r="B1728" i="1" s="1"/>
  <c r="C1728" i="1"/>
  <c r="A1729" i="1"/>
  <c r="B1729" i="1" s="1"/>
  <c r="C1729" i="1"/>
  <c r="A1730" i="1"/>
  <c r="B1730" i="1" s="1"/>
  <c r="C1730" i="1"/>
  <c r="A1731" i="1"/>
  <c r="B1731" i="1" s="1"/>
  <c r="C1731" i="1"/>
  <c r="A1732" i="1"/>
  <c r="B1732" i="1" s="1"/>
  <c r="C1732" i="1"/>
  <c r="A1733" i="1"/>
  <c r="B1733" i="1" s="1"/>
  <c r="C1733" i="1"/>
  <c r="A1734" i="1"/>
  <c r="B1734" i="1" s="1"/>
  <c r="C1734" i="1"/>
  <c r="A1735" i="1"/>
  <c r="B1735" i="1" s="1"/>
  <c r="C1735" i="1"/>
  <c r="A1736" i="1"/>
  <c r="B1736" i="1" s="1"/>
  <c r="C1736" i="1"/>
  <c r="A1737" i="1"/>
  <c r="B1737" i="1" s="1"/>
  <c r="C1737" i="1"/>
  <c r="A1738" i="1"/>
  <c r="B1738" i="1" s="1"/>
  <c r="C1738" i="1"/>
  <c r="A1739" i="1"/>
  <c r="B1739" i="1" s="1"/>
  <c r="C1739" i="1"/>
  <c r="A1740" i="1"/>
  <c r="B1740" i="1" s="1"/>
  <c r="C1740" i="1"/>
  <c r="A1741" i="1"/>
  <c r="B1741" i="1" s="1"/>
  <c r="C1741" i="1"/>
  <c r="A1742" i="1"/>
  <c r="B1742" i="1" s="1"/>
  <c r="C1742" i="1"/>
  <c r="A1743" i="1"/>
  <c r="B1743" i="1" s="1"/>
  <c r="C1743" i="1"/>
  <c r="A1744" i="1"/>
  <c r="B1744" i="1" s="1"/>
  <c r="C1744" i="1"/>
  <c r="A1745" i="1"/>
  <c r="B1745" i="1" s="1"/>
  <c r="C1745" i="1"/>
  <c r="A1746" i="1"/>
  <c r="B1746" i="1" s="1"/>
  <c r="C1746" i="1"/>
  <c r="A1747" i="1"/>
  <c r="B1747" i="1" s="1"/>
  <c r="C1747" i="1"/>
  <c r="A1748" i="1"/>
  <c r="B1748" i="1" s="1"/>
  <c r="C1748" i="1"/>
  <c r="A1749" i="1"/>
  <c r="B1749" i="1" s="1"/>
  <c r="C1749" i="1"/>
  <c r="A1750" i="1"/>
  <c r="B1750" i="1" s="1"/>
  <c r="C1750" i="1"/>
  <c r="A1751" i="1"/>
  <c r="B1751" i="1" s="1"/>
  <c r="C1751" i="1"/>
  <c r="A1752" i="1"/>
  <c r="B1752" i="1" s="1"/>
  <c r="C1752" i="1"/>
  <c r="A1753" i="1"/>
  <c r="B1753" i="1" s="1"/>
  <c r="C1753" i="1"/>
  <c r="A1754" i="1"/>
  <c r="B1754" i="1" s="1"/>
  <c r="C1754" i="1"/>
  <c r="A1755" i="1"/>
  <c r="B1755" i="1" s="1"/>
  <c r="C1755" i="1"/>
  <c r="A1756" i="1"/>
  <c r="B1756" i="1" s="1"/>
  <c r="C1756" i="1"/>
  <c r="A1757" i="1"/>
  <c r="B1757" i="1" s="1"/>
  <c r="C1757" i="1"/>
  <c r="A1758" i="1"/>
  <c r="B1758" i="1" s="1"/>
  <c r="C1758" i="1"/>
  <c r="A1759" i="1"/>
  <c r="B1759" i="1" s="1"/>
  <c r="C1759" i="1"/>
  <c r="A1760" i="1"/>
  <c r="B1760" i="1" s="1"/>
  <c r="C1760" i="1"/>
  <c r="A1761" i="1"/>
  <c r="B1761" i="1" s="1"/>
  <c r="C1761" i="1"/>
  <c r="A1762" i="1"/>
  <c r="B1762" i="1" s="1"/>
  <c r="C1762" i="1"/>
  <c r="A1763" i="1"/>
  <c r="B1763" i="1" s="1"/>
  <c r="C1763" i="1"/>
  <c r="A1764" i="1"/>
  <c r="B1764" i="1" s="1"/>
  <c r="C1764" i="1"/>
  <c r="A1765" i="1"/>
  <c r="B1765" i="1" s="1"/>
  <c r="C1765" i="1"/>
  <c r="A1766" i="1"/>
  <c r="B1766" i="1" s="1"/>
  <c r="C1766" i="1"/>
  <c r="A1767" i="1"/>
  <c r="B1767" i="1" s="1"/>
  <c r="C1767" i="1"/>
  <c r="A1768" i="1"/>
  <c r="B1768" i="1" s="1"/>
  <c r="C1768" i="1"/>
  <c r="A1769" i="1"/>
  <c r="B1769" i="1" s="1"/>
  <c r="C1769" i="1"/>
  <c r="A1770" i="1"/>
  <c r="B1770" i="1" s="1"/>
  <c r="C1770" i="1"/>
  <c r="A1771" i="1"/>
  <c r="B1771" i="1" s="1"/>
  <c r="C1771" i="1"/>
  <c r="A1772" i="1"/>
  <c r="B1772" i="1" s="1"/>
  <c r="C1772" i="1"/>
  <c r="A1773" i="1"/>
  <c r="B1773" i="1" s="1"/>
  <c r="C1773" i="1"/>
  <c r="A1774" i="1"/>
  <c r="B1774" i="1" s="1"/>
  <c r="C1774" i="1"/>
  <c r="A1775" i="1"/>
  <c r="B1775" i="1" s="1"/>
  <c r="C1775" i="1"/>
  <c r="A1776" i="1"/>
  <c r="B1776" i="1" s="1"/>
  <c r="C1776" i="1"/>
  <c r="A1777" i="1"/>
  <c r="B1777" i="1" s="1"/>
  <c r="C1777" i="1"/>
  <c r="A1778" i="1"/>
  <c r="B1778" i="1" s="1"/>
  <c r="C1778" i="1"/>
  <c r="A1779" i="1"/>
  <c r="B1779" i="1" s="1"/>
  <c r="C1779" i="1"/>
  <c r="A1780" i="1"/>
  <c r="B1780" i="1" s="1"/>
  <c r="C1780" i="1"/>
  <c r="A1781" i="1"/>
  <c r="B1781" i="1" s="1"/>
  <c r="C1781" i="1"/>
  <c r="A1782" i="1"/>
  <c r="B1782" i="1" s="1"/>
  <c r="C1782" i="1"/>
  <c r="A1783" i="1"/>
  <c r="B1783" i="1" s="1"/>
  <c r="C1783" i="1"/>
  <c r="A1784" i="1"/>
  <c r="B1784" i="1" s="1"/>
  <c r="C1784" i="1"/>
  <c r="A1785" i="1"/>
  <c r="B1785" i="1" s="1"/>
  <c r="C1785" i="1"/>
  <c r="A1786" i="1"/>
  <c r="B1786" i="1" s="1"/>
  <c r="C1786" i="1"/>
  <c r="A1787" i="1"/>
  <c r="B1787" i="1" s="1"/>
  <c r="C1787" i="1"/>
  <c r="A1788" i="1"/>
  <c r="B1788" i="1" s="1"/>
  <c r="C1788" i="1"/>
  <c r="A1789" i="1"/>
  <c r="B1789" i="1" s="1"/>
  <c r="C1789" i="1"/>
  <c r="A1790" i="1"/>
  <c r="B1790" i="1" s="1"/>
  <c r="C1790" i="1"/>
  <c r="A1791" i="1"/>
  <c r="B1791" i="1" s="1"/>
  <c r="C1791" i="1"/>
  <c r="A1792" i="1"/>
  <c r="B1792" i="1" s="1"/>
  <c r="C1792" i="1"/>
  <c r="A1793" i="1"/>
  <c r="B1793" i="1" s="1"/>
  <c r="C1793" i="1"/>
  <c r="A1794" i="1"/>
  <c r="B1794" i="1" s="1"/>
  <c r="C1794" i="1"/>
  <c r="A1795" i="1"/>
  <c r="B1795" i="1" s="1"/>
  <c r="C1795" i="1"/>
  <c r="A1796" i="1"/>
  <c r="C1796" i="1"/>
  <c r="A1797" i="1"/>
  <c r="B1797" i="1" s="1"/>
  <c r="C1797" i="1"/>
  <c r="A1798" i="1"/>
  <c r="B1798" i="1" s="1"/>
  <c r="C1798" i="1"/>
  <c r="A1799" i="1"/>
  <c r="B1799" i="1" s="1"/>
  <c r="C1799" i="1"/>
  <c r="A1800" i="1"/>
  <c r="B1800" i="1" s="1"/>
  <c r="C1800" i="1"/>
  <c r="A1801" i="1"/>
  <c r="B1801" i="1" s="1"/>
  <c r="C1801" i="1"/>
  <c r="A1802" i="1"/>
  <c r="B1802" i="1" s="1"/>
  <c r="C1802" i="1"/>
  <c r="A1803" i="1"/>
  <c r="B1803" i="1" s="1"/>
  <c r="C1803" i="1"/>
  <c r="A1804" i="1"/>
  <c r="B1804" i="1" s="1"/>
  <c r="C1804" i="1"/>
  <c r="A1805" i="1"/>
  <c r="B1805" i="1" s="1"/>
  <c r="C1805" i="1"/>
  <c r="A1806" i="1"/>
  <c r="B1806" i="1" s="1"/>
  <c r="C1806" i="1"/>
  <c r="A1807" i="1"/>
  <c r="B1807" i="1" s="1"/>
  <c r="C1807" i="1"/>
  <c r="A1808" i="1"/>
  <c r="B1808" i="1" s="1"/>
  <c r="C1808" i="1"/>
  <c r="A1809" i="1"/>
  <c r="B1809" i="1" s="1"/>
  <c r="C1809" i="1"/>
  <c r="A1810" i="1"/>
  <c r="B1810" i="1" s="1"/>
  <c r="C1810" i="1"/>
  <c r="A1811" i="1"/>
  <c r="B1811" i="1" s="1"/>
  <c r="C1811" i="1"/>
  <c r="A1812" i="1"/>
  <c r="B1812" i="1" s="1"/>
  <c r="C1812" i="1"/>
  <c r="A1813" i="1"/>
  <c r="B1813" i="1" s="1"/>
  <c r="C1813" i="1"/>
  <c r="A1814" i="1"/>
  <c r="B1814" i="1" s="1"/>
  <c r="C1814" i="1"/>
  <c r="A1815" i="1"/>
  <c r="B1815" i="1" s="1"/>
  <c r="C1815" i="1"/>
  <c r="A1816" i="1"/>
  <c r="B1816" i="1" s="1"/>
  <c r="C1816" i="1"/>
  <c r="A1817" i="1"/>
  <c r="B1817" i="1" s="1"/>
  <c r="C1817" i="1"/>
  <c r="A1818" i="1"/>
  <c r="B1818" i="1" s="1"/>
  <c r="C1818" i="1"/>
  <c r="A1819" i="1"/>
  <c r="B1819" i="1" s="1"/>
  <c r="C1819" i="1"/>
  <c r="A1820" i="1"/>
  <c r="B1820" i="1" s="1"/>
  <c r="C1820" i="1"/>
  <c r="A1821" i="1"/>
  <c r="B1821" i="1" s="1"/>
  <c r="C1821" i="1"/>
  <c r="A1822" i="1"/>
  <c r="B1822" i="1" s="1"/>
  <c r="C1822" i="1"/>
  <c r="A1823" i="1"/>
  <c r="B1823" i="1" s="1"/>
  <c r="C1823" i="1"/>
  <c r="A1824" i="1"/>
  <c r="B1824" i="1" s="1"/>
  <c r="C1824" i="1"/>
  <c r="A1825" i="1"/>
  <c r="B1825" i="1" s="1"/>
  <c r="C1825" i="1"/>
  <c r="A1826" i="1"/>
  <c r="B1826" i="1" s="1"/>
  <c r="C1826" i="1"/>
  <c r="A1827" i="1"/>
  <c r="B1827" i="1" s="1"/>
  <c r="C1827" i="1"/>
  <c r="A1828" i="1"/>
  <c r="B1828" i="1" s="1"/>
  <c r="C1828" i="1"/>
  <c r="A1829" i="1"/>
  <c r="B1829" i="1" s="1"/>
  <c r="C1829" i="1"/>
  <c r="A1830" i="1"/>
  <c r="B1830" i="1" s="1"/>
  <c r="C1830" i="1"/>
  <c r="A1831" i="1"/>
  <c r="B1831" i="1" s="1"/>
  <c r="C1831" i="1"/>
  <c r="A1832" i="1"/>
  <c r="C1832" i="1"/>
  <c r="A1833" i="1"/>
  <c r="B1833" i="1" s="1"/>
  <c r="C1833" i="1"/>
  <c r="A1834" i="1"/>
  <c r="B1834" i="1" s="1"/>
  <c r="C1834" i="1"/>
  <c r="A1835" i="1"/>
  <c r="B1835" i="1" s="1"/>
  <c r="C1835" i="1"/>
  <c r="A1836" i="1"/>
  <c r="B1836" i="1" s="1"/>
  <c r="C1836" i="1"/>
  <c r="A1837" i="1"/>
  <c r="B1837" i="1" s="1"/>
  <c r="C1837" i="1"/>
  <c r="A1838" i="1"/>
  <c r="B1838" i="1" s="1"/>
  <c r="C1838" i="1"/>
  <c r="A1839" i="1"/>
  <c r="B1839" i="1" s="1"/>
  <c r="C1839" i="1"/>
  <c r="A1840" i="1"/>
  <c r="B1840" i="1" s="1"/>
  <c r="C1840" i="1"/>
  <c r="A1841" i="1"/>
  <c r="B1841" i="1" s="1"/>
  <c r="C1841" i="1"/>
  <c r="A1842" i="1"/>
  <c r="B1842" i="1" s="1"/>
  <c r="C1842" i="1"/>
  <c r="A1843" i="1"/>
  <c r="B1843" i="1" s="1"/>
  <c r="C1843" i="1"/>
  <c r="A1844" i="1"/>
  <c r="B1844" i="1" s="1"/>
  <c r="C1844" i="1"/>
  <c r="A1845" i="1"/>
  <c r="B1845" i="1" s="1"/>
  <c r="C1845" i="1"/>
  <c r="A1846" i="1"/>
  <c r="B1846" i="1" s="1"/>
  <c r="C1846" i="1"/>
  <c r="A1847" i="1"/>
  <c r="B1847" i="1" s="1"/>
  <c r="C1847" i="1"/>
  <c r="A1848" i="1"/>
  <c r="B1848" i="1" s="1"/>
  <c r="C1848" i="1"/>
  <c r="A1849" i="1"/>
  <c r="B1849" i="1" s="1"/>
  <c r="C1849" i="1"/>
  <c r="A1850" i="1"/>
  <c r="B1850" i="1" s="1"/>
  <c r="C1850" i="1"/>
  <c r="A1851" i="1"/>
  <c r="B1851" i="1" s="1"/>
  <c r="C1851" i="1"/>
  <c r="A1852" i="1"/>
  <c r="B1852" i="1" s="1"/>
  <c r="C1852" i="1"/>
  <c r="A1853" i="1"/>
  <c r="B1853" i="1" s="1"/>
  <c r="C1853" i="1"/>
  <c r="A1854" i="1"/>
  <c r="B1854" i="1" s="1"/>
  <c r="C1854" i="1"/>
  <c r="A1855" i="1"/>
  <c r="B1855" i="1" s="1"/>
  <c r="C1855" i="1"/>
  <c r="A1856" i="1"/>
  <c r="B1856" i="1" s="1"/>
  <c r="C1856" i="1"/>
  <c r="A1857" i="1"/>
  <c r="B1857" i="1" s="1"/>
  <c r="C1857" i="1"/>
  <c r="A1858" i="1"/>
  <c r="B1858" i="1" s="1"/>
  <c r="C1858" i="1"/>
  <c r="A1859" i="1"/>
  <c r="B1859" i="1" s="1"/>
  <c r="C1859" i="1"/>
  <c r="A1860" i="1"/>
  <c r="B1860" i="1" s="1"/>
  <c r="C1860" i="1"/>
  <c r="A1861" i="1"/>
  <c r="B1861" i="1" s="1"/>
  <c r="C1861" i="1"/>
  <c r="A1862" i="1"/>
  <c r="B1862" i="1" s="1"/>
  <c r="C1862" i="1"/>
  <c r="A1863" i="1"/>
  <c r="B1863" i="1" s="1"/>
  <c r="C1863" i="1"/>
  <c r="A1864" i="1"/>
  <c r="B1864" i="1" s="1"/>
  <c r="C1864" i="1"/>
  <c r="A1865" i="1"/>
  <c r="B1865" i="1" s="1"/>
  <c r="C1865" i="1"/>
  <c r="A1866" i="1"/>
  <c r="B1866" i="1" s="1"/>
  <c r="C1866" i="1"/>
  <c r="A1867" i="1"/>
  <c r="B1867" i="1" s="1"/>
  <c r="C1867" i="1"/>
  <c r="A1868" i="1"/>
  <c r="B1868" i="1" s="1"/>
  <c r="C1868" i="1"/>
  <c r="A1869" i="1"/>
  <c r="B1869" i="1" s="1"/>
  <c r="C1869" i="1"/>
  <c r="A1870" i="1"/>
  <c r="B1870" i="1" s="1"/>
  <c r="C1870" i="1"/>
  <c r="A1871" i="1"/>
  <c r="B1871" i="1" s="1"/>
  <c r="C1871" i="1"/>
  <c r="A1872" i="1"/>
  <c r="B1872" i="1" s="1"/>
  <c r="C1872" i="1"/>
  <c r="A1873" i="1"/>
  <c r="B1873" i="1" s="1"/>
  <c r="C1873" i="1"/>
  <c r="A1874" i="1"/>
  <c r="B1874" i="1" s="1"/>
  <c r="C1874" i="1"/>
  <c r="A1875" i="1"/>
  <c r="B1875" i="1" s="1"/>
  <c r="C1875" i="1"/>
  <c r="A1876" i="1"/>
  <c r="B1876" i="1" s="1"/>
  <c r="C1876" i="1"/>
  <c r="A1877" i="1"/>
  <c r="B1877" i="1" s="1"/>
  <c r="C1877" i="1"/>
  <c r="A1878" i="1"/>
  <c r="B1878" i="1" s="1"/>
  <c r="C1878" i="1"/>
  <c r="A1879" i="1"/>
  <c r="B1879" i="1" s="1"/>
  <c r="C1879" i="1"/>
  <c r="A1880" i="1"/>
  <c r="B1880" i="1" s="1"/>
  <c r="C1880" i="1"/>
  <c r="A1881" i="1"/>
  <c r="B1881" i="1" s="1"/>
  <c r="C1881" i="1"/>
  <c r="A1882" i="1"/>
  <c r="B1882" i="1" s="1"/>
  <c r="C1882" i="1"/>
  <c r="A1883" i="1"/>
  <c r="B1883" i="1" s="1"/>
  <c r="C1883" i="1"/>
  <c r="A1884" i="1"/>
  <c r="B1884" i="1" s="1"/>
  <c r="C1884" i="1"/>
  <c r="A1885" i="1"/>
  <c r="B1885" i="1" s="1"/>
  <c r="C1885" i="1"/>
  <c r="A1886" i="1"/>
  <c r="B1886" i="1" s="1"/>
  <c r="C1886" i="1"/>
  <c r="A1887" i="1"/>
  <c r="B1887" i="1" s="1"/>
  <c r="C1887" i="1"/>
  <c r="A1888" i="1"/>
  <c r="B1888" i="1" s="1"/>
  <c r="C1888" i="1"/>
  <c r="A1889" i="1"/>
  <c r="B1889" i="1" s="1"/>
  <c r="C1889" i="1"/>
  <c r="A1890" i="1"/>
  <c r="B1890" i="1" s="1"/>
  <c r="C1890" i="1"/>
  <c r="A1891" i="1"/>
  <c r="B1891" i="1" s="1"/>
  <c r="C1891" i="1"/>
  <c r="A1892" i="1"/>
  <c r="B1892" i="1" s="1"/>
  <c r="C1892" i="1"/>
  <c r="A1893" i="1"/>
  <c r="B1893" i="1" s="1"/>
  <c r="C1893" i="1"/>
  <c r="A1894" i="1"/>
  <c r="B1894" i="1" s="1"/>
  <c r="C1894" i="1"/>
  <c r="A1895" i="1"/>
  <c r="B1895" i="1" s="1"/>
  <c r="C1895" i="1"/>
  <c r="A1896" i="1"/>
  <c r="B1896" i="1" s="1"/>
  <c r="C1896" i="1"/>
  <c r="A1897" i="1"/>
  <c r="B1897" i="1" s="1"/>
  <c r="C1897" i="1"/>
  <c r="A1898" i="1"/>
  <c r="B1898" i="1" s="1"/>
  <c r="C1898" i="1"/>
  <c r="A1899" i="1"/>
  <c r="B1899" i="1" s="1"/>
  <c r="C1899" i="1"/>
  <c r="A1900" i="1"/>
  <c r="B1900" i="1" s="1"/>
  <c r="C1900" i="1"/>
  <c r="A1901" i="1"/>
  <c r="B1901" i="1" s="1"/>
  <c r="C1901" i="1"/>
  <c r="A1902" i="1"/>
  <c r="B1902" i="1" s="1"/>
  <c r="C1902" i="1"/>
  <c r="A1903" i="1"/>
  <c r="B1903" i="1" s="1"/>
  <c r="C1903" i="1"/>
  <c r="A1904" i="1"/>
  <c r="B1904" i="1" s="1"/>
  <c r="C1904" i="1"/>
  <c r="A1905" i="1"/>
  <c r="B1905" i="1" s="1"/>
  <c r="C1905" i="1"/>
  <c r="A1906" i="1"/>
  <c r="B1906" i="1" s="1"/>
  <c r="C1906" i="1"/>
  <c r="A1907" i="1"/>
  <c r="B1907" i="1" s="1"/>
  <c r="C1907" i="1"/>
  <c r="A1908" i="1"/>
  <c r="B1908" i="1" s="1"/>
  <c r="C1908" i="1"/>
  <c r="A1909" i="1"/>
  <c r="B1909" i="1" s="1"/>
  <c r="C1909" i="1"/>
  <c r="A1910" i="1"/>
  <c r="B1910" i="1" s="1"/>
  <c r="C1910" i="1"/>
  <c r="A1911" i="1"/>
  <c r="B1911" i="1" s="1"/>
  <c r="C1911" i="1"/>
  <c r="A1912" i="1"/>
  <c r="B1912" i="1" s="1"/>
  <c r="C1912" i="1"/>
  <c r="A1913" i="1"/>
  <c r="B1913" i="1" s="1"/>
  <c r="C1913" i="1"/>
  <c r="A1914" i="1"/>
  <c r="B1914" i="1" s="1"/>
  <c r="C1914" i="1"/>
  <c r="A1915" i="1"/>
  <c r="B1915" i="1" s="1"/>
  <c r="C1915" i="1"/>
  <c r="A1916" i="1"/>
  <c r="B1916" i="1" s="1"/>
  <c r="C1916" i="1"/>
  <c r="A1917" i="1"/>
  <c r="B1917" i="1" s="1"/>
  <c r="C1917" i="1"/>
  <c r="A1918" i="1"/>
  <c r="B1918" i="1" s="1"/>
  <c r="C1918" i="1"/>
  <c r="A1919" i="1"/>
  <c r="B1919" i="1" s="1"/>
  <c r="C1919" i="1"/>
  <c r="A1920" i="1"/>
  <c r="B1920" i="1" s="1"/>
  <c r="C1920" i="1"/>
  <c r="A1921" i="1"/>
  <c r="B1921" i="1" s="1"/>
  <c r="C1921" i="1"/>
  <c r="A1922" i="1"/>
  <c r="B1922" i="1" s="1"/>
  <c r="C1922" i="1"/>
  <c r="A1923" i="1"/>
  <c r="B1923" i="1" s="1"/>
  <c r="C1923" i="1"/>
  <c r="A1924" i="1"/>
  <c r="B1924" i="1" s="1"/>
  <c r="C1924" i="1"/>
  <c r="A1925" i="1"/>
  <c r="B1925" i="1" s="1"/>
  <c r="C1925" i="1"/>
  <c r="A1926" i="1"/>
  <c r="B1926" i="1" s="1"/>
  <c r="C1926" i="1"/>
  <c r="A1927" i="1"/>
  <c r="B1927" i="1" s="1"/>
  <c r="C1927" i="1"/>
  <c r="A1928" i="1"/>
  <c r="B1928" i="1" s="1"/>
  <c r="C1928" i="1"/>
  <c r="A1929" i="1"/>
  <c r="B1929" i="1" s="1"/>
  <c r="C1929" i="1"/>
  <c r="A1930" i="1"/>
  <c r="B1930" i="1" s="1"/>
  <c r="C1930" i="1"/>
  <c r="A1931" i="1"/>
  <c r="B1931" i="1" s="1"/>
  <c r="C1931" i="1"/>
  <c r="A1932" i="1"/>
  <c r="B1932" i="1" s="1"/>
  <c r="C1932" i="1"/>
  <c r="A1933" i="1"/>
  <c r="B1933" i="1" s="1"/>
  <c r="C1933" i="1"/>
  <c r="A1934" i="1"/>
  <c r="B1934" i="1" s="1"/>
  <c r="C1934" i="1"/>
  <c r="A1935" i="1"/>
  <c r="B1935" i="1" s="1"/>
  <c r="C1935" i="1"/>
  <c r="A1936" i="1"/>
  <c r="B1936" i="1" s="1"/>
  <c r="C1936" i="1"/>
  <c r="A1937" i="1"/>
  <c r="B1937" i="1" s="1"/>
  <c r="C1937" i="1"/>
  <c r="A1938" i="1"/>
  <c r="B1938" i="1" s="1"/>
  <c r="C1938" i="1"/>
  <c r="A1939" i="1"/>
  <c r="B1939" i="1" s="1"/>
  <c r="C1939" i="1"/>
  <c r="A1940" i="1"/>
  <c r="B1940" i="1" s="1"/>
  <c r="C1940" i="1"/>
  <c r="A1941" i="1"/>
  <c r="B1941" i="1" s="1"/>
  <c r="C1941" i="1"/>
  <c r="A1942" i="1"/>
  <c r="B1942" i="1" s="1"/>
  <c r="C1942" i="1"/>
  <c r="A1943" i="1"/>
  <c r="B1943" i="1" s="1"/>
  <c r="C1943" i="1"/>
  <c r="A1944" i="1"/>
  <c r="B1944" i="1" s="1"/>
  <c r="C1944" i="1"/>
  <c r="A1945" i="1"/>
  <c r="B1945" i="1" s="1"/>
  <c r="C1945" i="1"/>
  <c r="A1946" i="1"/>
  <c r="B1946" i="1" s="1"/>
  <c r="C1946" i="1"/>
  <c r="A1947" i="1"/>
  <c r="B1947" i="1" s="1"/>
  <c r="C1947" i="1"/>
  <c r="A1948" i="1"/>
  <c r="B1948" i="1" s="1"/>
  <c r="C1948" i="1"/>
  <c r="A1949" i="1"/>
  <c r="B1949" i="1" s="1"/>
  <c r="C1949" i="1"/>
  <c r="A1950" i="1"/>
  <c r="B1950" i="1" s="1"/>
  <c r="C1950" i="1"/>
  <c r="A1951" i="1"/>
  <c r="B1951" i="1" s="1"/>
  <c r="C1951" i="1"/>
  <c r="A1952" i="1"/>
  <c r="B1952" i="1" s="1"/>
  <c r="C1952" i="1"/>
  <c r="A1953" i="1"/>
  <c r="B1953" i="1" s="1"/>
  <c r="C1953" i="1"/>
  <c r="A1954" i="1"/>
  <c r="B1954" i="1" s="1"/>
  <c r="C1954" i="1"/>
  <c r="A1955" i="1"/>
  <c r="B1955" i="1" s="1"/>
  <c r="C1955" i="1"/>
  <c r="A1956" i="1"/>
  <c r="B1956" i="1" s="1"/>
  <c r="C1956" i="1"/>
  <c r="A1957" i="1"/>
  <c r="B1957" i="1" s="1"/>
  <c r="C1957" i="1"/>
  <c r="A1958" i="1"/>
  <c r="B1958" i="1" s="1"/>
  <c r="C1958" i="1"/>
  <c r="A1959" i="1"/>
  <c r="B1959" i="1" s="1"/>
  <c r="C1959" i="1"/>
  <c r="A1960" i="1"/>
  <c r="B1960" i="1" s="1"/>
  <c r="C1960" i="1"/>
  <c r="A1961" i="1"/>
  <c r="B1961" i="1" s="1"/>
  <c r="C1961" i="1"/>
  <c r="A1962" i="1"/>
  <c r="B1962" i="1" s="1"/>
  <c r="C1962" i="1"/>
  <c r="A1963" i="1"/>
  <c r="B1963" i="1" s="1"/>
  <c r="C1963" i="1"/>
  <c r="A1964" i="1"/>
  <c r="B1964" i="1" s="1"/>
  <c r="C1964" i="1"/>
  <c r="A1965" i="1"/>
  <c r="B1965" i="1" s="1"/>
  <c r="C1965" i="1"/>
  <c r="A1966" i="1"/>
  <c r="B1966" i="1" s="1"/>
  <c r="C1966" i="1"/>
  <c r="A1967" i="1"/>
  <c r="C1967" i="1"/>
  <c r="A1968" i="1"/>
  <c r="B1968" i="1" s="1"/>
  <c r="C1968" i="1"/>
  <c r="A1969" i="1"/>
  <c r="B1969" i="1" s="1"/>
  <c r="C1969" i="1"/>
  <c r="A1970" i="1"/>
  <c r="B1970" i="1" s="1"/>
  <c r="C1970" i="1"/>
  <c r="A1971" i="1"/>
  <c r="B1971" i="1" s="1"/>
  <c r="C1971" i="1"/>
  <c r="A1972" i="1"/>
  <c r="B1972" i="1" s="1"/>
  <c r="C1972" i="1"/>
  <c r="A1973" i="1"/>
  <c r="B1973" i="1" s="1"/>
  <c r="C1973" i="1"/>
  <c r="A1974" i="1"/>
  <c r="B1974" i="1" s="1"/>
  <c r="C1974" i="1"/>
  <c r="A1975" i="1"/>
  <c r="B1975" i="1" s="1"/>
  <c r="C1975" i="1"/>
  <c r="A1976" i="1"/>
  <c r="B1976" i="1" s="1"/>
  <c r="C1976" i="1"/>
  <c r="A1977" i="1"/>
  <c r="B1977" i="1" s="1"/>
  <c r="C1977" i="1"/>
  <c r="A1978" i="1"/>
  <c r="B1978" i="1" s="1"/>
  <c r="C1978" i="1"/>
  <c r="A1979" i="1"/>
  <c r="B1979" i="1" s="1"/>
  <c r="C1979" i="1"/>
  <c r="A1980" i="1"/>
  <c r="B1980" i="1" s="1"/>
  <c r="C1980" i="1"/>
  <c r="A1981" i="1"/>
  <c r="B1981" i="1" s="1"/>
  <c r="C1981" i="1"/>
  <c r="A1982" i="1"/>
  <c r="B1982" i="1" s="1"/>
  <c r="C1982" i="1"/>
  <c r="A1983" i="1"/>
  <c r="B1983" i="1" s="1"/>
  <c r="C1983" i="1"/>
  <c r="A1984" i="1"/>
  <c r="B1984" i="1" s="1"/>
  <c r="C1984" i="1"/>
  <c r="A1985" i="1"/>
  <c r="B1985" i="1" s="1"/>
  <c r="C1985" i="1"/>
  <c r="A1986" i="1"/>
  <c r="B1986" i="1" s="1"/>
  <c r="C1986" i="1"/>
  <c r="A1987" i="1"/>
  <c r="B1987" i="1" s="1"/>
  <c r="C1987" i="1"/>
  <c r="A1988" i="1"/>
  <c r="B1988" i="1" s="1"/>
  <c r="C1988" i="1"/>
  <c r="A1989" i="1"/>
  <c r="B1989" i="1" s="1"/>
  <c r="C1989" i="1"/>
  <c r="A1990" i="1"/>
  <c r="B1990" i="1" s="1"/>
  <c r="C1990" i="1"/>
  <c r="A1991" i="1"/>
  <c r="B1991" i="1" s="1"/>
  <c r="C1991" i="1"/>
  <c r="A1992" i="1"/>
  <c r="B1992" i="1" s="1"/>
  <c r="C1992" i="1"/>
  <c r="A1993" i="1"/>
  <c r="B1993" i="1" s="1"/>
  <c r="C1993" i="1"/>
  <c r="A1994" i="1"/>
  <c r="B1994" i="1" s="1"/>
  <c r="C1994" i="1"/>
  <c r="A1995" i="1"/>
  <c r="B1995" i="1" s="1"/>
  <c r="C1995" i="1"/>
  <c r="A1996" i="1"/>
  <c r="B1996" i="1" s="1"/>
  <c r="C1996" i="1"/>
  <c r="A1997" i="1"/>
  <c r="B1997" i="1" s="1"/>
  <c r="C1997" i="1"/>
  <c r="A1998" i="1"/>
  <c r="B1998" i="1" s="1"/>
  <c r="C1998" i="1"/>
  <c r="A1999" i="1"/>
  <c r="B1999" i="1" s="1"/>
  <c r="C1999" i="1"/>
  <c r="A2000" i="1"/>
  <c r="B2000" i="1" s="1"/>
  <c r="C2000" i="1"/>
  <c r="A2001" i="1"/>
  <c r="B2001" i="1" s="1"/>
  <c r="C2001" i="1"/>
  <c r="A2002" i="1"/>
  <c r="B2002" i="1" s="1"/>
  <c r="C2002" i="1"/>
  <c r="A2003" i="1"/>
  <c r="B2003" i="1" s="1"/>
  <c r="C2003" i="1"/>
  <c r="A2004" i="1"/>
  <c r="B2004" i="1" s="1"/>
  <c r="C2004" i="1"/>
  <c r="A2005" i="1"/>
  <c r="B2005" i="1" s="1"/>
  <c r="C2005" i="1"/>
  <c r="A2006" i="1"/>
  <c r="B2006" i="1" s="1"/>
  <c r="C2006" i="1"/>
  <c r="A2007" i="1"/>
  <c r="B2007" i="1" s="1"/>
  <c r="C2007" i="1"/>
  <c r="A2008" i="1"/>
  <c r="B2008" i="1" s="1"/>
  <c r="C2008" i="1"/>
  <c r="A2009" i="1"/>
  <c r="B2009" i="1" s="1"/>
  <c r="C2009" i="1"/>
  <c r="A2010" i="1"/>
  <c r="B2010" i="1" s="1"/>
  <c r="C2010" i="1"/>
  <c r="A2011" i="1"/>
  <c r="B2011" i="1" s="1"/>
  <c r="C2011" i="1"/>
  <c r="A2012" i="1"/>
  <c r="B2012" i="1" s="1"/>
  <c r="C2012" i="1"/>
  <c r="A2013" i="1"/>
  <c r="B2013" i="1" s="1"/>
  <c r="C2013" i="1"/>
  <c r="A2014" i="1"/>
  <c r="B2014" i="1" s="1"/>
  <c r="C2014" i="1"/>
  <c r="A2015" i="1"/>
  <c r="C2015" i="1"/>
  <c r="A2016" i="1"/>
  <c r="B2016" i="1" s="1"/>
  <c r="C2016" i="1"/>
  <c r="A2017" i="1"/>
  <c r="B2017" i="1" s="1"/>
  <c r="C2017" i="1"/>
  <c r="A2018" i="1"/>
  <c r="B2018" i="1" s="1"/>
  <c r="C2018" i="1"/>
  <c r="A2019" i="1"/>
  <c r="B2019" i="1" s="1"/>
  <c r="C2019" i="1"/>
  <c r="A2020" i="1"/>
  <c r="B2020" i="1" s="1"/>
  <c r="C2020" i="1"/>
  <c r="A2021" i="1"/>
  <c r="B2021" i="1" s="1"/>
  <c r="C2021" i="1"/>
  <c r="A2022" i="1"/>
  <c r="B2022" i="1" s="1"/>
  <c r="C2022" i="1"/>
  <c r="A2023" i="1"/>
  <c r="B2023" i="1" s="1"/>
  <c r="C2023" i="1"/>
  <c r="A2024" i="1"/>
  <c r="C2024" i="1"/>
  <c r="A2025" i="1"/>
  <c r="B2025" i="1" s="1"/>
  <c r="C2025" i="1"/>
  <c r="A2026" i="1"/>
  <c r="B2026" i="1" s="1"/>
  <c r="C2026" i="1"/>
  <c r="A2027" i="1"/>
  <c r="B2027" i="1" s="1"/>
  <c r="C2027" i="1"/>
  <c r="A2028" i="1"/>
  <c r="B2028" i="1" s="1"/>
  <c r="C2028" i="1"/>
  <c r="A2029" i="1"/>
  <c r="B2029" i="1" s="1"/>
  <c r="C2029" i="1"/>
  <c r="A2030" i="1"/>
  <c r="B2030" i="1" s="1"/>
  <c r="C2030" i="1"/>
  <c r="A2031" i="1"/>
  <c r="B2031" i="1" s="1"/>
  <c r="C2031" i="1"/>
  <c r="A2032" i="1"/>
  <c r="B2032" i="1" s="1"/>
  <c r="C2032" i="1"/>
  <c r="A2033" i="1"/>
  <c r="B2033" i="1" s="1"/>
  <c r="C2033" i="1"/>
  <c r="A2034" i="1"/>
  <c r="B2034" i="1" s="1"/>
  <c r="C2034" i="1"/>
  <c r="A2035" i="1"/>
  <c r="B2035" i="1" s="1"/>
  <c r="C2035" i="1"/>
  <c r="A2036" i="1"/>
  <c r="B2036" i="1" s="1"/>
  <c r="C2036" i="1"/>
  <c r="A2037" i="1"/>
  <c r="B2037" i="1" s="1"/>
  <c r="C2037" i="1"/>
  <c r="A2038" i="1"/>
  <c r="B2038" i="1" s="1"/>
  <c r="C2038" i="1"/>
  <c r="A2039" i="1"/>
  <c r="B2039" i="1" s="1"/>
  <c r="C2039" i="1"/>
  <c r="A2040" i="1"/>
  <c r="B2040" i="1" s="1"/>
  <c r="C2040" i="1"/>
  <c r="A2041" i="1"/>
  <c r="B2041" i="1" s="1"/>
  <c r="C2041" i="1"/>
  <c r="A2042" i="1"/>
  <c r="B2042" i="1" s="1"/>
  <c r="C2042" i="1"/>
  <c r="A2043" i="1"/>
  <c r="B2043" i="1" s="1"/>
  <c r="C2043" i="1"/>
  <c r="A2044" i="1"/>
  <c r="B2044" i="1" s="1"/>
  <c r="C2044" i="1"/>
  <c r="A2045" i="1"/>
  <c r="B2045" i="1" s="1"/>
  <c r="C2045" i="1"/>
  <c r="A2046" i="1"/>
  <c r="B2046" i="1" s="1"/>
  <c r="C2046" i="1"/>
  <c r="A2047" i="1"/>
  <c r="B2047" i="1" s="1"/>
  <c r="C2047" i="1"/>
  <c r="A2048" i="1"/>
  <c r="B2048" i="1" s="1"/>
  <c r="C2048" i="1"/>
  <c r="A2049" i="1"/>
  <c r="B2049" i="1" s="1"/>
  <c r="C2049" i="1"/>
  <c r="A2050" i="1"/>
  <c r="C2050" i="1"/>
  <c r="A2051" i="1"/>
  <c r="B2051" i="1" s="1"/>
  <c r="C2051" i="1"/>
  <c r="A2052" i="1"/>
  <c r="B2052" i="1" s="1"/>
  <c r="C2052" i="1"/>
  <c r="A2053" i="1"/>
  <c r="B2053" i="1" s="1"/>
  <c r="C2053" i="1"/>
  <c r="A2054" i="1"/>
  <c r="B2054" i="1" s="1"/>
  <c r="C2054" i="1"/>
  <c r="A2055" i="1"/>
  <c r="B2055" i="1" s="1"/>
  <c r="C2055" i="1"/>
  <c r="A2056" i="1"/>
  <c r="B2056" i="1" s="1"/>
  <c r="C2056" i="1"/>
  <c r="A2057" i="1"/>
  <c r="B2057" i="1" s="1"/>
  <c r="C2057" i="1"/>
  <c r="A2058" i="1"/>
  <c r="B2058" i="1" s="1"/>
  <c r="C2058" i="1"/>
  <c r="A2059" i="1"/>
  <c r="B2059" i="1" s="1"/>
  <c r="C2059" i="1"/>
  <c r="A2060" i="1"/>
  <c r="B2060" i="1" s="1"/>
  <c r="C2060" i="1"/>
  <c r="A2061" i="1"/>
  <c r="B2061" i="1" s="1"/>
  <c r="C2061" i="1"/>
  <c r="A2062" i="1"/>
  <c r="B2062" i="1" s="1"/>
  <c r="C2062" i="1"/>
  <c r="A2063" i="1"/>
  <c r="B2063" i="1" s="1"/>
  <c r="C2063" i="1"/>
  <c r="A2064" i="1"/>
  <c r="B2064" i="1" s="1"/>
  <c r="C2064" i="1"/>
  <c r="A2065" i="1"/>
  <c r="B2065" i="1" s="1"/>
  <c r="C2065" i="1"/>
  <c r="A2066" i="1"/>
  <c r="B2066" i="1" s="1"/>
  <c r="C2066" i="1"/>
  <c r="A2067" i="1"/>
  <c r="B2067" i="1" s="1"/>
  <c r="C2067" i="1"/>
  <c r="A2068" i="1"/>
  <c r="B2068" i="1" s="1"/>
  <c r="C2068" i="1"/>
  <c r="A2069" i="1"/>
  <c r="B2069" i="1" s="1"/>
  <c r="C2069" i="1"/>
  <c r="A2070" i="1"/>
  <c r="B2070" i="1" s="1"/>
  <c r="C2070" i="1"/>
  <c r="A2071" i="1"/>
  <c r="B2071" i="1" s="1"/>
  <c r="C2071" i="1"/>
  <c r="A2072" i="1"/>
  <c r="B2072" i="1" s="1"/>
  <c r="C2072" i="1"/>
  <c r="A2073" i="1"/>
  <c r="C2073" i="1"/>
  <c r="A2074" i="1"/>
  <c r="B2074" i="1" s="1"/>
  <c r="C2074" i="1"/>
  <c r="A2075" i="1"/>
  <c r="B2075" i="1" s="1"/>
  <c r="C2075" i="1"/>
  <c r="A2076" i="1"/>
  <c r="B2076" i="1" s="1"/>
  <c r="C2076" i="1"/>
  <c r="A2077" i="1"/>
  <c r="B2077" i="1" s="1"/>
  <c r="C2077" i="1"/>
  <c r="A2078" i="1"/>
  <c r="C2078" i="1"/>
  <c r="A2079" i="1"/>
  <c r="B2079" i="1" s="1"/>
  <c r="C2079" i="1"/>
  <c r="A2080" i="1"/>
  <c r="B2080" i="1" s="1"/>
  <c r="C2080" i="1"/>
  <c r="A2081" i="1"/>
  <c r="B2081" i="1" s="1"/>
  <c r="C2081" i="1"/>
  <c r="A2082" i="1"/>
  <c r="B2082" i="1" s="1"/>
  <c r="C2082" i="1"/>
  <c r="A2083" i="1"/>
  <c r="B2083" i="1" s="1"/>
  <c r="C2083" i="1"/>
  <c r="A2084" i="1"/>
  <c r="B2084" i="1" s="1"/>
  <c r="C2084" i="1"/>
  <c r="A2085" i="1"/>
  <c r="B2085" i="1" s="1"/>
  <c r="C2085" i="1"/>
  <c r="A2086" i="1"/>
  <c r="B2086" i="1" s="1"/>
  <c r="C2086" i="1"/>
  <c r="A2087" i="1"/>
  <c r="B2087" i="1" s="1"/>
  <c r="C2087" i="1"/>
  <c r="A2088" i="1"/>
  <c r="B2088" i="1" s="1"/>
  <c r="C2088" i="1"/>
  <c r="A2089" i="1"/>
  <c r="B2089" i="1" s="1"/>
  <c r="C2089" i="1"/>
  <c r="A2090" i="1"/>
  <c r="B2090" i="1" s="1"/>
  <c r="C2090" i="1"/>
  <c r="A2091" i="1"/>
  <c r="B2091" i="1" s="1"/>
  <c r="C2091" i="1"/>
  <c r="A2092" i="1"/>
  <c r="B2092" i="1" s="1"/>
  <c r="C2092" i="1"/>
  <c r="A2093" i="1"/>
  <c r="B2093" i="1" s="1"/>
  <c r="C2093" i="1"/>
  <c r="A2094" i="1"/>
  <c r="B2094" i="1" s="1"/>
  <c r="C2094" i="1"/>
  <c r="A2095" i="1"/>
  <c r="B2095" i="1" s="1"/>
  <c r="C2095" i="1"/>
  <c r="A2096" i="1"/>
  <c r="B2096" i="1" s="1"/>
  <c r="C2096" i="1"/>
  <c r="A2097" i="1"/>
  <c r="B2097" i="1" s="1"/>
  <c r="C2097" i="1"/>
  <c r="A2098" i="1"/>
  <c r="B2098" i="1" s="1"/>
  <c r="C2098" i="1"/>
  <c r="A2099" i="1"/>
  <c r="B2099" i="1" s="1"/>
  <c r="C2099" i="1"/>
  <c r="A2100" i="1"/>
  <c r="B2100" i="1" s="1"/>
  <c r="C2100" i="1"/>
  <c r="A2101" i="1"/>
  <c r="B2101" i="1" s="1"/>
  <c r="C2101" i="1"/>
  <c r="A2102" i="1"/>
  <c r="B2102" i="1" s="1"/>
  <c r="C2102" i="1"/>
  <c r="A2103" i="1"/>
  <c r="B2103" i="1" s="1"/>
  <c r="C2103" i="1"/>
  <c r="A2104" i="1"/>
  <c r="B2104" i="1" s="1"/>
  <c r="C2104" i="1"/>
  <c r="A2105" i="1"/>
  <c r="B2105" i="1" s="1"/>
  <c r="C2105" i="1"/>
  <c r="A2106" i="1"/>
  <c r="B2106" i="1" s="1"/>
  <c r="C2106" i="1"/>
  <c r="A2107" i="1"/>
  <c r="B2107" i="1" s="1"/>
  <c r="C2107" i="1"/>
  <c r="A2108" i="1"/>
  <c r="B2108" i="1" s="1"/>
  <c r="C2108" i="1"/>
  <c r="A2109" i="1"/>
  <c r="B2109" i="1" s="1"/>
  <c r="C2109" i="1"/>
  <c r="A2110" i="1"/>
  <c r="B2110" i="1" s="1"/>
  <c r="C2110" i="1"/>
  <c r="A2111" i="1"/>
  <c r="B2111" i="1" s="1"/>
  <c r="C2111" i="1"/>
  <c r="A2112" i="1"/>
  <c r="B2112" i="1" s="1"/>
  <c r="C2112" i="1"/>
  <c r="A2113" i="1"/>
  <c r="B2113" i="1" s="1"/>
  <c r="C2113" i="1"/>
  <c r="A2114" i="1"/>
  <c r="B2114" i="1" s="1"/>
  <c r="C2114" i="1"/>
  <c r="A2115" i="1"/>
  <c r="B2115" i="1" s="1"/>
  <c r="C2115" i="1"/>
  <c r="A2116" i="1"/>
  <c r="B2116" i="1" s="1"/>
  <c r="C2116" i="1"/>
  <c r="A2117" i="1"/>
  <c r="B2117" i="1" s="1"/>
  <c r="C2117" i="1"/>
  <c r="A2118" i="1"/>
  <c r="B2118" i="1" s="1"/>
  <c r="C2118" i="1"/>
  <c r="A2119" i="1"/>
  <c r="B2119" i="1" s="1"/>
  <c r="C2119" i="1"/>
  <c r="A2120" i="1"/>
  <c r="B2120" i="1" s="1"/>
  <c r="C2120" i="1"/>
  <c r="A2121" i="1"/>
  <c r="B2121" i="1" s="1"/>
  <c r="C2121" i="1"/>
  <c r="A2122" i="1"/>
  <c r="B2122" i="1" s="1"/>
  <c r="C2122" i="1"/>
  <c r="A2123" i="1"/>
  <c r="B2123" i="1" s="1"/>
  <c r="C2123" i="1"/>
  <c r="A2124" i="1"/>
  <c r="B2124" i="1" s="1"/>
  <c r="C2124" i="1"/>
  <c r="A2125" i="1"/>
  <c r="B2125" i="1" s="1"/>
  <c r="C2125" i="1"/>
  <c r="A2126" i="1"/>
  <c r="B2126" i="1" s="1"/>
  <c r="C2126" i="1"/>
  <c r="A2127" i="1"/>
  <c r="B2127" i="1" s="1"/>
  <c r="C2127" i="1"/>
  <c r="A2128" i="1"/>
  <c r="B2128" i="1" s="1"/>
  <c r="C2128" i="1"/>
  <c r="A2129" i="1"/>
  <c r="B2129" i="1" s="1"/>
  <c r="C2129" i="1"/>
  <c r="A2130" i="1"/>
  <c r="B2130" i="1" s="1"/>
  <c r="C2130" i="1"/>
  <c r="A2131" i="1"/>
  <c r="B2131" i="1" s="1"/>
  <c r="C2131" i="1"/>
  <c r="A2132" i="1"/>
  <c r="B2132" i="1" s="1"/>
  <c r="C2132" i="1"/>
  <c r="A2133" i="1"/>
  <c r="B2133" i="1" s="1"/>
  <c r="C2133" i="1"/>
  <c r="A2134" i="1"/>
  <c r="B2134" i="1" s="1"/>
  <c r="C2134" i="1"/>
  <c r="A2135" i="1"/>
  <c r="B2135" i="1" s="1"/>
  <c r="C2135" i="1"/>
  <c r="A2136" i="1"/>
  <c r="B2136" i="1" s="1"/>
  <c r="C2136" i="1"/>
  <c r="A2137" i="1"/>
  <c r="B2137" i="1" s="1"/>
  <c r="C2137" i="1"/>
  <c r="A2138" i="1"/>
  <c r="B2138" i="1" s="1"/>
  <c r="C2138" i="1"/>
  <c r="A2139" i="1"/>
  <c r="B2139" i="1" s="1"/>
  <c r="C2139" i="1"/>
  <c r="A2140" i="1"/>
  <c r="B2140" i="1" s="1"/>
  <c r="C2140" i="1"/>
  <c r="A2141" i="1"/>
  <c r="B2141" i="1" s="1"/>
  <c r="C2141" i="1"/>
  <c r="A2142" i="1"/>
  <c r="B2142" i="1" s="1"/>
  <c r="C2142" i="1"/>
  <c r="A2143" i="1"/>
  <c r="B2143" i="1" s="1"/>
  <c r="C2143" i="1"/>
  <c r="A2144" i="1"/>
  <c r="B2144" i="1" s="1"/>
  <c r="C2144" i="1"/>
  <c r="A2145" i="1"/>
  <c r="B2145" i="1" s="1"/>
  <c r="C2145" i="1"/>
  <c r="A2146" i="1"/>
  <c r="B2146" i="1" s="1"/>
  <c r="C2146" i="1"/>
  <c r="A2147" i="1"/>
  <c r="B2147" i="1" s="1"/>
  <c r="C2147" i="1"/>
  <c r="A2148" i="1"/>
  <c r="B2148" i="1" s="1"/>
  <c r="C2148" i="1"/>
  <c r="A2149" i="1"/>
  <c r="B2149" i="1" s="1"/>
  <c r="C2149" i="1"/>
  <c r="A2150" i="1"/>
  <c r="B2150" i="1" s="1"/>
  <c r="C2150" i="1"/>
  <c r="A2151" i="1"/>
  <c r="B2151" i="1" s="1"/>
  <c r="C2151" i="1"/>
  <c r="A2152" i="1"/>
  <c r="B2152" i="1" s="1"/>
  <c r="C2152" i="1"/>
  <c r="A2153" i="1"/>
  <c r="B2153" i="1" s="1"/>
  <c r="C2153" i="1"/>
  <c r="A2154" i="1"/>
  <c r="B2154" i="1" s="1"/>
  <c r="C2154" i="1"/>
  <c r="A2155" i="1"/>
  <c r="B2155" i="1" s="1"/>
  <c r="C2155" i="1"/>
  <c r="A2156" i="1"/>
  <c r="B2156" i="1" s="1"/>
  <c r="C2156" i="1"/>
  <c r="A2157" i="1"/>
  <c r="B2157" i="1" s="1"/>
  <c r="C2157" i="1"/>
  <c r="A2158" i="1"/>
  <c r="B2158" i="1" s="1"/>
  <c r="C2158" i="1"/>
  <c r="A2159" i="1"/>
  <c r="B2159" i="1" s="1"/>
  <c r="C2159" i="1"/>
  <c r="A2160" i="1"/>
  <c r="B2160" i="1" s="1"/>
  <c r="C2160" i="1"/>
  <c r="A2161" i="1"/>
  <c r="B2161" i="1" s="1"/>
  <c r="C2161" i="1"/>
  <c r="A2162" i="1"/>
  <c r="B2162" i="1" s="1"/>
  <c r="C2162" i="1"/>
  <c r="A2163" i="1"/>
  <c r="B2163" i="1" s="1"/>
  <c r="C2163" i="1"/>
  <c r="A2164" i="1"/>
  <c r="B2164" i="1" s="1"/>
  <c r="C2164" i="1"/>
  <c r="A2165" i="1"/>
  <c r="B2165" i="1" s="1"/>
  <c r="C2165" i="1"/>
  <c r="A2166" i="1"/>
  <c r="B2166" i="1" s="1"/>
  <c r="C2166" i="1"/>
  <c r="A2167" i="1"/>
  <c r="B2167" i="1" s="1"/>
  <c r="C2167" i="1"/>
  <c r="A2168" i="1"/>
  <c r="B2168" i="1" s="1"/>
  <c r="C2168" i="1"/>
  <c r="A2169" i="1"/>
  <c r="B2169" i="1" s="1"/>
  <c r="C2169" i="1"/>
  <c r="A2170" i="1"/>
  <c r="B2170" i="1" s="1"/>
  <c r="C2170" i="1"/>
  <c r="A2171" i="1"/>
  <c r="B2171" i="1" s="1"/>
  <c r="C2171" i="1"/>
  <c r="A2172" i="1"/>
  <c r="B2172" i="1" s="1"/>
  <c r="C2172" i="1"/>
  <c r="A2173" i="1"/>
  <c r="B2173" i="1" s="1"/>
  <c r="C2173" i="1"/>
  <c r="A2174" i="1"/>
  <c r="B2174" i="1" s="1"/>
  <c r="C2174" i="1"/>
  <c r="A2175" i="1"/>
  <c r="B2175" i="1" s="1"/>
  <c r="C2175" i="1"/>
  <c r="A2176" i="1"/>
  <c r="B2176" i="1" s="1"/>
  <c r="C2176" i="1"/>
  <c r="A2177" i="1"/>
  <c r="B2177" i="1" s="1"/>
  <c r="C2177" i="1"/>
  <c r="A2178" i="1"/>
  <c r="B2178" i="1" s="1"/>
  <c r="C2178" i="1"/>
  <c r="A2179" i="1"/>
  <c r="B2179" i="1" s="1"/>
  <c r="C2179" i="1"/>
  <c r="A2180" i="1"/>
  <c r="B2180" i="1" s="1"/>
  <c r="C2180" i="1"/>
  <c r="A2181" i="1"/>
  <c r="B2181" i="1" s="1"/>
  <c r="C2181" i="1"/>
  <c r="A2182" i="1"/>
  <c r="B2182" i="1" s="1"/>
  <c r="C2182" i="1"/>
  <c r="A2183" i="1"/>
  <c r="B2183" i="1" s="1"/>
  <c r="C2183" i="1"/>
  <c r="A2184" i="1"/>
  <c r="B2184" i="1" s="1"/>
  <c r="C2184" i="1"/>
  <c r="A2185" i="1"/>
  <c r="B2185" i="1" s="1"/>
  <c r="C2185" i="1"/>
  <c r="A2186" i="1"/>
  <c r="B2186" i="1" s="1"/>
  <c r="C2186" i="1"/>
  <c r="A2187" i="1"/>
  <c r="B2187" i="1" s="1"/>
  <c r="C2187" i="1"/>
  <c r="A2188" i="1"/>
  <c r="B2188" i="1" s="1"/>
  <c r="C2188" i="1"/>
  <c r="A2189" i="1"/>
  <c r="B2189" i="1" s="1"/>
  <c r="C2189" i="1"/>
  <c r="A2190" i="1"/>
  <c r="B2190" i="1" s="1"/>
  <c r="C2190" i="1"/>
  <c r="A2191" i="1"/>
  <c r="B2191" i="1" s="1"/>
  <c r="C2191" i="1"/>
  <c r="A2192" i="1"/>
  <c r="C2192" i="1"/>
  <c r="A2193" i="1"/>
  <c r="B2193" i="1" s="1"/>
  <c r="C2193" i="1"/>
  <c r="A2194" i="1"/>
  <c r="B2194" i="1" s="1"/>
  <c r="C2194" i="1"/>
  <c r="A2195" i="1"/>
  <c r="B2195" i="1" s="1"/>
  <c r="C2195" i="1"/>
  <c r="A2196" i="1"/>
  <c r="B2196" i="1" s="1"/>
  <c r="C2196" i="1"/>
  <c r="A2197" i="1"/>
  <c r="B2197" i="1" s="1"/>
  <c r="C2197" i="1"/>
  <c r="A2198" i="1"/>
  <c r="B2198" i="1" s="1"/>
  <c r="C2198" i="1"/>
  <c r="A2199" i="1"/>
  <c r="B2199" i="1" s="1"/>
  <c r="C2199" i="1"/>
  <c r="A2200" i="1"/>
  <c r="B2200" i="1" s="1"/>
  <c r="C2200" i="1"/>
  <c r="A2201" i="1"/>
  <c r="B2201" i="1" s="1"/>
  <c r="C2201" i="1"/>
  <c r="A2202" i="1"/>
  <c r="B2202" i="1" s="1"/>
  <c r="C2202" i="1"/>
  <c r="A2203" i="1"/>
  <c r="B2203" i="1" s="1"/>
  <c r="C2203" i="1"/>
  <c r="A2204" i="1"/>
  <c r="C2204" i="1"/>
  <c r="A2205" i="1"/>
  <c r="B2205" i="1" s="1"/>
  <c r="C2205" i="1"/>
  <c r="A2206" i="1"/>
  <c r="B2206" i="1" s="1"/>
  <c r="C2206" i="1"/>
  <c r="A2207" i="1"/>
  <c r="B2207" i="1" s="1"/>
  <c r="C2207" i="1"/>
  <c r="A2208" i="1"/>
  <c r="B2208" i="1" s="1"/>
  <c r="C2208" i="1"/>
  <c r="A2209" i="1"/>
  <c r="B2209" i="1" s="1"/>
  <c r="C2209" i="1"/>
  <c r="A2210" i="1"/>
  <c r="B2210" i="1" s="1"/>
  <c r="C2210" i="1"/>
  <c r="A2211" i="1"/>
  <c r="B2211" i="1" s="1"/>
  <c r="C2211" i="1"/>
  <c r="A2212" i="1"/>
  <c r="B2212" i="1" s="1"/>
  <c r="C2212" i="1"/>
  <c r="A2213" i="1"/>
  <c r="B2213" i="1" s="1"/>
  <c r="C2213" i="1"/>
  <c r="A2214" i="1"/>
  <c r="B2214" i="1" s="1"/>
  <c r="C2214" i="1"/>
  <c r="A2215" i="1"/>
  <c r="B2215" i="1" s="1"/>
  <c r="C2215" i="1"/>
  <c r="A2216" i="1"/>
  <c r="B2216" i="1" s="1"/>
  <c r="C2216" i="1"/>
  <c r="A2217" i="1"/>
  <c r="B2217" i="1" s="1"/>
  <c r="C2217" i="1"/>
  <c r="A2218" i="1"/>
  <c r="B2218" i="1" s="1"/>
  <c r="C2218" i="1"/>
  <c r="A2219" i="1"/>
  <c r="B2219" i="1" s="1"/>
  <c r="C2219" i="1"/>
  <c r="A2220" i="1"/>
  <c r="B2220" i="1" s="1"/>
  <c r="C2220" i="1"/>
  <c r="A2221" i="1"/>
  <c r="B2221" i="1" s="1"/>
  <c r="C2221" i="1"/>
  <c r="A2222" i="1"/>
  <c r="B2222" i="1" s="1"/>
  <c r="C2222" i="1"/>
  <c r="A2223" i="1"/>
  <c r="B2223" i="1" s="1"/>
  <c r="C2223" i="1"/>
  <c r="A2224" i="1"/>
  <c r="B2224" i="1" s="1"/>
  <c r="C2224" i="1"/>
  <c r="A2225" i="1"/>
  <c r="B2225" i="1" s="1"/>
  <c r="C2225" i="1"/>
  <c r="A2226" i="1"/>
  <c r="B2226" i="1" s="1"/>
  <c r="C2226" i="1"/>
  <c r="A2227" i="1"/>
  <c r="B2227" i="1" s="1"/>
  <c r="C2227" i="1"/>
  <c r="A2228" i="1"/>
  <c r="B2228" i="1" s="1"/>
  <c r="C2228" i="1"/>
  <c r="A2229" i="1"/>
  <c r="B2229" i="1" s="1"/>
  <c r="C2229" i="1"/>
  <c r="A2230" i="1"/>
  <c r="B2230" i="1" s="1"/>
  <c r="C2230" i="1"/>
  <c r="A2231" i="1"/>
  <c r="B2231" i="1" s="1"/>
  <c r="C2231" i="1"/>
  <c r="A2232" i="1"/>
  <c r="B2232" i="1" s="1"/>
  <c r="C2232" i="1"/>
  <c r="A2233" i="1"/>
  <c r="B2233" i="1" s="1"/>
  <c r="C2233" i="1"/>
  <c r="A2234" i="1"/>
  <c r="B2234" i="1" s="1"/>
  <c r="C2234" i="1"/>
  <c r="A2235" i="1"/>
  <c r="B2235" i="1" s="1"/>
  <c r="C2235" i="1"/>
  <c r="A2236" i="1"/>
  <c r="B2236" i="1" s="1"/>
  <c r="C2236" i="1"/>
  <c r="A2237" i="1"/>
  <c r="B2237" i="1" s="1"/>
  <c r="C2237" i="1"/>
  <c r="A2238" i="1"/>
  <c r="B2238" i="1" s="1"/>
  <c r="C2238" i="1"/>
  <c r="A2239" i="1"/>
  <c r="B2239" i="1" s="1"/>
  <c r="C2239" i="1"/>
  <c r="A2240" i="1"/>
  <c r="B2240" i="1" s="1"/>
  <c r="C2240" i="1"/>
  <c r="A2241" i="1"/>
  <c r="B2241" i="1" s="1"/>
  <c r="C2241" i="1"/>
  <c r="A2242" i="1"/>
  <c r="B2242" i="1" s="1"/>
  <c r="C2242" i="1"/>
  <c r="A2243" i="1"/>
  <c r="B2243" i="1" s="1"/>
  <c r="C2243" i="1"/>
  <c r="A2244" i="1"/>
  <c r="B2244" i="1" s="1"/>
  <c r="C2244" i="1"/>
  <c r="A2245" i="1"/>
  <c r="B2245" i="1" s="1"/>
  <c r="C2245" i="1"/>
  <c r="A2246" i="1"/>
  <c r="B2246" i="1" s="1"/>
  <c r="C2246" i="1"/>
  <c r="A2247" i="1"/>
  <c r="B2247" i="1" s="1"/>
  <c r="C2247" i="1"/>
  <c r="A2248" i="1"/>
  <c r="B2248" i="1" s="1"/>
  <c r="C2248" i="1"/>
  <c r="A2249" i="1"/>
  <c r="B2249" i="1" s="1"/>
  <c r="C2249" i="1"/>
  <c r="A2250" i="1"/>
  <c r="B2250" i="1" s="1"/>
  <c r="C2250" i="1"/>
  <c r="A2251" i="1"/>
  <c r="B2251" i="1" s="1"/>
  <c r="C2251" i="1"/>
  <c r="A2252" i="1"/>
  <c r="B2252" i="1" s="1"/>
  <c r="C2252" i="1"/>
  <c r="A2253" i="1"/>
  <c r="B2253" i="1" s="1"/>
  <c r="C2253" i="1"/>
  <c r="A2254" i="1"/>
  <c r="B2254" i="1" s="1"/>
  <c r="C2254" i="1"/>
  <c r="A2255" i="1"/>
  <c r="B2255" i="1" s="1"/>
  <c r="C2255" i="1"/>
  <c r="A2256" i="1"/>
  <c r="B2256" i="1" s="1"/>
  <c r="C2256" i="1"/>
  <c r="A2257" i="1"/>
  <c r="B2257" i="1" s="1"/>
  <c r="C2257" i="1"/>
  <c r="A2258" i="1"/>
  <c r="B2258" i="1" s="1"/>
  <c r="C2258" i="1"/>
  <c r="A2259" i="1"/>
  <c r="B2259" i="1" s="1"/>
  <c r="C2259" i="1"/>
  <c r="A2260" i="1"/>
  <c r="B2260" i="1" s="1"/>
  <c r="C2260" i="1"/>
  <c r="A2261" i="1"/>
  <c r="B2261" i="1" s="1"/>
  <c r="C2261" i="1"/>
  <c r="A2262" i="1"/>
  <c r="B2262" i="1" s="1"/>
  <c r="C2262" i="1"/>
  <c r="A2263" i="1"/>
  <c r="B2263" i="1" s="1"/>
  <c r="C2263" i="1"/>
  <c r="A2264" i="1"/>
  <c r="B2264" i="1" s="1"/>
  <c r="C2264" i="1"/>
  <c r="A2265" i="1"/>
  <c r="B2265" i="1" s="1"/>
  <c r="C2265" i="1"/>
  <c r="A2266" i="1"/>
  <c r="B2266" i="1" s="1"/>
  <c r="C2266" i="1"/>
  <c r="A2267" i="1"/>
  <c r="B2267" i="1" s="1"/>
  <c r="C2267" i="1"/>
  <c r="A2268" i="1"/>
  <c r="B2268" i="1" s="1"/>
  <c r="C2268" i="1"/>
  <c r="A2269" i="1"/>
  <c r="B2269" i="1" s="1"/>
  <c r="C2269" i="1"/>
  <c r="A2270" i="1"/>
  <c r="B2270" i="1" s="1"/>
  <c r="C2270" i="1"/>
  <c r="A2271" i="1"/>
  <c r="B2271" i="1" s="1"/>
  <c r="C2271" i="1"/>
  <c r="A2272" i="1"/>
  <c r="B2272" i="1" s="1"/>
  <c r="C2272" i="1"/>
  <c r="A2273" i="1"/>
  <c r="B2273" i="1" s="1"/>
  <c r="C2273" i="1"/>
  <c r="A2274" i="1"/>
  <c r="B2274" i="1" s="1"/>
  <c r="C2274" i="1"/>
  <c r="A2275" i="1"/>
  <c r="B2275" i="1" s="1"/>
  <c r="C2275" i="1"/>
  <c r="A2276" i="1"/>
  <c r="B2276" i="1" s="1"/>
  <c r="C2276" i="1"/>
  <c r="A2277" i="1"/>
  <c r="B2277" i="1" s="1"/>
  <c r="C2277" i="1"/>
  <c r="A2278" i="1"/>
  <c r="B2278" i="1" s="1"/>
  <c r="C2278" i="1"/>
  <c r="A2279" i="1"/>
  <c r="B2279" i="1" s="1"/>
  <c r="C2279" i="1"/>
  <c r="A2280" i="1"/>
  <c r="B2280" i="1" s="1"/>
  <c r="C2280" i="1"/>
  <c r="A2281" i="1"/>
  <c r="B2281" i="1" s="1"/>
  <c r="C2281" i="1"/>
  <c r="A2282" i="1"/>
  <c r="B2282" i="1" s="1"/>
  <c r="C2282" i="1"/>
  <c r="A2283" i="1"/>
  <c r="B2283" i="1" s="1"/>
  <c r="C2283" i="1"/>
  <c r="A2284" i="1"/>
  <c r="B2284" i="1" s="1"/>
  <c r="C2284" i="1"/>
  <c r="A2285" i="1"/>
  <c r="B2285" i="1" s="1"/>
  <c r="C2285" i="1"/>
  <c r="A2286" i="1"/>
  <c r="B2286" i="1" s="1"/>
  <c r="C2286" i="1"/>
  <c r="A2287" i="1"/>
  <c r="B2287" i="1" s="1"/>
  <c r="C2287" i="1"/>
  <c r="A2288" i="1"/>
  <c r="B2288" i="1" s="1"/>
  <c r="C2288" i="1"/>
  <c r="A2289" i="1"/>
  <c r="B2289" i="1" s="1"/>
  <c r="C2289" i="1"/>
  <c r="A2290" i="1"/>
  <c r="B2290" i="1" s="1"/>
  <c r="C2290" i="1"/>
  <c r="A2291" i="1"/>
  <c r="B2291" i="1" s="1"/>
  <c r="C2291" i="1"/>
  <c r="A2292" i="1"/>
  <c r="B2292" i="1" s="1"/>
  <c r="C2292" i="1"/>
  <c r="A2293" i="1"/>
  <c r="B2293" i="1" s="1"/>
  <c r="C2293" i="1"/>
  <c r="A2294" i="1"/>
  <c r="B2294" i="1" s="1"/>
  <c r="C2294" i="1"/>
  <c r="A2295" i="1"/>
  <c r="B2295" i="1" s="1"/>
  <c r="C2295" i="1"/>
  <c r="A2296" i="1"/>
  <c r="B2296" i="1" s="1"/>
  <c r="C2296" i="1"/>
  <c r="A2297" i="1"/>
  <c r="B2297" i="1" s="1"/>
  <c r="C2297" i="1"/>
  <c r="A2298" i="1"/>
  <c r="B2298" i="1" s="1"/>
  <c r="C2298" i="1"/>
  <c r="A2299" i="1"/>
  <c r="B2299" i="1" s="1"/>
  <c r="C2299" i="1"/>
  <c r="A2300" i="1"/>
  <c r="B2300" i="1" s="1"/>
  <c r="C2300" i="1"/>
  <c r="A2301" i="1"/>
  <c r="B2301" i="1" s="1"/>
  <c r="C2301" i="1"/>
  <c r="A2302" i="1"/>
  <c r="B2302" i="1" s="1"/>
  <c r="C2302" i="1"/>
  <c r="A2303" i="1"/>
  <c r="B2303" i="1" s="1"/>
  <c r="C2303" i="1"/>
  <c r="A2304" i="1"/>
  <c r="B2304" i="1" s="1"/>
  <c r="C2304" i="1"/>
  <c r="A2305" i="1"/>
  <c r="B2305" i="1" s="1"/>
  <c r="C2305" i="1"/>
  <c r="A2306" i="1"/>
  <c r="B2306" i="1" s="1"/>
  <c r="C2306" i="1"/>
  <c r="A2307" i="1"/>
  <c r="B2307" i="1" s="1"/>
  <c r="C2307" i="1"/>
  <c r="A2308" i="1"/>
  <c r="B2308" i="1" s="1"/>
  <c r="C2308" i="1"/>
  <c r="A2309" i="1"/>
  <c r="B2309" i="1" s="1"/>
  <c r="C2309" i="1"/>
  <c r="A2310" i="1"/>
  <c r="B2310" i="1" s="1"/>
  <c r="C2310" i="1"/>
  <c r="A2311" i="1"/>
  <c r="B2311" i="1" s="1"/>
  <c r="C2311" i="1"/>
  <c r="A2312" i="1"/>
  <c r="B2312" i="1" s="1"/>
  <c r="C2312" i="1"/>
  <c r="A2313" i="1"/>
  <c r="B2313" i="1" s="1"/>
  <c r="C2313" i="1"/>
  <c r="A2314" i="1"/>
  <c r="B2314" i="1" s="1"/>
  <c r="C2314" i="1"/>
  <c r="A2315" i="1"/>
  <c r="B2315" i="1" s="1"/>
  <c r="C2315" i="1"/>
  <c r="A2316" i="1"/>
  <c r="B2316" i="1" s="1"/>
  <c r="C2316" i="1"/>
  <c r="A2317" i="1"/>
  <c r="B2317" i="1" s="1"/>
  <c r="C2317" i="1"/>
  <c r="A2318" i="1"/>
  <c r="B2318" i="1" s="1"/>
  <c r="C2318" i="1"/>
  <c r="A2319" i="1"/>
  <c r="B2319" i="1" s="1"/>
  <c r="C2319" i="1"/>
  <c r="A2320" i="1"/>
  <c r="B2320" i="1" s="1"/>
  <c r="C2320" i="1"/>
  <c r="A2321" i="1"/>
  <c r="B2321" i="1" s="1"/>
  <c r="C2321" i="1"/>
  <c r="A2322" i="1"/>
  <c r="B2322" i="1" s="1"/>
  <c r="C2322" i="1"/>
  <c r="A2323" i="1"/>
  <c r="B2323" i="1" s="1"/>
  <c r="C2323" i="1"/>
  <c r="A2324" i="1"/>
  <c r="B2324" i="1" s="1"/>
  <c r="C2324" i="1"/>
  <c r="A2325" i="1"/>
  <c r="B2325" i="1" s="1"/>
  <c r="C2325" i="1"/>
  <c r="A2326" i="1"/>
  <c r="B2326" i="1" s="1"/>
  <c r="C2326" i="1"/>
  <c r="A2327" i="1"/>
  <c r="B2327" i="1" s="1"/>
  <c r="C2327" i="1"/>
  <c r="A2328" i="1"/>
  <c r="B2328" i="1" s="1"/>
  <c r="C2328" i="1"/>
  <c r="A2329" i="1"/>
  <c r="B2329" i="1" s="1"/>
  <c r="C2329" i="1"/>
  <c r="A2330" i="1"/>
  <c r="B2330" i="1" s="1"/>
  <c r="C2330" i="1"/>
  <c r="A2331" i="1"/>
  <c r="B2331" i="1" s="1"/>
  <c r="C2331" i="1"/>
  <c r="A2332" i="1"/>
  <c r="B2332" i="1" s="1"/>
  <c r="C2332" i="1"/>
  <c r="A2333" i="1"/>
  <c r="B2333" i="1" s="1"/>
  <c r="C2333" i="1"/>
  <c r="A2334" i="1"/>
  <c r="B2334" i="1" s="1"/>
  <c r="C2334" i="1"/>
  <c r="A2335" i="1"/>
  <c r="B2335" i="1" s="1"/>
  <c r="C2335" i="1"/>
  <c r="A2336" i="1"/>
  <c r="B2336" i="1" s="1"/>
  <c r="C2336" i="1"/>
  <c r="A2337" i="1"/>
  <c r="B2337" i="1" s="1"/>
  <c r="C2337" i="1"/>
  <c r="A2338" i="1"/>
  <c r="B2338" i="1" s="1"/>
  <c r="C2338" i="1"/>
  <c r="A2339" i="1"/>
  <c r="B2339" i="1" s="1"/>
  <c r="C2339" i="1"/>
  <c r="A2340" i="1"/>
  <c r="B2340" i="1" s="1"/>
  <c r="C2340" i="1"/>
  <c r="A2341" i="1"/>
  <c r="B2341" i="1" s="1"/>
  <c r="C2341" i="1"/>
  <c r="A2342" i="1"/>
  <c r="B2342" i="1" s="1"/>
  <c r="C2342" i="1"/>
  <c r="A2343" i="1"/>
  <c r="B2343" i="1" s="1"/>
  <c r="C2343" i="1"/>
  <c r="A2344" i="1"/>
  <c r="B2344" i="1" s="1"/>
  <c r="C2344" i="1"/>
  <c r="A2345" i="1"/>
  <c r="B2345" i="1" s="1"/>
  <c r="C2345" i="1"/>
  <c r="A2346" i="1"/>
  <c r="B2346" i="1" s="1"/>
  <c r="C2346" i="1"/>
  <c r="A2347" i="1"/>
  <c r="B2347" i="1" s="1"/>
  <c r="C2347" i="1"/>
  <c r="A2348" i="1"/>
  <c r="B2348" i="1" s="1"/>
  <c r="C2348" i="1"/>
  <c r="A2349" i="1"/>
  <c r="B2349" i="1" s="1"/>
  <c r="C2349" i="1"/>
  <c r="A2350" i="1"/>
  <c r="B2350" i="1" s="1"/>
  <c r="C2350" i="1"/>
  <c r="A2351" i="1"/>
  <c r="C2351" i="1"/>
  <c r="A2352" i="1"/>
  <c r="B2352" i="1" s="1"/>
  <c r="C2352" i="1"/>
  <c r="A2353" i="1"/>
  <c r="B2353" i="1" s="1"/>
  <c r="C2353" i="1"/>
  <c r="A2354" i="1"/>
  <c r="B2354" i="1" s="1"/>
  <c r="C2354" i="1"/>
  <c r="A2355" i="1"/>
  <c r="B2355" i="1" s="1"/>
  <c r="C2355" i="1"/>
  <c r="A2356" i="1"/>
  <c r="B2356" i="1" s="1"/>
  <c r="C2356" i="1"/>
  <c r="A2357" i="1"/>
  <c r="B2357" i="1" s="1"/>
  <c r="C2357" i="1"/>
  <c r="A2358" i="1"/>
  <c r="B2358" i="1" s="1"/>
  <c r="C2358" i="1"/>
  <c r="A2359" i="1"/>
  <c r="B2359" i="1" s="1"/>
  <c r="C2359" i="1"/>
  <c r="A2360" i="1"/>
  <c r="B2360" i="1" s="1"/>
  <c r="C2360" i="1"/>
  <c r="A2361" i="1"/>
  <c r="B2361" i="1" s="1"/>
  <c r="C2361" i="1"/>
  <c r="A2362" i="1"/>
  <c r="B2362" i="1" s="1"/>
  <c r="C2362" i="1"/>
  <c r="A2363" i="1"/>
  <c r="B2363" i="1" s="1"/>
  <c r="C2363" i="1"/>
  <c r="A2364" i="1"/>
  <c r="B2364" i="1" s="1"/>
  <c r="C2364" i="1"/>
  <c r="A2365" i="1"/>
  <c r="B2365" i="1" s="1"/>
  <c r="C2365" i="1"/>
  <c r="A2366" i="1"/>
  <c r="B2366" i="1" s="1"/>
  <c r="C2366" i="1"/>
  <c r="A2367" i="1"/>
  <c r="B2367" i="1" s="1"/>
  <c r="C2367" i="1"/>
  <c r="A2368" i="1"/>
  <c r="B2368" i="1" s="1"/>
  <c r="C2368" i="1"/>
  <c r="A2369" i="1"/>
  <c r="B2369" i="1" s="1"/>
  <c r="C2369" i="1"/>
  <c r="A2370" i="1"/>
  <c r="B2370" i="1" s="1"/>
  <c r="C2370" i="1"/>
  <c r="A2371" i="1"/>
  <c r="B2371" i="1" s="1"/>
  <c r="C2371" i="1"/>
  <c r="A2372" i="1"/>
  <c r="B2372" i="1" s="1"/>
  <c r="C2372" i="1"/>
  <c r="A2373" i="1"/>
  <c r="B2373" i="1" s="1"/>
  <c r="C2373" i="1"/>
  <c r="A2374" i="1"/>
  <c r="B2374" i="1" s="1"/>
  <c r="C2374" i="1"/>
  <c r="A2375" i="1"/>
  <c r="B2375" i="1" s="1"/>
  <c r="C2375" i="1"/>
  <c r="A2376" i="1"/>
  <c r="B2376" i="1" s="1"/>
  <c r="C2376" i="1"/>
  <c r="A2377" i="1"/>
  <c r="B2377" i="1" s="1"/>
  <c r="C2377" i="1"/>
  <c r="A2378" i="1"/>
  <c r="B2378" i="1" s="1"/>
  <c r="C2378" i="1"/>
  <c r="A2379" i="1"/>
  <c r="B2379" i="1" s="1"/>
  <c r="C2379" i="1"/>
  <c r="A2380" i="1"/>
  <c r="B2380" i="1" s="1"/>
  <c r="C2380" i="1"/>
  <c r="A2381" i="1"/>
  <c r="B2381" i="1" s="1"/>
  <c r="C2381" i="1"/>
  <c r="A2382" i="1"/>
  <c r="B2382" i="1" s="1"/>
  <c r="C2382" i="1"/>
  <c r="A2383" i="1"/>
  <c r="B2383" i="1" s="1"/>
  <c r="C2383" i="1"/>
  <c r="A2384" i="1"/>
  <c r="C2384" i="1"/>
  <c r="A2385" i="1"/>
  <c r="B2385" i="1" s="1"/>
  <c r="C2385" i="1"/>
  <c r="A2386" i="1"/>
  <c r="B2386" i="1" s="1"/>
  <c r="C2386" i="1"/>
  <c r="A2387" i="1"/>
  <c r="B2387" i="1" s="1"/>
  <c r="C2387" i="1"/>
  <c r="A2388" i="1"/>
  <c r="B2388" i="1" s="1"/>
  <c r="C2388" i="1"/>
  <c r="A2389" i="1"/>
  <c r="B2389" i="1" s="1"/>
  <c r="C2389" i="1"/>
  <c r="A2390" i="1"/>
  <c r="B2390" i="1" s="1"/>
  <c r="C2390" i="1"/>
  <c r="A2391" i="1"/>
  <c r="B2391" i="1" s="1"/>
  <c r="C2391" i="1"/>
  <c r="A2392" i="1"/>
  <c r="B2392" i="1" s="1"/>
  <c r="C2392" i="1"/>
  <c r="A2393" i="1"/>
  <c r="B2393" i="1" s="1"/>
  <c r="C2393" i="1"/>
  <c r="A2394" i="1"/>
  <c r="B2394" i="1" s="1"/>
  <c r="C2394" i="1"/>
  <c r="A2395" i="1"/>
  <c r="B2395" i="1" s="1"/>
  <c r="C2395" i="1"/>
  <c r="A2396" i="1"/>
  <c r="C2396" i="1"/>
  <c r="A2397" i="1"/>
  <c r="B2397" i="1" s="1"/>
  <c r="C2397" i="1"/>
  <c r="A2398" i="1"/>
  <c r="B2398" i="1" s="1"/>
  <c r="C2398" i="1"/>
  <c r="A2399" i="1"/>
  <c r="B2399" i="1" s="1"/>
  <c r="C2399" i="1"/>
  <c r="A2400" i="1"/>
  <c r="B2400" i="1" s="1"/>
  <c r="C2400" i="1"/>
  <c r="A2401" i="1"/>
  <c r="B2401" i="1" s="1"/>
  <c r="C2401" i="1"/>
  <c r="A2402" i="1"/>
  <c r="B2402" i="1" s="1"/>
  <c r="C2402" i="1"/>
  <c r="A2403" i="1"/>
  <c r="B2403" i="1" s="1"/>
  <c r="C2403" i="1"/>
  <c r="A2404" i="1"/>
  <c r="B2404" i="1" s="1"/>
  <c r="C2404" i="1"/>
  <c r="A2405" i="1"/>
  <c r="B2405" i="1" s="1"/>
  <c r="C2405" i="1"/>
  <c r="A2406" i="1"/>
  <c r="B2406" i="1" s="1"/>
  <c r="C2406" i="1"/>
  <c r="A2407" i="1"/>
  <c r="B2407" i="1" s="1"/>
  <c r="C2407" i="1"/>
  <c r="A2408" i="1"/>
  <c r="C2408" i="1"/>
  <c r="A2409" i="1"/>
  <c r="B2409" i="1" s="1"/>
  <c r="C2409" i="1"/>
  <c r="A2410" i="1"/>
  <c r="B2410" i="1" s="1"/>
  <c r="C2410" i="1"/>
  <c r="A2411" i="1"/>
  <c r="C2411" i="1"/>
  <c r="A2412" i="1"/>
  <c r="B2412" i="1" s="1"/>
  <c r="C2412" i="1"/>
  <c r="A2413" i="1"/>
  <c r="B2413" i="1" s="1"/>
  <c r="C2413" i="1"/>
  <c r="A2414" i="1"/>
  <c r="B2414" i="1" s="1"/>
  <c r="C2414" i="1"/>
  <c r="A2415" i="1"/>
  <c r="B2415" i="1" s="1"/>
  <c r="C2415" i="1"/>
  <c r="A2416" i="1"/>
  <c r="B2416" i="1" s="1"/>
  <c r="C2416" i="1"/>
  <c r="A2417" i="1"/>
  <c r="B2417" i="1" s="1"/>
  <c r="C2417" i="1"/>
  <c r="A2418" i="1"/>
  <c r="B2418" i="1" s="1"/>
  <c r="C2418" i="1"/>
  <c r="A2419" i="1"/>
  <c r="B2419" i="1" s="1"/>
  <c r="C2419" i="1"/>
  <c r="A2420" i="1"/>
  <c r="B2420" i="1" s="1"/>
  <c r="C2420" i="1"/>
  <c r="A2421" i="1"/>
  <c r="B2421" i="1" s="1"/>
  <c r="C2421" i="1"/>
  <c r="A2422" i="1"/>
  <c r="B2422" i="1" s="1"/>
  <c r="C2422" i="1"/>
  <c r="A2423" i="1"/>
  <c r="B2423" i="1" s="1"/>
  <c r="C2423" i="1"/>
  <c r="A2424" i="1"/>
  <c r="B2424" i="1" s="1"/>
  <c r="C2424" i="1"/>
  <c r="A2425" i="1"/>
  <c r="B2425" i="1" s="1"/>
  <c r="C2425" i="1"/>
  <c r="A2426" i="1"/>
  <c r="B2426" i="1" s="1"/>
  <c r="C2426" i="1"/>
  <c r="A2427" i="1"/>
  <c r="B2427" i="1" s="1"/>
  <c r="C2427" i="1"/>
  <c r="A2428" i="1"/>
  <c r="B2428" i="1" s="1"/>
  <c r="C2428" i="1"/>
  <c r="A2429" i="1"/>
  <c r="B2429" i="1" s="1"/>
  <c r="C2429" i="1"/>
  <c r="A2430" i="1"/>
  <c r="B2430" i="1" s="1"/>
  <c r="C2430" i="1"/>
  <c r="A2431" i="1"/>
  <c r="B2431" i="1" s="1"/>
  <c r="C2431" i="1"/>
  <c r="A2432" i="1"/>
  <c r="B2432" i="1" s="1"/>
  <c r="C2432" i="1"/>
  <c r="A2433" i="1"/>
  <c r="B2433" i="1" s="1"/>
  <c r="C2433" i="1"/>
  <c r="A2434" i="1"/>
  <c r="B2434" i="1" s="1"/>
  <c r="C2434" i="1"/>
  <c r="A2435" i="1"/>
  <c r="B2435" i="1" s="1"/>
  <c r="C2435" i="1"/>
  <c r="A2436" i="1"/>
  <c r="B2436" i="1" s="1"/>
  <c r="C2436" i="1"/>
  <c r="A2437" i="1"/>
  <c r="B2437" i="1" s="1"/>
  <c r="C2437" i="1"/>
  <c r="A2438" i="1"/>
  <c r="B2438" i="1" s="1"/>
  <c r="C2438" i="1"/>
  <c r="A2439" i="1"/>
  <c r="B2439" i="1" s="1"/>
  <c r="C2439" i="1"/>
  <c r="A2440" i="1"/>
  <c r="B2440" i="1" s="1"/>
  <c r="C2440" i="1"/>
  <c r="A2441" i="1"/>
  <c r="B2441" i="1" s="1"/>
  <c r="C2441" i="1"/>
  <c r="A2442" i="1"/>
  <c r="B2442" i="1" s="1"/>
  <c r="C2442" i="1"/>
  <c r="A2443" i="1"/>
  <c r="B2443" i="1" s="1"/>
  <c r="C2443" i="1"/>
  <c r="A2444" i="1"/>
  <c r="B2444" i="1" s="1"/>
  <c r="C2444" i="1"/>
  <c r="A2445" i="1"/>
  <c r="B2445" i="1" s="1"/>
  <c r="C2445" i="1"/>
  <c r="A2446" i="1"/>
  <c r="B2446" i="1" s="1"/>
  <c r="C2446" i="1"/>
  <c r="A2447" i="1"/>
  <c r="B2447" i="1" s="1"/>
  <c r="C2447" i="1"/>
  <c r="A2448" i="1"/>
  <c r="B2448" i="1" s="1"/>
  <c r="C2448" i="1"/>
  <c r="A2449" i="1"/>
  <c r="B2449" i="1" s="1"/>
  <c r="C2449" i="1"/>
  <c r="A2450" i="1"/>
  <c r="B2450" i="1" s="1"/>
  <c r="C2450" i="1"/>
  <c r="A2451" i="1"/>
  <c r="B2451" i="1" s="1"/>
  <c r="C2451" i="1"/>
  <c r="A2452" i="1"/>
  <c r="B2452" i="1" s="1"/>
  <c r="C2452" i="1"/>
  <c r="A2453" i="1"/>
  <c r="B2453" i="1" s="1"/>
  <c r="C2453" i="1"/>
  <c r="A2454" i="1"/>
  <c r="B2454" i="1" s="1"/>
  <c r="C2454" i="1"/>
  <c r="A2455" i="1"/>
  <c r="B2455" i="1" s="1"/>
  <c r="C2455" i="1"/>
  <c r="A2456" i="1"/>
  <c r="B2456" i="1" s="1"/>
  <c r="C2456" i="1"/>
  <c r="A2457" i="1"/>
  <c r="B2457" i="1" s="1"/>
  <c r="C2457" i="1"/>
  <c r="A2458" i="1"/>
  <c r="B2458" i="1" s="1"/>
  <c r="C2458" i="1"/>
  <c r="A2459" i="1"/>
  <c r="B2459" i="1" s="1"/>
  <c r="C2459" i="1"/>
  <c r="A2460" i="1"/>
  <c r="B2460" i="1" s="1"/>
  <c r="C2460" i="1"/>
  <c r="A2461" i="1"/>
  <c r="B2461" i="1" s="1"/>
  <c r="C2461" i="1"/>
  <c r="A2462" i="1"/>
  <c r="B2462" i="1" s="1"/>
  <c r="C2462" i="1"/>
  <c r="A2463" i="1"/>
  <c r="B2463" i="1" s="1"/>
  <c r="C2463" i="1"/>
  <c r="A2464" i="1"/>
  <c r="B2464" i="1" s="1"/>
  <c r="C2464" i="1"/>
  <c r="A2465" i="1"/>
  <c r="B2465" i="1" s="1"/>
  <c r="C2465" i="1"/>
  <c r="A2466" i="1"/>
  <c r="B2466" i="1" s="1"/>
  <c r="C2466" i="1"/>
  <c r="A2467" i="1"/>
  <c r="B2467" i="1" s="1"/>
  <c r="C2467" i="1"/>
  <c r="A2468" i="1"/>
  <c r="B2468" i="1" s="1"/>
  <c r="C2468" i="1"/>
  <c r="A2469" i="1"/>
  <c r="B2469" i="1" s="1"/>
  <c r="C2469" i="1"/>
  <c r="A2470" i="1"/>
  <c r="B2470" i="1" s="1"/>
  <c r="C2470" i="1"/>
  <c r="A2471" i="1"/>
  <c r="B2471" i="1" s="1"/>
  <c r="C2471" i="1"/>
  <c r="A2472" i="1"/>
  <c r="B2472" i="1" s="1"/>
  <c r="C2472" i="1"/>
  <c r="A2473" i="1"/>
  <c r="B2473" i="1" s="1"/>
  <c r="C2473" i="1"/>
  <c r="A2474" i="1"/>
  <c r="B2474" i="1" s="1"/>
  <c r="C2474" i="1"/>
  <c r="A2475" i="1"/>
  <c r="B2475" i="1" s="1"/>
  <c r="C2475" i="1"/>
  <c r="A2476" i="1"/>
  <c r="B2476" i="1" s="1"/>
  <c r="C2476" i="1"/>
  <c r="A2477" i="1"/>
  <c r="B2477" i="1" s="1"/>
  <c r="C2477" i="1"/>
  <c r="A2478" i="1"/>
  <c r="B2478" i="1" s="1"/>
  <c r="C2478" i="1"/>
  <c r="A2479" i="1"/>
  <c r="B2479" i="1" s="1"/>
  <c r="C2479" i="1"/>
  <c r="A2480" i="1"/>
  <c r="B2480" i="1" s="1"/>
  <c r="C2480" i="1"/>
  <c r="A2481" i="1"/>
  <c r="B2481" i="1" s="1"/>
  <c r="C2481" i="1"/>
  <c r="A2482" i="1"/>
  <c r="B2482" i="1" s="1"/>
  <c r="C2482" i="1"/>
  <c r="A2483" i="1"/>
  <c r="B2483" i="1" s="1"/>
  <c r="C2483" i="1"/>
  <c r="A2484" i="1"/>
  <c r="B2484" i="1" s="1"/>
  <c r="C2484" i="1"/>
  <c r="A2485" i="1"/>
  <c r="B2485" i="1" s="1"/>
  <c r="C2485" i="1"/>
  <c r="A2486" i="1"/>
  <c r="B2486" i="1" s="1"/>
  <c r="C2486" i="1"/>
  <c r="A2487" i="1"/>
  <c r="B2487" i="1" s="1"/>
  <c r="C2487" i="1"/>
  <c r="A2488" i="1"/>
  <c r="B2488" i="1" s="1"/>
  <c r="C2488" i="1"/>
  <c r="A2489" i="1"/>
  <c r="B2489" i="1" s="1"/>
  <c r="C2489" i="1"/>
  <c r="A2490" i="1"/>
  <c r="B2490" i="1" s="1"/>
  <c r="C2490" i="1"/>
  <c r="A2491" i="1"/>
  <c r="B2491" i="1" s="1"/>
  <c r="C2491" i="1"/>
  <c r="A2492" i="1"/>
  <c r="B2492" i="1" s="1"/>
  <c r="C2492" i="1"/>
  <c r="A2493" i="1"/>
  <c r="B2493" i="1" s="1"/>
  <c r="C2493" i="1"/>
  <c r="A2494" i="1"/>
  <c r="B2494" i="1" s="1"/>
  <c r="C2494" i="1"/>
  <c r="A2495" i="1"/>
  <c r="B2495" i="1" s="1"/>
  <c r="C2495" i="1"/>
  <c r="A2496" i="1"/>
  <c r="B2496" i="1" s="1"/>
  <c r="C2496" i="1"/>
  <c r="A2497" i="1"/>
  <c r="B2497" i="1" s="1"/>
  <c r="C2497" i="1"/>
  <c r="A2498" i="1"/>
  <c r="B2498" i="1" s="1"/>
  <c r="C2498" i="1"/>
  <c r="A2499" i="1"/>
  <c r="B2499" i="1" s="1"/>
  <c r="C2499" i="1"/>
  <c r="A2500" i="1"/>
  <c r="B2500" i="1" s="1"/>
  <c r="C2500" i="1"/>
  <c r="A2501" i="1"/>
  <c r="B2501" i="1" s="1"/>
  <c r="C2501" i="1"/>
  <c r="A2502" i="1"/>
  <c r="B2502" i="1" s="1"/>
  <c r="C2502" i="1"/>
  <c r="A2503" i="1"/>
  <c r="B2503" i="1" s="1"/>
  <c r="C2503" i="1"/>
  <c r="A2504" i="1"/>
  <c r="B2504" i="1" s="1"/>
  <c r="C2504" i="1"/>
  <c r="A2505" i="1"/>
  <c r="B2505" i="1" s="1"/>
  <c r="C2505" i="1"/>
  <c r="A2506" i="1"/>
  <c r="B2506" i="1" s="1"/>
  <c r="C2506" i="1"/>
  <c r="A2507" i="1"/>
  <c r="C2507" i="1"/>
  <c r="A2508" i="1"/>
  <c r="B2508" i="1" s="1"/>
  <c r="C2508" i="1"/>
  <c r="A2509" i="1"/>
  <c r="B2509" i="1" s="1"/>
  <c r="C2509" i="1"/>
  <c r="A2510" i="1"/>
  <c r="B2510" i="1" s="1"/>
  <c r="C2510" i="1"/>
  <c r="A2511" i="1"/>
  <c r="B2511" i="1" s="1"/>
  <c r="C2511" i="1"/>
  <c r="A2512" i="1"/>
  <c r="B2512" i="1" s="1"/>
  <c r="C2512" i="1"/>
  <c r="A2513" i="1"/>
  <c r="B2513" i="1" s="1"/>
  <c r="C2513" i="1"/>
  <c r="A2514" i="1"/>
  <c r="B2514" i="1" s="1"/>
  <c r="C2514" i="1"/>
  <c r="A2515" i="1"/>
  <c r="B2515" i="1" s="1"/>
  <c r="C2515" i="1"/>
  <c r="A2516" i="1"/>
  <c r="B2516" i="1" s="1"/>
  <c r="C2516" i="1"/>
  <c r="A2517" i="1"/>
  <c r="B2517" i="1" s="1"/>
  <c r="C2517" i="1"/>
  <c r="A2518" i="1"/>
  <c r="B2518" i="1" s="1"/>
  <c r="C2518" i="1"/>
  <c r="A2519" i="1"/>
  <c r="B2519" i="1" s="1"/>
  <c r="C2519" i="1"/>
  <c r="A2520" i="1"/>
  <c r="B2520" i="1" s="1"/>
  <c r="C2520" i="1"/>
  <c r="A2521" i="1"/>
  <c r="B2521" i="1" s="1"/>
  <c r="C2521" i="1"/>
  <c r="A2522" i="1"/>
  <c r="B2522" i="1" s="1"/>
  <c r="C2522" i="1"/>
  <c r="A2523" i="1"/>
  <c r="B2523" i="1" s="1"/>
  <c r="C2523" i="1"/>
  <c r="A2524" i="1"/>
  <c r="B2524" i="1" s="1"/>
  <c r="C2524" i="1"/>
  <c r="A2525" i="1"/>
  <c r="B2525" i="1" s="1"/>
  <c r="C2525" i="1"/>
  <c r="A2526" i="1"/>
  <c r="B2526" i="1" s="1"/>
  <c r="C2526" i="1"/>
  <c r="A2527" i="1"/>
  <c r="B2527" i="1" s="1"/>
  <c r="C2527" i="1"/>
  <c r="A2528" i="1"/>
  <c r="B2528" i="1" s="1"/>
  <c r="C2528" i="1"/>
  <c r="A2529" i="1"/>
  <c r="B2529" i="1" s="1"/>
  <c r="C2529" i="1"/>
  <c r="A2530" i="1"/>
  <c r="B2530" i="1" s="1"/>
  <c r="C2530" i="1"/>
  <c r="A2531" i="1"/>
  <c r="B2531" i="1" s="1"/>
  <c r="C2531" i="1"/>
  <c r="A2532" i="1"/>
  <c r="B2532" i="1" s="1"/>
  <c r="C2532" i="1"/>
  <c r="A2533" i="1"/>
  <c r="B2533" i="1" s="1"/>
  <c r="C2533" i="1"/>
  <c r="A2534" i="1"/>
  <c r="B2534" i="1" s="1"/>
  <c r="C2534" i="1"/>
  <c r="A2535" i="1"/>
  <c r="B2535" i="1" s="1"/>
  <c r="C2535" i="1"/>
  <c r="A2536" i="1"/>
  <c r="B2536" i="1" s="1"/>
  <c r="C2536" i="1"/>
  <c r="A2537" i="1"/>
  <c r="B2537" i="1" s="1"/>
  <c r="C2537" i="1"/>
  <c r="A2538" i="1"/>
  <c r="B2538" i="1" s="1"/>
  <c r="C2538" i="1"/>
  <c r="A2539" i="1"/>
  <c r="B2539" i="1" s="1"/>
  <c r="C2539" i="1"/>
  <c r="A2540" i="1"/>
  <c r="C2540" i="1"/>
  <c r="A2541" i="1"/>
  <c r="B2541" i="1" s="1"/>
  <c r="C2541" i="1"/>
  <c r="A2542" i="1"/>
  <c r="B2542" i="1" s="1"/>
  <c r="C2542" i="1"/>
  <c r="A2543" i="1"/>
  <c r="C2543" i="1"/>
  <c r="A2544" i="1"/>
  <c r="B2544" i="1" s="1"/>
  <c r="C2544" i="1"/>
  <c r="A2545" i="1"/>
  <c r="B2545" i="1" s="1"/>
  <c r="C2545" i="1"/>
  <c r="A2546" i="1"/>
  <c r="B2546" i="1" s="1"/>
  <c r="C2546" i="1"/>
  <c r="A2547" i="1"/>
  <c r="B2547" i="1" s="1"/>
  <c r="C2547" i="1"/>
  <c r="A2548" i="1"/>
  <c r="B2548" i="1" s="1"/>
  <c r="C2548" i="1"/>
  <c r="A2549" i="1"/>
  <c r="B2549" i="1" s="1"/>
  <c r="C2549" i="1"/>
  <c r="A2550" i="1"/>
  <c r="B2550" i="1" s="1"/>
  <c r="C2550" i="1"/>
  <c r="A2551" i="1"/>
  <c r="B2551" i="1" s="1"/>
  <c r="C2551" i="1"/>
  <c r="A2552" i="1"/>
  <c r="B2552" i="1" s="1"/>
  <c r="C2552" i="1"/>
  <c r="A2553" i="1"/>
  <c r="B2553" i="1" s="1"/>
  <c r="C2553" i="1"/>
  <c r="A2554" i="1"/>
  <c r="B2554" i="1" s="1"/>
  <c r="C2554" i="1"/>
  <c r="A2555" i="1"/>
  <c r="B2555" i="1" s="1"/>
  <c r="C2555" i="1"/>
  <c r="A2556" i="1"/>
  <c r="C2556" i="1"/>
  <c r="A2557" i="1"/>
  <c r="B2557" i="1" s="1"/>
  <c r="C2557" i="1"/>
  <c r="A2558" i="1"/>
  <c r="B2558" i="1" s="1"/>
  <c r="C2558" i="1"/>
  <c r="A2559" i="1"/>
  <c r="B2559" i="1" s="1"/>
  <c r="C2559" i="1"/>
  <c r="A2560" i="1"/>
  <c r="B2560" i="1" s="1"/>
  <c r="C2560" i="1"/>
  <c r="A2561" i="1"/>
  <c r="B2561" i="1" s="1"/>
  <c r="C2561" i="1"/>
  <c r="A2562" i="1"/>
  <c r="B2562" i="1" s="1"/>
  <c r="C2562" i="1"/>
  <c r="A2563" i="1"/>
  <c r="B2563" i="1" s="1"/>
  <c r="C2563" i="1"/>
  <c r="A2564" i="1"/>
  <c r="C2564" i="1"/>
  <c r="A2565" i="1"/>
  <c r="B2565" i="1" s="1"/>
  <c r="C2565" i="1"/>
  <c r="A2566" i="1"/>
  <c r="B2566" i="1" s="1"/>
  <c r="C2566" i="1"/>
  <c r="A2567" i="1"/>
  <c r="C2567" i="1"/>
  <c r="A2568" i="1"/>
  <c r="B2568" i="1" s="1"/>
  <c r="C2568" i="1"/>
  <c r="A2569" i="1"/>
  <c r="B2569" i="1" s="1"/>
  <c r="C2569" i="1"/>
  <c r="A2570" i="1"/>
  <c r="B2570" i="1" s="1"/>
  <c r="C2570" i="1"/>
  <c r="A2571" i="1"/>
  <c r="B2571" i="1" s="1"/>
  <c r="C2571" i="1"/>
  <c r="A2572" i="1"/>
  <c r="B2572" i="1" s="1"/>
  <c r="C2572" i="1"/>
  <c r="A2573" i="1"/>
  <c r="B2573" i="1" s="1"/>
  <c r="C2573" i="1"/>
  <c r="A2574" i="1"/>
  <c r="B2574" i="1" s="1"/>
  <c r="C2574" i="1"/>
  <c r="A2575" i="1"/>
  <c r="B2575" i="1" s="1"/>
  <c r="C2575" i="1"/>
  <c r="A2576" i="1"/>
  <c r="B2576" i="1" s="1"/>
  <c r="C2576" i="1"/>
  <c r="A2577" i="1"/>
  <c r="B2577" i="1" s="1"/>
  <c r="C2577" i="1"/>
  <c r="A2578" i="1"/>
  <c r="B2578" i="1" s="1"/>
  <c r="C2578" i="1"/>
  <c r="A2579" i="1"/>
  <c r="B2579" i="1" s="1"/>
  <c r="C2579" i="1"/>
  <c r="A2580" i="1"/>
  <c r="C2580" i="1"/>
  <c r="A2581" i="1"/>
  <c r="C2581" i="1"/>
  <c r="A2582" i="1"/>
  <c r="B2582" i="1" s="1"/>
  <c r="C2582" i="1"/>
  <c r="A2583" i="1"/>
  <c r="B2583" i="1" s="1"/>
  <c r="C2583" i="1"/>
  <c r="A2584" i="1"/>
  <c r="B2584" i="1" s="1"/>
  <c r="C2584" i="1"/>
  <c r="A2585" i="1"/>
  <c r="B2585" i="1" s="1"/>
  <c r="C2585" i="1"/>
  <c r="A2586" i="1"/>
  <c r="B2586" i="1" s="1"/>
  <c r="C2586" i="1"/>
  <c r="A2587" i="1"/>
  <c r="B2587" i="1" s="1"/>
  <c r="C2587" i="1"/>
  <c r="A2588" i="1"/>
  <c r="B2588" i="1" s="1"/>
  <c r="C2588" i="1"/>
  <c r="A2589" i="1"/>
  <c r="B2589" i="1" s="1"/>
  <c r="C2589" i="1"/>
  <c r="A2590" i="1"/>
  <c r="B2590" i="1" s="1"/>
  <c r="C2590" i="1"/>
  <c r="A2591" i="1"/>
  <c r="B2591" i="1" s="1"/>
  <c r="C2591" i="1"/>
  <c r="A2592" i="1"/>
  <c r="B2592" i="1" s="1"/>
  <c r="C2592" i="1"/>
  <c r="A2593" i="1"/>
  <c r="B2593" i="1" s="1"/>
  <c r="C2593" i="1"/>
  <c r="A2594" i="1"/>
  <c r="B2594" i="1" s="1"/>
  <c r="C2594" i="1"/>
  <c r="A2595" i="1"/>
  <c r="B2595" i="1" s="1"/>
  <c r="C2595" i="1"/>
  <c r="A2596" i="1"/>
  <c r="B2596" i="1" s="1"/>
  <c r="C2596" i="1"/>
  <c r="A2597" i="1"/>
  <c r="B2597" i="1" s="1"/>
  <c r="C2597" i="1"/>
  <c r="A2598" i="1"/>
  <c r="B2598" i="1" s="1"/>
  <c r="C2598" i="1"/>
  <c r="A2599" i="1"/>
  <c r="B2599" i="1" s="1"/>
  <c r="C2599" i="1"/>
  <c r="A2600" i="1"/>
  <c r="B2600" i="1" s="1"/>
  <c r="C2600" i="1"/>
  <c r="A2601" i="1"/>
  <c r="B2601" i="1" s="1"/>
  <c r="C2601" i="1"/>
  <c r="A2602" i="1"/>
  <c r="B2602" i="1" s="1"/>
  <c r="C2602" i="1"/>
  <c r="A2603" i="1"/>
  <c r="B2603" i="1" s="1"/>
  <c r="C2603" i="1"/>
  <c r="A2604" i="1"/>
  <c r="B2604" i="1" s="1"/>
  <c r="C2604" i="1"/>
  <c r="A2605" i="1"/>
  <c r="B2605" i="1" s="1"/>
  <c r="C2605" i="1"/>
  <c r="A2606" i="1"/>
  <c r="B2606" i="1" s="1"/>
  <c r="C2606" i="1"/>
  <c r="A2607" i="1"/>
  <c r="B2607" i="1" s="1"/>
  <c r="C2607" i="1"/>
  <c r="A2608" i="1"/>
  <c r="B2608" i="1" s="1"/>
  <c r="C2608" i="1"/>
  <c r="A2609" i="1"/>
  <c r="B2609" i="1" s="1"/>
  <c r="C2609" i="1"/>
  <c r="A2610" i="1"/>
  <c r="B2610" i="1" s="1"/>
  <c r="C2610" i="1"/>
  <c r="A2611" i="1"/>
  <c r="B2611" i="1" s="1"/>
  <c r="C2611" i="1"/>
  <c r="A2612" i="1"/>
  <c r="B2612" i="1" s="1"/>
  <c r="C2612" i="1"/>
  <c r="A2613" i="1"/>
  <c r="B2613" i="1" s="1"/>
  <c r="C2613" i="1"/>
  <c r="A2614" i="1"/>
  <c r="B2614" i="1" s="1"/>
  <c r="C2614" i="1"/>
  <c r="A2615" i="1"/>
  <c r="B2615" i="1" s="1"/>
  <c r="C2615" i="1"/>
  <c r="A2616" i="1"/>
  <c r="B2616" i="1" s="1"/>
  <c r="C2616" i="1"/>
  <c r="A2617" i="1"/>
  <c r="B2617" i="1" s="1"/>
  <c r="C2617" i="1"/>
  <c r="A2618" i="1"/>
  <c r="B2618" i="1" s="1"/>
  <c r="C2618" i="1"/>
  <c r="A2619" i="1"/>
  <c r="B2619" i="1" s="1"/>
  <c r="C2619" i="1"/>
  <c r="A2620" i="1"/>
  <c r="B2620" i="1" s="1"/>
  <c r="C2620" i="1"/>
  <c r="A2621" i="1"/>
  <c r="B2621" i="1" s="1"/>
  <c r="C2621" i="1"/>
  <c r="A2622" i="1"/>
  <c r="B2622" i="1" s="1"/>
  <c r="C2622" i="1"/>
  <c r="A2623" i="1"/>
  <c r="B2623" i="1" s="1"/>
  <c r="C2623" i="1"/>
  <c r="A2624" i="1"/>
  <c r="B2624" i="1" s="1"/>
  <c r="C2624" i="1"/>
  <c r="A2625" i="1"/>
  <c r="B2625" i="1" s="1"/>
  <c r="C2625" i="1"/>
  <c r="A2626" i="1"/>
  <c r="B2626" i="1" s="1"/>
  <c r="C2626" i="1"/>
  <c r="A2627" i="1"/>
  <c r="B2627" i="1" s="1"/>
  <c r="C2627" i="1"/>
  <c r="A2628" i="1"/>
  <c r="B2628" i="1" s="1"/>
  <c r="C2628" i="1"/>
  <c r="A2629" i="1"/>
  <c r="B2629" i="1" s="1"/>
  <c r="C2629" i="1"/>
  <c r="A2630" i="1"/>
  <c r="B2630" i="1" s="1"/>
  <c r="C2630" i="1"/>
  <c r="A2631" i="1"/>
  <c r="B2631" i="1" s="1"/>
  <c r="C2631" i="1"/>
  <c r="A2632" i="1"/>
  <c r="B2632" i="1" s="1"/>
  <c r="C2632" i="1"/>
  <c r="A2633" i="1"/>
  <c r="B2633" i="1" s="1"/>
  <c r="C2633" i="1"/>
  <c r="A2634" i="1"/>
  <c r="B2634" i="1" s="1"/>
  <c r="C2634" i="1"/>
  <c r="A2635" i="1"/>
  <c r="B2635" i="1" s="1"/>
  <c r="C2635" i="1"/>
  <c r="A2636" i="1"/>
  <c r="B2636" i="1" s="1"/>
  <c r="C2636" i="1"/>
  <c r="A2637" i="1"/>
  <c r="B2637" i="1" s="1"/>
  <c r="C2637" i="1"/>
  <c r="A2638" i="1"/>
  <c r="B2638" i="1" s="1"/>
  <c r="C2638" i="1"/>
  <c r="A2639" i="1"/>
  <c r="B2639" i="1" s="1"/>
  <c r="C2639" i="1"/>
  <c r="A2640" i="1"/>
  <c r="B2640" i="1" s="1"/>
  <c r="C2640" i="1"/>
  <c r="A2641" i="1"/>
  <c r="B2641" i="1" s="1"/>
  <c r="C2641" i="1"/>
  <c r="A2642" i="1"/>
  <c r="B2642" i="1" s="1"/>
  <c r="C2642" i="1"/>
  <c r="A2643" i="1"/>
  <c r="B2643" i="1" s="1"/>
  <c r="C2643" i="1"/>
  <c r="A2644" i="1"/>
  <c r="B2644" i="1" s="1"/>
  <c r="C2644" i="1"/>
  <c r="A2645" i="1"/>
  <c r="B2645" i="1" s="1"/>
  <c r="C2645" i="1"/>
  <c r="A2646" i="1"/>
  <c r="B2646" i="1" s="1"/>
  <c r="C2646" i="1"/>
  <c r="A2647" i="1"/>
  <c r="B2647" i="1" s="1"/>
  <c r="C2647" i="1"/>
  <c r="A2648" i="1"/>
  <c r="B2648" i="1" s="1"/>
  <c r="C2648" i="1"/>
  <c r="A2649" i="1"/>
  <c r="B2649" i="1" s="1"/>
  <c r="C2649" i="1"/>
  <c r="A2650" i="1"/>
  <c r="B2650" i="1" s="1"/>
  <c r="C2650" i="1"/>
  <c r="A2651" i="1"/>
  <c r="B2651" i="1" s="1"/>
  <c r="C2651" i="1"/>
  <c r="A2652" i="1"/>
  <c r="B2652" i="1" s="1"/>
  <c r="C2652" i="1"/>
  <c r="A2653" i="1"/>
  <c r="B2653" i="1" s="1"/>
  <c r="C2653" i="1"/>
  <c r="A2654" i="1"/>
  <c r="B2654" i="1" s="1"/>
  <c r="C2654" i="1"/>
  <c r="A2655" i="1"/>
  <c r="B2655" i="1" s="1"/>
  <c r="C2655" i="1"/>
  <c r="A2656" i="1"/>
  <c r="B2656" i="1" s="1"/>
  <c r="C2656" i="1"/>
  <c r="A2657" i="1"/>
  <c r="B2657" i="1" s="1"/>
  <c r="C2657" i="1"/>
  <c r="A2658" i="1"/>
  <c r="B2658" i="1" s="1"/>
  <c r="C2658" i="1"/>
  <c r="A2659" i="1"/>
  <c r="B2659" i="1" s="1"/>
  <c r="C2659" i="1"/>
  <c r="A2660" i="1"/>
  <c r="B2660" i="1" s="1"/>
  <c r="C2660" i="1"/>
  <c r="A2661" i="1"/>
  <c r="B2661" i="1" s="1"/>
  <c r="C2661" i="1"/>
  <c r="A2662" i="1"/>
  <c r="B2662" i="1" s="1"/>
  <c r="C2662" i="1"/>
  <c r="A2663" i="1"/>
  <c r="B2663" i="1" s="1"/>
  <c r="C2663" i="1"/>
  <c r="A2664" i="1"/>
  <c r="B2664" i="1" s="1"/>
  <c r="C2664" i="1"/>
  <c r="A2665" i="1"/>
  <c r="B2665" i="1" s="1"/>
  <c r="C2665" i="1"/>
  <c r="A2666" i="1"/>
  <c r="B2666" i="1" s="1"/>
  <c r="C2666" i="1"/>
  <c r="A2667" i="1"/>
  <c r="B2667" i="1" s="1"/>
  <c r="C2667" i="1"/>
  <c r="A2668" i="1"/>
  <c r="B2668" i="1" s="1"/>
  <c r="C2668" i="1"/>
  <c r="A2669" i="1"/>
  <c r="B2669" i="1" s="1"/>
  <c r="C2669" i="1"/>
  <c r="A2670" i="1"/>
  <c r="B2670" i="1" s="1"/>
  <c r="C2670" i="1"/>
  <c r="A2671" i="1"/>
  <c r="B2671" i="1" s="1"/>
  <c r="C2671" i="1"/>
  <c r="A2672" i="1"/>
  <c r="B2672" i="1" s="1"/>
  <c r="C2672" i="1"/>
  <c r="A2673" i="1"/>
  <c r="B2673" i="1" s="1"/>
  <c r="C2673" i="1"/>
  <c r="A2674" i="1"/>
  <c r="B2674" i="1" s="1"/>
  <c r="C2674" i="1"/>
  <c r="A2675" i="1"/>
  <c r="B2675" i="1" s="1"/>
  <c r="C2675" i="1"/>
  <c r="A2676" i="1"/>
  <c r="B2676" i="1" s="1"/>
  <c r="C2676" i="1"/>
  <c r="A2677" i="1"/>
  <c r="B2677" i="1" s="1"/>
  <c r="C2677" i="1"/>
  <c r="A2678" i="1"/>
  <c r="B2678" i="1" s="1"/>
  <c r="C2678" i="1"/>
  <c r="A2679" i="1"/>
  <c r="B2679" i="1" s="1"/>
  <c r="C2679" i="1"/>
  <c r="A2680" i="1"/>
  <c r="B2680" i="1" s="1"/>
  <c r="C2680" i="1"/>
  <c r="A2681" i="1"/>
  <c r="B2681" i="1" s="1"/>
  <c r="C2681" i="1"/>
  <c r="A2682" i="1"/>
  <c r="B2682" i="1" s="1"/>
  <c r="C2682" i="1"/>
  <c r="A2683" i="1"/>
  <c r="B2683" i="1" s="1"/>
  <c r="C2683" i="1"/>
  <c r="A2684" i="1"/>
  <c r="B2684" i="1" s="1"/>
  <c r="C2684" i="1"/>
  <c r="A2685" i="1"/>
  <c r="B2685" i="1" s="1"/>
  <c r="C2685" i="1"/>
  <c r="A2686" i="1"/>
  <c r="B2686" i="1" s="1"/>
  <c r="C2686" i="1"/>
  <c r="A2687" i="1"/>
  <c r="B2687" i="1" s="1"/>
  <c r="C2687" i="1"/>
  <c r="A2688" i="1"/>
  <c r="B2688" i="1" s="1"/>
  <c r="C2688" i="1"/>
  <c r="A2689" i="1"/>
  <c r="B2689" i="1" s="1"/>
  <c r="C2689" i="1"/>
  <c r="A2690" i="1"/>
  <c r="B2690" i="1" s="1"/>
  <c r="C2690" i="1"/>
  <c r="A2691" i="1"/>
  <c r="B2691" i="1" s="1"/>
  <c r="C2691" i="1"/>
  <c r="A2692" i="1"/>
  <c r="B2692" i="1" s="1"/>
  <c r="C2692" i="1"/>
  <c r="A2693" i="1"/>
  <c r="B2693" i="1" s="1"/>
  <c r="C2693" i="1"/>
  <c r="A2694" i="1"/>
  <c r="B2694" i="1" s="1"/>
  <c r="C2694" i="1"/>
  <c r="A2695" i="1"/>
  <c r="B2695" i="1" s="1"/>
  <c r="C2695" i="1"/>
  <c r="A2696" i="1"/>
  <c r="B2696" i="1" s="1"/>
  <c r="C2696" i="1"/>
  <c r="A2697" i="1"/>
  <c r="B2697" i="1" s="1"/>
  <c r="C2697" i="1"/>
  <c r="A2698" i="1"/>
  <c r="B2698" i="1" s="1"/>
  <c r="C2698" i="1"/>
  <c r="A2699" i="1"/>
  <c r="C2699" i="1"/>
  <c r="A2700" i="1"/>
  <c r="B2700" i="1" s="1"/>
  <c r="C2700" i="1"/>
  <c r="A2701" i="1"/>
  <c r="B2701" i="1" s="1"/>
  <c r="C2701" i="1"/>
  <c r="A2702" i="1"/>
  <c r="B2702" i="1" s="1"/>
  <c r="C2702" i="1"/>
  <c r="A2703" i="1"/>
  <c r="B2703" i="1" s="1"/>
  <c r="C2703" i="1"/>
  <c r="A2704" i="1"/>
  <c r="B2704" i="1" s="1"/>
  <c r="C2704" i="1"/>
  <c r="A2705" i="1"/>
  <c r="B2705" i="1" s="1"/>
  <c r="C2705" i="1"/>
  <c r="A2706" i="1"/>
  <c r="B2706" i="1" s="1"/>
  <c r="C2706" i="1"/>
  <c r="A2707" i="1"/>
  <c r="B2707" i="1" s="1"/>
  <c r="C2707" i="1"/>
  <c r="A2708" i="1"/>
  <c r="C2708" i="1"/>
  <c r="A2709" i="1"/>
  <c r="B2709" i="1" s="1"/>
  <c r="C2709" i="1"/>
  <c r="A2710" i="1"/>
  <c r="B2710" i="1" s="1"/>
  <c r="C2710" i="1"/>
  <c r="A2711" i="1"/>
  <c r="B2711" i="1" s="1"/>
  <c r="C2711" i="1"/>
  <c r="A2712" i="1"/>
  <c r="B2712" i="1" s="1"/>
  <c r="C2712" i="1"/>
  <c r="A2713" i="1"/>
  <c r="B2713" i="1" s="1"/>
  <c r="C2713" i="1"/>
  <c r="A2714" i="1"/>
  <c r="B2714" i="1" s="1"/>
  <c r="C2714" i="1"/>
  <c r="A2715" i="1"/>
  <c r="B2715" i="1" s="1"/>
  <c r="C2715" i="1"/>
  <c r="A2716" i="1"/>
  <c r="B2716" i="1" s="1"/>
  <c r="C2716" i="1"/>
  <c r="A2717" i="1"/>
  <c r="B2717" i="1" s="1"/>
  <c r="C2717" i="1"/>
  <c r="A2718" i="1"/>
  <c r="B2718" i="1" s="1"/>
  <c r="C2718" i="1"/>
  <c r="A2719" i="1"/>
  <c r="B2719" i="1" s="1"/>
  <c r="C2719" i="1"/>
  <c r="A2720" i="1"/>
  <c r="B2720" i="1" s="1"/>
  <c r="C2720" i="1"/>
  <c r="A2721" i="1"/>
  <c r="B2721" i="1" s="1"/>
  <c r="C2721" i="1"/>
  <c r="A2722" i="1"/>
  <c r="B2722" i="1" s="1"/>
  <c r="C2722" i="1"/>
  <c r="A2723" i="1"/>
  <c r="B2723" i="1" s="1"/>
  <c r="C2723" i="1"/>
  <c r="A2724" i="1"/>
  <c r="B2724" i="1" s="1"/>
  <c r="C2724" i="1"/>
  <c r="A2725" i="1"/>
  <c r="B2725" i="1" s="1"/>
  <c r="C2725" i="1"/>
  <c r="A2726" i="1"/>
  <c r="B2726" i="1" s="1"/>
  <c r="C2726" i="1"/>
  <c r="A2727" i="1"/>
  <c r="B2727" i="1" s="1"/>
  <c r="C2727" i="1"/>
  <c r="A2728" i="1"/>
  <c r="B2728" i="1" s="1"/>
  <c r="C2728" i="1"/>
  <c r="A2729" i="1"/>
  <c r="B2729" i="1" s="1"/>
  <c r="C2729" i="1"/>
  <c r="A2730" i="1"/>
  <c r="B2730" i="1" s="1"/>
  <c r="C2730" i="1"/>
  <c r="A2731" i="1"/>
  <c r="B2731" i="1" s="1"/>
  <c r="C2731" i="1"/>
  <c r="A2732" i="1"/>
  <c r="B2732" i="1" s="1"/>
  <c r="C2732" i="1"/>
  <c r="A2733" i="1"/>
  <c r="B2733" i="1" s="1"/>
  <c r="C2733" i="1"/>
  <c r="A2734" i="1"/>
  <c r="B2734" i="1" s="1"/>
  <c r="C2734" i="1"/>
  <c r="A2735" i="1"/>
  <c r="B2735" i="1" s="1"/>
  <c r="C2735" i="1"/>
  <c r="A2736" i="1"/>
  <c r="B2736" i="1" s="1"/>
  <c r="C2736" i="1"/>
  <c r="A2737" i="1"/>
  <c r="B2737" i="1" s="1"/>
  <c r="C2737" i="1"/>
  <c r="A2738" i="1"/>
  <c r="B2738" i="1" s="1"/>
  <c r="C2738" i="1"/>
  <c r="A2739" i="1"/>
  <c r="B2739" i="1" s="1"/>
  <c r="C2739" i="1"/>
  <c r="A2740" i="1"/>
  <c r="B2740" i="1" s="1"/>
  <c r="C2740" i="1"/>
  <c r="A2741" i="1"/>
  <c r="B2741" i="1" s="1"/>
  <c r="C2741" i="1"/>
  <c r="A2742" i="1"/>
  <c r="B2742" i="1" s="1"/>
  <c r="C2742" i="1"/>
  <c r="A2743" i="1"/>
  <c r="B2743" i="1" s="1"/>
  <c r="C2743" i="1"/>
  <c r="A2744" i="1"/>
  <c r="B2744" i="1" s="1"/>
  <c r="C2744" i="1"/>
  <c r="A2745" i="1"/>
  <c r="B2745" i="1" s="1"/>
  <c r="C2745" i="1"/>
  <c r="A2746" i="1"/>
  <c r="B2746" i="1" s="1"/>
  <c r="C2746" i="1"/>
  <c r="A2747" i="1"/>
  <c r="B2747" i="1" s="1"/>
  <c r="C2747" i="1"/>
  <c r="A2748" i="1"/>
  <c r="B2748" i="1" s="1"/>
  <c r="C2748" i="1"/>
  <c r="A2749" i="1"/>
  <c r="B2749" i="1" s="1"/>
  <c r="C2749" i="1"/>
  <c r="A2750" i="1"/>
  <c r="B2750" i="1" s="1"/>
  <c r="C2750" i="1"/>
  <c r="A2751" i="1"/>
  <c r="B2751" i="1" s="1"/>
  <c r="C2751" i="1"/>
  <c r="A2752" i="1"/>
  <c r="B2752" i="1" s="1"/>
  <c r="C2752" i="1"/>
  <c r="A2753" i="1"/>
  <c r="B2753" i="1" s="1"/>
  <c r="C2753" i="1"/>
  <c r="A2754" i="1"/>
  <c r="B2754" i="1" s="1"/>
  <c r="C2754" i="1"/>
  <c r="A2755" i="1"/>
  <c r="B2755" i="1" s="1"/>
  <c r="C2755" i="1"/>
  <c r="A2756" i="1"/>
  <c r="B2756" i="1" s="1"/>
  <c r="C2756" i="1"/>
  <c r="A2757" i="1"/>
  <c r="B2757" i="1" s="1"/>
  <c r="C2757" i="1"/>
  <c r="A2758" i="1"/>
  <c r="B2758" i="1" s="1"/>
  <c r="C2758" i="1"/>
  <c r="A2759" i="1"/>
  <c r="B2759" i="1" s="1"/>
  <c r="C2759" i="1"/>
  <c r="A2760" i="1"/>
  <c r="B2760" i="1" s="1"/>
  <c r="C2760" i="1"/>
  <c r="A2761" i="1"/>
  <c r="B2761" i="1" s="1"/>
  <c r="C2761" i="1"/>
  <c r="A2762" i="1"/>
  <c r="B2762" i="1" s="1"/>
  <c r="C2762" i="1"/>
  <c r="A2763" i="1"/>
  <c r="B2763" i="1" s="1"/>
  <c r="C2763" i="1"/>
  <c r="A2764" i="1"/>
  <c r="B2764" i="1" s="1"/>
  <c r="C2764" i="1"/>
  <c r="A2765" i="1"/>
  <c r="B2765" i="1" s="1"/>
  <c r="C2765" i="1"/>
  <c r="A2766" i="1"/>
  <c r="B2766" i="1" s="1"/>
  <c r="C2766" i="1"/>
  <c r="A2767" i="1"/>
  <c r="B2767" i="1" s="1"/>
  <c r="C2767" i="1"/>
  <c r="A2768" i="1"/>
  <c r="B2768" i="1" s="1"/>
  <c r="C2768" i="1"/>
  <c r="A2769" i="1"/>
  <c r="B2769" i="1" s="1"/>
  <c r="C2769" i="1"/>
  <c r="A2770" i="1"/>
  <c r="B2770" i="1" s="1"/>
  <c r="C2770" i="1"/>
  <c r="A2771" i="1"/>
  <c r="B2771" i="1" s="1"/>
  <c r="C2771" i="1"/>
  <c r="A2772" i="1"/>
  <c r="B2772" i="1" s="1"/>
  <c r="C2772" i="1"/>
  <c r="A2773" i="1"/>
  <c r="B2773" i="1" s="1"/>
  <c r="C2773" i="1"/>
  <c r="A2774" i="1"/>
  <c r="B2774" i="1" s="1"/>
  <c r="C2774" i="1"/>
  <c r="A2775" i="1"/>
  <c r="B2775" i="1" s="1"/>
  <c r="C2775" i="1"/>
  <c r="A2776" i="1"/>
  <c r="B2776" i="1" s="1"/>
  <c r="C2776" i="1"/>
  <c r="A2777" i="1"/>
  <c r="B2777" i="1" s="1"/>
  <c r="C2777" i="1"/>
  <c r="A2778" i="1"/>
  <c r="B2778" i="1" s="1"/>
  <c r="C2778" i="1"/>
  <c r="A2779" i="1"/>
  <c r="B2779" i="1" s="1"/>
  <c r="C2779" i="1"/>
  <c r="A2780" i="1"/>
  <c r="B2780" i="1" s="1"/>
  <c r="C2780" i="1"/>
  <c r="A2781" i="1"/>
  <c r="B2781" i="1" s="1"/>
  <c r="C2781" i="1"/>
  <c r="A2782" i="1"/>
  <c r="B2782" i="1" s="1"/>
  <c r="C2782" i="1"/>
  <c r="A2783" i="1"/>
  <c r="B2783" i="1" s="1"/>
  <c r="C2783" i="1"/>
  <c r="A2784" i="1"/>
  <c r="B2784" i="1" s="1"/>
  <c r="C2784" i="1"/>
  <c r="A2785" i="1"/>
  <c r="B2785" i="1" s="1"/>
  <c r="C2785" i="1"/>
  <c r="A2786" i="1"/>
  <c r="B2786" i="1" s="1"/>
  <c r="C2786" i="1"/>
  <c r="A2787" i="1"/>
  <c r="B2787" i="1" s="1"/>
  <c r="C2787" i="1"/>
  <c r="A2788" i="1"/>
  <c r="B2788" i="1" s="1"/>
  <c r="C2788" i="1"/>
  <c r="A2789" i="1"/>
  <c r="B2789" i="1" s="1"/>
  <c r="C2789" i="1"/>
  <c r="A2790" i="1"/>
  <c r="B2790" i="1" s="1"/>
  <c r="C2790" i="1"/>
  <c r="A2791" i="1"/>
  <c r="B2791" i="1" s="1"/>
  <c r="C2791" i="1"/>
  <c r="A2792" i="1"/>
  <c r="B2792" i="1" s="1"/>
  <c r="C2792" i="1"/>
  <c r="A2793" i="1"/>
  <c r="B2793" i="1" s="1"/>
  <c r="C2793" i="1"/>
  <c r="A2794" i="1"/>
  <c r="B2794" i="1" s="1"/>
  <c r="C2794" i="1"/>
  <c r="A2795" i="1"/>
  <c r="C2795" i="1"/>
  <c r="A2796" i="1"/>
  <c r="B2796" i="1" s="1"/>
  <c r="C2796" i="1"/>
  <c r="A2797" i="1"/>
  <c r="B2797" i="1" s="1"/>
  <c r="C2797" i="1"/>
  <c r="A2798" i="1"/>
  <c r="B2798" i="1" s="1"/>
  <c r="C2798" i="1"/>
  <c r="A2799" i="1"/>
  <c r="B2799" i="1" s="1"/>
  <c r="C2799" i="1"/>
  <c r="A2800" i="1"/>
  <c r="B2800" i="1" s="1"/>
  <c r="C2800" i="1"/>
  <c r="A2801" i="1"/>
  <c r="B2801" i="1" s="1"/>
  <c r="C2801" i="1"/>
  <c r="A2802" i="1"/>
  <c r="B2802" i="1" s="1"/>
  <c r="C2802" i="1"/>
  <c r="A2803" i="1"/>
  <c r="B2803" i="1" s="1"/>
  <c r="C2803" i="1"/>
  <c r="A2804" i="1"/>
  <c r="B2804" i="1" s="1"/>
  <c r="C2804" i="1"/>
  <c r="A2805" i="1"/>
  <c r="B2805" i="1" s="1"/>
  <c r="C2805" i="1"/>
  <c r="A2806" i="1"/>
  <c r="B2806" i="1" s="1"/>
  <c r="C2806" i="1"/>
  <c r="A2807" i="1"/>
  <c r="B2807" i="1" s="1"/>
  <c r="C2807" i="1"/>
  <c r="A2808" i="1"/>
  <c r="B2808" i="1" s="1"/>
  <c r="C2808" i="1"/>
  <c r="A2809" i="1"/>
  <c r="B2809" i="1" s="1"/>
  <c r="C2809" i="1"/>
  <c r="A2810" i="1"/>
  <c r="B2810" i="1" s="1"/>
  <c r="C2810" i="1"/>
  <c r="A2811" i="1"/>
  <c r="B2811" i="1" s="1"/>
  <c r="C2811" i="1"/>
  <c r="A2812" i="1"/>
  <c r="B2812" i="1" s="1"/>
  <c r="C2812" i="1"/>
  <c r="A2813" i="1"/>
  <c r="B2813" i="1" s="1"/>
  <c r="C2813" i="1"/>
  <c r="A2814" i="1"/>
  <c r="B2814" i="1" s="1"/>
  <c r="C2814" i="1"/>
  <c r="A2815" i="1"/>
  <c r="B2815" i="1" s="1"/>
  <c r="C2815" i="1"/>
  <c r="A2816" i="1"/>
  <c r="B2816" i="1" s="1"/>
  <c r="C2816" i="1"/>
  <c r="A2817" i="1"/>
  <c r="B2817" i="1" s="1"/>
  <c r="C2817" i="1"/>
  <c r="A2818" i="1"/>
  <c r="B2818" i="1" s="1"/>
  <c r="C2818" i="1"/>
  <c r="A2819" i="1"/>
  <c r="B2819" i="1" s="1"/>
  <c r="C2819" i="1"/>
  <c r="A2820" i="1"/>
  <c r="B2820" i="1" s="1"/>
  <c r="C2820" i="1"/>
  <c r="A2821" i="1"/>
  <c r="B2821" i="1" s="1"/>
  <c r="C2821" i="1"/>
  <c r="A2822" i="1"/>
  <c r="B2822" i="1" s="1"/>
  <c r="C2822" i="1"/>
  <c r="A2823" i="1"/>
  <c r="B2823" i="1" s="1"/>
  <c r="C2823" i="1"/>
  <c r="A2824" i="1"/>
  <c r="B2824" i="1" s="1"/>
  <c r="C2824" i="1"/>
  <c r="A2825" i="1"/>
  <c r="B2825" i="1" s="1"/>
  <c r="C2825" i="1"/>
  <c r="A2826" i="1"/>
  <c r="B2826" i="1" s="1"/>
  <c r="C2826" i="1"/>
  <c r="A2827" i="1"/>
  <c r="B2827" i="1" s="1"/>
  <c r="C2827" i="1"/>
  <c r="A2828" i="1"/>
  <c r="B2828" i="1" s="1"/>
  <c r="C2828" i="1"/>
  <c r="A2829" i="1"/>
  <c r="B2829" i="1" s="1"/>
  <c r="C2829" i="1"/>
  <c r="A2830" i="1"/>
  <c r="B2830" i="1" s="1"/>
  <c r="C2830" i="1"/>
  <c r="A2831" i="1"/>
  <c r="B2831" i="1" s="1"/>
  <c r="C2831" i="1"/>
  <c r="A2832" i="1"/>
  <c r="B2832" i="1" s="1"/>
  <c r="C2832" i="1"/>
  <c r="A2833" i="1"/>
  <c r="B2833" i="1" s="1"/>
  <c r="C2833" i="1"/>
  <c r="A2834" i="1"/>
  <c r="B2834" i="1" s="1"/>
  <c r="C2834" i="1"/>
  <c r="A2835" i="1"/>
  <c r="B2835" i="1" s="1"/>
  <c r="C2835" i="1"/>
  <c r="A2836" i="1"/>
  <c r="B2836" i="1" s="1"/>
  <c r="C2836" i="1"/>
  <c r="A2837" i="1"/>
  <c r="B2837" i="1" s="1"/>
  <c r="C2837" i="1"/>
  <c r="A2838" i="1"/>
  <c r="B2838" i="1" s="1"/>
  <c r="C2838" i="1"/>
  <c r="A2839" i="1"/>
  <c r="B2839" i="1" s="1"/>
  <c r="C2839" i="1"/>
  <c r="A2840" i="1"/>
  <c r="C2840" i="1"/>
  <c r="A2841" i="1"/>
  <c r="B2841" i="1" s="1"/>
  <c r="C2841" i="1"/>
  <c r="A2842" i="1"/>
  <c r="B2842" i="1" s="1"/>
  <c r="C2842" i="1"/>
  <c r="A2843" i="1"/>
  <c r="C2843" i="1"/>
  <c r="A2844" i="1"/>
  <c r="B2844" i="1" s="1"/>
  <c r="C2844" i="1"/>
  <c r="A2845" i="1"/>
  <c r="B2845" i="1" s="1"/>
  <c r="C2845" i="1"/>
  <c r="A2846" i="1"/>
  <c r="B2846" i="1" s="1"/>
  <c r="C2846" i="1"/>
  <c r="A2847" i="1"/>
  <c r="B2847" i="1" s="1"/>
  <c r="C2847" i="1"/>
  <c r="A2848" i="1"/>
  <c r="B2848" i="1" s="1"/>
  <c r="C2848" i="1"/>
  <c r="A2849" i="1"/>
  <c r="B2849" i="1" s="1"/>
  <c r="C2849" i="1"/>
  <c r="A2850" i="1"/>
  <c r="B2850" i="1" s="1"/>
  <c r="C2850" i="1"/>
  <c r="A2851" i="1"/>
  <c r="B2851" i="1" s="1"/>
  <c r="C2851" i="1"/>
  <c r="A2852" i="1"/>
  <c r="B2852" i="1" s="1"/>
  <c r="C2852" i="1"/>
  <c r="A2853" i="1"/>
  <c r="B2853" i="1" s="1"/>
  <c r="C2853" i="1"/>
  <c r="A2854" i="1"/>
  <c r="C2854" i="1"/>
  <c r="A2855" i="1"/>
  <c r="B2855" i="1" s="1"/>
  <c r="C2855" i="1"/>
  <c r="A2856" i="1"/>
  <c r="B2856" i="1" s="1"/>
  <c r="C2856" i="1"/>
  <c r="A2857" i="1"/>
  <c r="B2857" i="1" s="1"/>
  <c r="C2857" i="1"/>
  <c r="A2858" i="1"/>
  <c r="B2858" i="1" s="1"/>
  <c r="C2858" i="1"/>
  <c r="A2859" i="1"/>
  <c r="B2859" i="1" s="1"/>
  <c r="C2859" i="1"/>
  <c r="A2860" i="1"/>
  <c r="B2860" i="1" s="1"/>
  <c r="C2860" i="1"/>
  <c r="A2861" i="1"/>
  <c r="B2861" i="1" s="1"/>
  <c r="C2861" i="1"/>
  <c r="A2862" i="1"/>
  <c r="B2862" i="1" s="1"/>
  <c r="C2862" i="1"/>
  <c r="A2863" i="1"/>
  <c r="B2863" i="1" s="1"/>
  <c r="C2863" i="1"/>
  <c r="A2864" i="1"/>
  <c r="B2864" i="1" s="1"/>
  <c r="C2864" i="1"/>
  <c r="A2865" i="1"/>
  <c r="B2865" i="1" s="1"/>
  <c r="C2865" i="1"/>
  <c r="A2866" i="1"/>
  <c r="B2866" i="1" s="1"/>
  <c r="C2866" i="1"/>
  <c r="A2867" i="1"/>
  <c r="B2867" i="1" s="1"/>
  <c r="C2867" i="1"/>
  <c r="A2868" i="1"/>
  <c r="B2868" i="1" s="1"/>
  <c r="C2868" i="1"/>
  <c r="A2869" i="1"/>
  <c r="B2869" i="1" s="1"/>
  <c r="C2869" i="1"/>
  <c r="A2870" i="1"/>
  <c r="B2870" i="1" s="1"/>
  <c r="C2870" i="1"/>
  <c r="A2871" i="1"/>
  <c r="B2871" i="1" s="1"/>
  <c r="C2871" i="1"/>
  <c r="A2872" i="1"/>
  <c r="B2872" i="1" s="1"/>
  <c r="C2872" i="1"/>
  <c r="A2873" i="1"/>
  <c r="B2873" i="1" s="1"/>
  <c r="C2873" i="1"/>
  <c r="A2874" i="1"/>
  <c r="B2874" i="1" s="1"/>
  <c r="C2874" i="1"/>
  <c r="A2875" i="1"/>
  <c r="B2875" i="1" s="1"/>
  <c r="C2875" i="1"/>
  <c r="A2876" i="1"/>
  <c r="B2876" i="1" s="1"/>
  <c r="C2876" i="1"/>
  <c r="A2877" i="1"/>
  <c r="B2877" i="1" s="1"/>
  <c r="C2877" i="1"/>
  <c r="A2878" i="1"/>
  <c r="C2878" i="1"/>
  <c r="A2879" i="1"/>
  <c r="C2879" i="1"/>
  <c r="A2880" i="1"/>
  <c r="B2880" i="1" s="1"/>
  <c r="C2880" i="1"/>
  <c r="A2881" i="1"/>
  <c r="B2881" i="1" s="1"/>
  <c r="C2881" i="1"/>
  <c r="A2882" i="1"/>
  <c r="B2882" i="1" s="1"/>
  <c r="C2882" i="1"/>
  <c r="A2883" i="1"/>
  <c r="B2883" i="1" s="1"/>
  <c r="C2883" i="1"/>
  <c r="A2884" i="1"/>
  <c r="B2884" i="1" s="1"/>
  <c r="C2884" i="1"/>
  <c r="A2885" i="1"/>
  <c r="B2885" i="1" s="1"/>
  <c r="C2885" i="1"/>
  <c r="A2886" i="1"/>
  <c r="B2886" i="1" s="1"/>
  <c r="C2886" i="1"/>
  <c r="A2887" i="1"/>
  <c r="B2887" i="1" s="1"/>
  <c r="C2887" i="1"/>
  <c r="A2888" i="1"/>
  <c r="B2888" i="1" s="1"/>
  <c r="C2888" i="1"/>
  <c r="A2889" i="1"/>
  <c r="B2889" i="1" s="1"/>
  <c r="C2889" i="1"/>
  <c r="A2890" i="1"/>
  <c r="B2890" i="1" s="1"/>
  <c r="C2890" i="1"/>
  <c r="A2891" i="1"/>
  <c r="B2891" i="1" s="1"/>
  <c r="C2891" i="1"/>
  <c r="A2892" i="1"/>
  <c r="B2892" i="1" s="1"/>
  <c r="C2892" i="1"/>
  <c r="A2893" i="1"/>
  <c r="B2893" i="1" s="1"/>
  <c r="C2893" i="1"/>
  <c r="A2894" i="1"/>
  <c r="B2894" i="1" s="1"/>
  <c r="C2894" i="1"/>
  <c r="A2895" i="1"/>
  <c r="B2895" i="1" s="1"/>
  <c r="C2895" i="1"/>
  <c r="A2896" i="1"/>
  <c r="B2896" i="1" s="1"/>
  <c r="C2896" i="1"/>
  <c r="A2897" i="1"/>
  <c r="B2897" i="1" s="1"/>
  <c r="C2897" i="1"/>
  <c r="A2898" i="1"/>
  <c r="B2898" i="1" s="1"/>
  <c r="C2898" i="1"/>
  <c r="A2899" i="1"/>
  <c r="B2899" i="1" s="1"/>
  <c r="C2899" i="1"/>
  <c r="A2900" i="1"/>
  <c r="B2900" i="1" s="1"/>
  <c r="C2900" i="1"/>
  <c r="A2901" i="1"/>
  <c r="B2901" i="1" s="1"/>
  <c r="C2901" i="1"/>
  <c r="A2902" i="1"/>
  <c r="B2902" i="1" s="1"/>
  <c r="C2902" i="1"/>
  <c r="A2903" i="1"/>
  <c r="B2903" i="1" s="1"/>
  <c r="C2903" i="1"/>
  <c r="A2904" i="1"/>
  <c r="B2904" i="1" s="1"/>
  <c r="C2904" i="1"/>
  <c r="A2905" i="1"/>
  <c r="B2905" i="1" s="1"/>
  <c r="C2905" i="1"/>
  <c r="A2906" i="1"/>
  <c r="B2906" i="1" s="1"/>
  <c r="C2906" i="1"/>
  <c r="A2907" i="1"/>
  <c r="B2907" i="1" s="1"/>
  <c r="C2907" i="1"/>
  <c r="A2908" i="1"/>
  <c r="B2908" i="1" s="1"/>
  <c r="C2908" i="1"/>
  <c r="A2909" i="1"/>
  <c r="B2909" i="1" s="1"/>
  <c r="C2909" i="1"/>
  <c r="A2910" i="1"/>
  <c r="B2910" i="1" s="1"/>
  <c r="C2910" i="1"/>
  <c r="A2911" i="1"/>
  <c r="B2911" i="1" s="1"/>
  <c r="C2911" i="1"/>
  <c r="A2912" i="1"/>
  <c r="B2912" i="1" s="1"/>
  <c r="C2912" i="1"/>
  <c r="A2913" i="1"/>
  <c r="B2913" i="1" s="1"/>
  <c r="C2913" i="1"/>
  <c r="A2914" i="1"/>
  <c r="B2914" i="1" s="1"/>
  <c r="C2914" i="1"/>
  <c r="A2915" i="1"/>
  <c r="B2915" i="1" s="1"/>
  <c r="C2915" i="1"/>
  <c r="A2916" i="1"/>
  <c r="B2916" i="1" s="1"/>
  <c r="C2916" i="1"/>
  <c r="A2917" i="1"/>
  <c r="B2917" i="1" s="1"/>
  <c r="C2917" i="1"/>
  <c r="A2918" i="1"/>
  <c r="B2918" i="1" s="1"/>
  <c r="C2918" i="1"/>
  <c r="A2919" i="1"/>
  <c r="B2919" i="1" s="1"/>
  <c r="C2919" i="1"/>
  <c r="A2920" i="1"/>
  <c r="B2920" i="1" s="1"/>
  <c r="C2920" i="1"/>
  <c r="A2921" i="1"/>
  <c r="B2921" i="1" s="1"/>
  <c r="C2921" i="1"/>
  <c r="A2922" i="1"/>
  <c r="B2922" i="1" s="1"/>
  <c r="C2922" i="1"/>
  <c r="A2923" i="1"/>
  <c r="B2923" i="1" s="1"/>
  <c r="C2923" i="1"/>
  <c r="A2924" i="1"/>
  <c r="B2924" i="1" s="1"/>
  <c r="C2924" i="1"/>
  <c r="A2925" i="1"/>
  <c r="B2925" i="1" s="1"/>
  <c r="C2925" i="1"/>
  <c r="A2926" i="1"/>
  <c r="B2926" i="1" s="1"/>
  <c r="C2926" i="1"/>
  <c r="A2927" i="1"/>
  <c r="B2927" i="1" s="1"/>
  <c r="C2927" i="1"/>
  <c r="A2928" i="1"/>
  <c r="B2928" i="1" s="1"/>
  <c r="C2928" i="1"/>
  <c r="A2929" i="1"/>
  <c r="B2929" i="1" s="1"/>
  <c r="C2929" i="1"/>
  <c r="A2930" i="1"/>
  <c r="B2930" i="1" s="1"/>
  <c r="C2930" i="1"/>
  <c r="A2931" i="1"/>
  <c r="B2931" i="1" s="1"/>
  <c r="C2931" i="1"/>
  <c r="A2932" i="1"/>
  <c r="B2932" i="1" s="1"/>
  <c r="C2932" i="1"/>
  <c r="A2933" i="1"/>
  <c r="B2933" i="1" s="1"/>
  <c r="C2933" i="1"/>
  <c r="A2934" i="1"/>
  <c r="B2934" i="1" s="1"/>
  <c r="C2934" i="1"/>
  <c r="A2935" i="1"/>
  <c r="B2935" i="1" s="1"/>
  <c r="C2935" i="1"/>
  <c r="A2936" i="1"/>
  <c r="B2936" i="1" s="1"/>
  <c r="C2936" i="1"/>
  <c r="A2937" i="1"/>
  <c r="B2937" i="1" s="1"/>
  <c r="C2937" i="1"/>
  <c r="A2938" i="1"/>
  <c r="B2938" i="1" s="1"/>
  <c r="C2938" i="1"/>
  <c r="A2939" i="1"/>
  <c r="B2939" i="1" s="1"/>
  <c r="C2939" i="1"/>
  <c r="A2940" i="1"/>
  <c r="B2940" i="1" s="1"/>
  <c r="C2940" i="1"/>
  <c r="A2941" i="1"/>
  <c r="B2941" i="1" s="1"/>
  <c r="C2941" i="1"/>
  <c r="A2942" i="1"/>
  <c r="B2942" i="1" s="1"/>
  <c r="C2942" i="1"/>
  <c r="A2943" i="1"/>
  <c r="B2943" i="1" s="1"/>
  <c r="C2943" i="1"/>
  <c r="A2944" i="1"/>
  <c r="B2944" i="1" s="1"/>
  <c r="C2944" i="1"/>
  <c r="A2945" i="1"/>
  <c r="B2945" i="1" s="1"/>
  <c r="C2945" i="1"/>
  <c r="A2946" i="1"/>
  <c r="B2946" i="1" s="1"/>
  <c r="C2946" i="1"/>
  <c r="A2947" i="1"/>
  <c r="B2947" i="1" s="1"/>
  <c r="C2947" i="1"/>
  <c r="A2948" i="1"/>
  <c r="B2948" i="1" s="1"/>
  <c r="C2948" i="1"/>
  <c r="A2949" i="1"/>
  <c r="B2949" i="1" s="1"/>
  <c r="C2949" i="1"/>
  <c r="A2950" i="1"/>
  <c r="B2950" i="1" s="1"/>
  <c r="C2950" i="1"/>
  <c r="A2951" i="1"/>
  <c r="B2951" i="1" s="1"/>
  <c r="C2951" i="1"/>
  <c r="A2952" i="1"/>
  <c r="B2952" i="1" s="1"/>
  <c r="C2952" i="1"/>
  <c r="A2953" i="1"/>
  <c r="B2953" i="1" s="1"/>
  <c r="C2953" i="1"/>
  <c r="A2954" i="1"/>
  <c r="B2954" i="1" s="1"/>
  <c r="C2954" i="1"/>
  <c r="A2955" i="1"/>
  <c r="B2955" i="1" s="1"/>
  <c r="C2955" i="1"/>
  <c r="A2956" i="1"/>
  <c r="B2956" i="1" s="1"/>
  <c r="C2956" i="1"/>
  <c r="A2957" i="1"/>
  <c r="B2957" i="1" s="1"/>
  <c r="C2957" i="1"/>
  <c r="A2958" i="1"/>
  <c r="B2958" i="1" s="1"/>
  <c r="C2958" i="1"/>
  <c r="A2959" i="1"/>
  <c r="B2959" i="1" s="1"/>
  <c r="C2959" i="1"/>
  <c r="A2960" i="1"/>
  <c r="B2960" i="1" s="1"/>
  <c r="C2960" i="1"/>
  <c r="A2961" i="1"/>
  <c r="B2961" i="1" s="1"/>
  <c r="C2961" i="1"/>
  <c r="A2962" i="1"/>
  <c r="B2962" i="1" s="1"/>
  <c r="C2962" i="1"/>
  <c r="A2963" i="1"/>
  <c r="B2963" i="1" s="1"/>
  <c r="C2963" i="1"/>
  <c r="A2964" i="1"/>
  <c r="B2964" i="1" s="1"/>
  <c r="C2964" i="1"/>
  <c r="A2965" i="1"/>
  <c r="B2965" i="1" s="1"/>
  <c r="C2965" i="1"/>
  <c r="A2966" i="1"/>
  <c r="B2966" i="1" s="1"/>
  <c r="C2966" i="1"/>
  <c r="A2967" i="1"/>
  <c r="B2967" i="1" s="1"/>
  <c r="C2967" i="1"/>
  <c r="A2968" i="1"/>
  <c r="B2968" i="1" s="1"/>
  <c r="C2968" i="1"/>
  <c r="A2969" i="1"/>
  <c r="B2969" i="1" s="1"/>
  <c r="C2969" i="1"/>
  <c r="A2970" i="1"/>
  <c r="B2970" i="1" s="1"/>
  <c r="C2970" i="1"/>
  <c r="A2971" i="1"/>
  <c r="B2971" i="1" s="1"/>
  <c r="C2971" i="1"/>
  <c r="A2972" i="1"/>
  <c r="B2972" i="1" s="1"/>
  <c r="C2972" i="1"/>
  <c r="A2973" i="1"/>
  <c r="B2973" i="1" s="1"/>
  <c r="C2973" i="1"/>
  <c r="A2974" i="1"/>
  <c r="C2974" i="1"/>
  <c r="A2975" i="1"/>
  <c r="B2975" i="1" s="1"/>
  <c r="C2975" i="1"/>
  <c r="A2976" i="1"/>
  <c r="B2976" i="1" s="1"/>
  <c r="C2976" i="1"/>
  <c r="A2977" i="1"/>
  <c r="B2977" i="1" s="1"/>
  <c r="C2977" i="1"/>
  <c r="A2978" i="1"/>
  <c r="B2978" i="1" s="1"/>
  <c r="C2978" i="1"/>
  <c r="A2979" i="1"/>
  <c r="B2979" i="1" s="1"/>
  <c r="C2979" i="1"/>
  <c r="A2980" i="1"/>
  <c r="B2980" i="1" s="1"/>
  <c r="C2980" i="1"/>
  <c r="A2981" i="1"/>
  <c r="B2981" i="1" s="1"/>
  <c r="C2981" i="1"/>
  <c r="A2982" i="1"/>
  <c r="B2982" i="1" s="1"/>
  <c r="C2982" i="1"/>
  <c r="A2983" i="1"/>
  <c r="B2983" i="1" s="1"/>
  <c r="C2983" i="1"/>
  <c r="A2984" i="1"/>
  <c r="C2984" i="1"/>
  <c r="A2985" i="1"/>
  <c r="B2985" i="1" s="1"/>
  <c r="C2985" i="1"/>
  <c r="A2986" i="1"/>
  <c r="B2986" i="1" s="1"/>
  <c r="C2986" i="1"/>
  <c r="A2987" i="1"/>
  <c r="B2987" i="1" s="1"/>
  <c r="C2987" i="1"/>
  <c r="A2988" i="1"/>
  <c r="B2988" i="1" s="1"/>
  <c r="C2988" i="1"/>
  <c r="A2989" i="1"/>
  <c r="B2989" i="1" s="1"/>
  <c r="C2989" i="1"/>
  <c r="A2990" i="1"/>
  <c r="B2990" i="1" s="1"/>
  <c r="C2990" i="1"/>
  <c r="A2991" i="1"/>
  <c r="B2991" i="1" s="1"/>
  <c r="C2991" i="1"/>
  <c r="A2992" i="1"/>
  <c r="B2992" i="1" s="1"/>
  <c r="C2992" i="1"/>
  <c r="A2993" i="1"/>
  <c r="B2993" i="1" s="1"/>
  <c r="C2993" i="1"/>
  <c r="A2994" i="1"/>
  <c r="B2994" i="1" s="1"/>
  <c r="C2994" i="1"/>
  <c r="A2995" i="1"/>
  <c r="B2995" i="1" s="1"/>
  <c r="C2995" i="1"/>
  <c r="A2996" i="1"/>
  <c r="B2996" i="1" s="1"/>
  <c r="C2996" i="1"/>
  <c r="A2997" i="1"/>
  <c r="B2997" i="1" s="1"/>
  <c r="C2997" i="1"/>
  <c r="A2998" i="1"/>
  <c r="C2998" i="1"/>
  <c r="A2999" i="1"/>
  <c r="B2999" i="1" s="1"/>
  <c r="C2999" i="1"/>
  <c r="A3000" i="1"/>
  <c r="B3000" i="1" s="1"/>
  <c r="C3000" i="1"/>
  <c r="A3001" i="1"/>
  <c r="B3001" i="1" s="1"/>
  <c r="C3001" i="1"/>
  <c r="A3002" i="1"/>
  <c r="B3002" i="1" s="1"/>
  <c r="C3002" i="1"/>
  <c r="A3003" i="1"/>
  <c r="B3003" i="1" s="1"/>
  <c r="C3003" i="1"/>
  <c r="A3004" i="1"/>
  <c r="B3004" i="1" s="1"/>
  <c r="C3004" i="1"/>
  <c r="A3005" i="1"/>
  <c r="B3005" i="1" s="1"/>
  <c r="C3005" i="1"/>
  <c r="A3006" i="1"/>
  <c r="B3006" i="1" s="1"/>
  <c r="C3006" i="1"/>
  <c r="A3007" i="1"/>
  <c r="B3007" i="1" s="1"/>
  <c r="C3007" i="1"/>
  <c r="A3008" i="1"/>
  <c r="C3008" i="1"/>
  <c r="A3009" i="1"/>
  <c r="B3009" i="1" s="1"/>
  <c r="C3009" i="1"/>
  <c r="A3010" i="1"/>
  <c r="B3010" i="1" s="1"/>
  <c r="C3010" i="1"/>
  <c r="A3011" i="1"/>
  <c r="B3011" i="1" s="1"/>
  <c r="C3011" i="1"/>
  <c r="A3012" i="1"/>
  <c r="C3012" i="1"/>
  <c r="A3013" i="1"/>
  <c r="B3013" i="1" s="1"/>
  <c r="C3013" i="1"/>
  <c r="A3014" i="1"/>
  <c r="B3014" i="1" s="1"/>
  <c r="C3014" i="1"/>
  <c r="A3015" i="1"/>
  <c r="B3015" i="1" s="1"/>
  <c r="C3015" i="1"/>
  <c r="A3016" i="1"/>
  <c r="B3016" i="1" s="1"/>
  <c r="C3016" i="1"/>
  <c r="A3017" i="1"/>
  <c r="B3017" i="1" s="1"/>
  <c r="C3017" i="1"/>
  <c r="A3018" i="1"/>
  <c r="B3018" i="1" s="1"/>
  <c r="C3018" i="1"/>
  <c r="A3019" i="1"/>
  <c r="B3019" i="1" s="1"/>
  <c r="C3019" i="1"/>
  <c r="A3020" i="1"/>
  <c r="B3020" i="1" s="1"/>
  <c r="C3020" i="1"/>
  <c r="A3021" i="1"/>
  <c r="C3021" i="1"/>
  <c r="A3022" i="1"/>
  <c r="C3022" i="1"/>
  <c r="A3023" i="1"/>
  <c r="B3023" i="1" s="1"/>
  <c r="C3023" i="1"/>
  <c r="A3024" i="1"/>
  <c r="B3024" i="1" s="1"/>
  <c r="C3024" i="1"/>
  <c r="A3025" i="1"/>
  <c r="B3025" i="1" s="1"/>
  <c r="C3025" i="1"/>
  <c r="A3026" i="1"/>
  <c r="B3026" i="1" s="1"/>
  <c r="C3026" i="1"/>
  <c r="A3027" i="1"/>
  <c r="B3027" i="1" s="1"/>
  <c r="C3027" i="1"/>
  <c r="A3028" i="1"/>
  <c r="B3028" i="1" s="1"/>
  <c r="C3028" i="1"/>
  <c r="A3029" i="1"/>
  <c r="B3029" i="1" s="1"/>
  <c r="C3029" i="1"/>
  <c r="A3030" i="1"/>
  <c r="B3030" i="1" s="1"/>
  <c r="C3030" i="1"/>
  <c r="A3031" i="1"/>
  <c r="B3031" i="1" s="1"/>
  <c r="C3031" i="1"/>
  <c r="A3032" i="1"/>
  <c r="B3032" i="1" s="1"/>
  <c r="C3032" i="1"/>
  <c r="A3033" i="1"/>
  <c r="B3033" i="1" s="1"/>
  <c r="C3033" i="1"/>
  <c r="A3034" i="1"/>
  <c r="B3034" i="1" s="1"/>
  <c r="C3034" i="1"/>
  <c r="A3035" i="1"/>
  <c r="B3035" i="1" s="1"/>
  <c r="C3035" i="1"/>
  <c r="A3036" i="1"/>
  <c r="B3036" i="1" s="1"/>
  <c r="C3036" i="1"/>
  <c r="A3037" i="1"/>
  <c r="B3037" i="1" s="1"/>
  <c r="C3037" i="1"/>
  <c r="A3038" i="1"/>
  <c r="B3038" i="1" s="1"/>
  <c r="C3038" i="1"/>
  <c r="A3039" i="1"/>
  <c r="B3039" i="1" s="1"/>
  <c r="C3039" i="1"/>
  <c r="A3040" i="1"/>
  <c r="B3040" i="1" s="1"/>
  <c r="C3040" i="1"/>
  <c r="A3041" i="1"/>
  <c r="B3041" i="1" s="1"/>
  <c r="C3041" i="1"/>
  <c r="A3042" i="1"/>
  <c r="B3042" i="1" s="1"/>
  <c r="C3042" i="1"/>
  <c r="A3043" i="1"/>
  <c r="B3043" i="1" s="1"/>
  <c r="C3043" i="1"/>
  <c r="A3044" i="1"/>
  <c r="B3044" i="1" s="1"/>
  <c r="C3044" i="1"/>
  <c r="A3045" i="1"/>
  <c r="B3045" i="1" s="1"/>
  <c r="C3045" i="1"/>
  <c r="A3046" i="1"/>
  <c r="B3046" i="1" s="1"/>
  <c r="C3046" i="1"/>
  <c r="A3047" i="1"/>
  <c r="B3047" i="1" s="1"/>
  <c r="C3047" i="1"/>
  <c r="A3048" i="1"/>
  <c r="B3048" i="1" s="1"/>
  <c r="C3048" i="1"/>
  <c r="A3049" i="1"/>
  <c r="B3049" i="1" s="1"/>
  <c r="C3049" i="1"/>
  <c r="A3050" i="1"/>
  <c r="B3050" i="1" s="1"/>
  <c r="C3050" i="1"/>
  <c r="A3051" i="1"/>
  <c r="B3051" i="1" s="1"/>
  <c r="C3051" i="1"/>
  <c r="A3052" i="1"/>
  <c r="B3052" i="1" s="1"/>
  <c r="C3052" i="1"/>
  <c r="A3053" i="1"/>
  <c r="B3053" i="1" s="1"/>
  <c r="C3053" i="1"/>
  <c r="A3054" i="1"/>
  <c r="B3054" i="1" s="1"/>
  <c r="C3054" i="1"/>
  <c r="A3055" i="1"/>
  <c r="B3055" i="1" s="1"/>
  <c r="C3055" i="1"/>
  <c r="A3056" i="1"/>
  <c r="B3056" i="1" s="1"/>
  <c r="C3056" i="1"/>
  <c r="A3057" i="1"/>
  <c r="B3057" i="1" s="1"/>
  <c r="C3057" i="1"/>
  <c r="A3058" i="1"/>
  <c r="B3058" i="1" s="1"/>
  <c r="C3058" i="1"/>
  <c r="A3059" i="1"/>
  <c r="B3059" i="1" s="1"/>
  <c r="C3059" i="1"/>
  <c r="A3060" i="1"/>
  <c r="B3060" i="1" s="1"/>
  <c r="C3060" i="1"/>
  <c r="A3061" i="1"/>
  <c r="B3061" i="1" s="1"/>
  <c r="C3061" i="1"/>
  <c r="A3062" i="1"/>
  <c r="B3062" i="1" s="1"/>
  <c r="C3062" i="1"/>
  <c r="A3063" i="1"/>
  <c r="B3063" i="1" s="1"/>
  <c r="C3063" i="1"/>
  <c r="A3064" i="1"/>
  <c r="B3064" i="1" s="1"/>
  <c r="C3064" i="1"/>
  <c r="A3065" i="1"/>
  <c r="B3065" i="1" s="1"/>
  <c r="C3065" i="1"/>
  <c r="A3066" i="1"/>
  <c r="B3066" i="1" s="1"/>
  <c r="C3066" i="1"/>
  <c r="A3067" i="1"/>
  <c r="B3067" i="1" s="1"/>
  <c r="C3067" i="1"/>
  <c r="A3068" i="1"/>
  <c r="B3068" i="1" s="1"/>
  <c r="C3068" i="1"/>
  <c r="A3069" i="1"/>
  <c r="B3069" i="1" s="1"/>
  <c r="C3069" i="1"/>
  <c r="A3070" i="1"/>
  <c r="B3070" i="1" s="1"/>
  <c r="C3070" i="1"/>
  <c r="A3071" i="1"/>
  <c r="B3071" i="1" s="1"/>
  <c r="C3071" i="1"/>
  <c r="A3072" i="1"/>
  <c r="B3072" i="1" s="1"/>
  <c r="C3072" i="1"/>
  <c r="A3073" i="1"/>
  <c r="B3073" i="1" s="1"/>
  <c r="C3073" i="1"/>
  <c r="A3074" i="1"/>
  <c r="B3074" i="1" s="1"/>
  <c r="C3074" i="1"/>
  <c r="A3075" i="1"/>
  <c r="B3075" i="1" s="1"/>
  <c r="C3075" i="1"/>
  <c r="A3076" i="1"/>
  <c r="B3076" i="1" s="1"/>
  <c r="C3076" i="1"/>
  <c r="A3077" i="1"/>
  <c r="B3077" i="1" s="1"/>
  <c r="C3077" i="1"/>
  <c r="A3078" i="1"/>
  <c r="B3078" i="1" s="1"/>
  <c r="C3078" i="1"/>
  <c r="A3079" i="1"/>
  <c r="B3079" i="1" s="1"/>
  <c r="C3079" i="1"/>
  <c r="A3080" i="1"/>
  <c r="B3080" i="1" s="1"/>
  <c r="C3080" i="1"/>
  <c r="A3081" i="1"/>
  <c r="B3081" i="1" s="1"/>
  <c r="C3081" i="1"/>
  <c r="A3082" i="1"/>
  <c r="B3082" i="1" s="1"/>
  <c r="C3082" i="1"/>
  <c r="A3083" i="1"/>
  <c r="B3083" i="1" s="1"/>
  <c r="C3083" i="1"/>
  <c r="A3084" i="1"/>
  <c r="B3084" i="1" s="1"/>
  <c r="C3084" i="1"/>
  <c r="A3085" i="1"/>
  <c r="B3085" i="1" s="1"/>
  <c r="C3085" i="1"/>
  <c r="A3086" i="1"/>
  <c r="B3086" i="1" s="1"/>
  <c r="C3086" i="1"/>
  <c r="A3087" i="1"/>
  <c r="B3087" i="1" s="1"/>
  <c r="C3087" i="1"/>
  <c r="A3088" i="1"/>
  <c r="B3088" i="1" s="1"/>
  <c r="C3088" i="1"/>
  <c r="A3089" i="1"/>
  <c r="B3089" i="1" s="1"/>
  <c r="C3089" i="1"/>
  <c r="A3090" i="1"/>
  <c r="B3090" i="1" s="1"/>
  <c r="C3090" i="1"/>
  <c r="A3091" i="1"/>
  <c r="B3091" i="1" s="1"/>
  <c r="C3091" i="1"/>
  <c r="A3092" i="1"/>
  <c r="B3092" i="1" s="1"/>
  <c r="C3092" i="1"/>
  <c r="A3093" i="1"/>
  <c r="B3093" i="1" s="1"/>
  <c r="C3093" i="1"/>
  <c r="A3094" i="1"/>
  <c r="B3094" i="1" s="1"/>
  <c r="C3094" i="1"/>
  <c r="A3095" i="1"/>
  <c r="B3095" i="1" s="1"/>
  <c r="C3095" i="1"/>
  <c r="A3096" i="1"/>
  <c r="B3096" i="1" s="1"/>
  <c r="C3096" i="1"/>
  <c r="A3097" i="1"/>
  <c r="B3097" i="1" s="1"/>
  <c r="C3097" i="1"/>
  <c r="A3098" i="1"/>
  <c r="B3098" i="1" s="1"/>
  <c r="C3098" i="1"/>
  <c r="A3099" i="1"/>
  <c r="B3099" i="1" s="1"/>
  <c r="C3099" i="1"/>
  <c r="A3100" i="1"/>
  <c r="B3100" i="1" s="1"/>
  <c r="C3100" i="1"/>
  <c r="A3101" i="1"/>
  <c r="B3101" i="1" s="1"/>
  <c r="C3101" i="1"/>
  <c r="A3102" i="1"/>
  <c r="B3102" i="1" s="1"/>
  <c r="C3102" i="1"/>
  <c r="A3103" i="1"/>
  <c r="B3103" i="1" s="1"/>
  <c r="C3103" i="1"/>
  <c r="A3104" i="1"/>
  <c r="B3104" i="1" s="1"/>
  <c r="C3104" i="1"/>
  <c r="A3105" i="1"/>
  <c r="B3105" i="1" s="1"/>
  <c r="C3105" i="1"/>
  <c r="A3106" i="1"/>
  <c r="B3106" i="1" s="1"/>
  <c r="C3106" i="1"/>
  <c r="A3107" i="1"/>
  <c r="B3107" i="1" s="1"/>
  <c r="C3107" i="1"/>
  <c r="A3108" i="1"/>
  <c r="B3108" i="1" s="1"/>
  <c r="C3108" i="1"/>
  <c r="A3109" i="1"/>
  <c r="B3109" i="1" s="1"/>
  <c r="C3109" i="1"/>
  <c r="A3110" i="1"/>
  <c r="B3110" i="1" s="1"/>
  <c r="C3110" i="1"/>
  <c r="A3111" i="1"/>
  <c r="B3111" i="1" s="1"/>
  <c r="C3111" i="1"/>
  <c r="A3112" i="1"/>
  <c r="B3112" i="1" s="1"/>
  <c r="C3112" i="1"/>
  <c r="A3113" i="1"/>
  <c r="B3113" i="1" s="1"/>
  <c r="C3113" i="1"/>
  <c r="A3114" i="1"/>
  <c r="B3114" i="1" s="1"/>
  <c r="C3114" i="1"/>
  <c r="A3115" i="1"/>
  <c r="B3115" i="1" s="1"/>
  <c r="C3115" i="1"/>
  <c r="A3116" i="1"/>
  <c r="B3116" i="1" s="1"/>
  <c r="C3116" i="1"/>
  <c r="A3117" i="1"/>
  <c r="B3117" i="1" s="1"/>
  <c r="C3117" i="1"/>
  <c r="A3118" i="1"/>
  <c r="C3118" i="1"/>
  <c r="A3119" i="1"/>
  <c r="B3119" i="1" s="1"/>
  <c r="C3119" i="1"/>
  <c r="A3120" i="1"/>
  <c r="B3120" i="1" s="1"/>
  <c r="C3120" i="1"/>
  <c r="A3121" i="1"/>
  <c r="B3121" i="1" s="1"/>
  <c r="C3121" i="1"/>
  <c r="A3122" i="1"/>
  <c r="B3122" i="1" s="1"/>
  <c r="C3122" i="1"/>
  <c r="A3123" i="1"/>
  <c r="B3123" i="1" s="1"/>
  <c r="C3123" i="1"/>
  <c r="A3124" i="1"/>
  <c r="B3124" i="1" s="1"/>
  <c r="C3124" i="1"/>
  <c r="A3125" i="1"/>
  <c r="B3125" i="1" s="1"/>
  <c r="C3125" i="1"/>
  <c r="A3126" i="1"/>
  <c r="B3126" i="1" s="1"/>
  <c r="C3126" i="1"/>
  <c r="A3127" i="1"/>
  <c r="B3127" i="1" s="1"/>
  <c r="C3127" i="1"/>
  <c r="A3128" i="1"/>
  <c r="B3128" i="1" s="1"/>
  <c r="C3128" i="1"/>
  <c r="A3129" i="1"/>
  <c r="B3129" i="1" s="1"/>
  <c r="C3129" i="1"/>
  <c r="A3130" i="1"/>
  <c r="B3130" i="1" s="1"/>
  <c r="C3130" i="1"/>
  <c r="A3131" i="1"/>
  <c r="B3131" i="1" s="1"/>
  <c r="C3131" i="1"/>
  <c r="A3132" i="1"/>
  <c r="B3132" i="1" s="1"/>
  <c r="C3132" i="1"/>
  <c r="A3133" i="1"/>
  <c r="B3133" i="1" s="1"/>
  <c r="C3133" i="1"/>
  <c r="A3134" i="1"/>
  <c r="B3134" i="1" s="1"/>
  <c r="C3134" i="1"/>
  <c r="A3135" i="1"/>
  <c r="B3135" i="1" s="1"/>
  <c r="C3135" i="1"/>
  <c r="A3136" i="1"/>
  <c r="B3136" i="1" s="1"/>
  <c r="C3136" i="1"/>
  <c r="A3137" i="1"/>
  <c r="B3137" i="1" s="1"/>
  <c r="C3137" i="1"/>
  <c r="A3138" i="1"/>
  <c r="B3138" i="1" s="1"/>
  <c r="C3138" i="1"/>
  <c r="A3139" i="1"/>
  <c r="B3139" i="1" s="1"/>
  <c r="C3139" i="1"/>
  <c r="A3140" i="1"/>
  <c r="B3140" i="1" s="1"/>
  <c r="C3140" i="1"/>
  <c r="A3141" i="1"/>
  <c r="B3141" i="1" s="1"/>
  <c r="C3141" i="1"/>
  <c r="A3142" i="1"/>
  <c r="B3142" i="1" s="1"/>
  <c r="C3142" i="1"/>
  <c r="A3143" i="1"/>
  <c r="B3143" i="1" s="1"/>
  <c r="C3143" i="1"/>
  <c r="A3144" i="1"/>
  <c r="B3144" i="1" s="1"/>
  <c r="C3144" i="1"/>
  <c r="A3145" i="1"/>
  <c r="B3145" i="1" s="1"/>
  <c r="C3145" i="1"/>
  <c r="A3146" i="1"/>
  <c r="B3146" i="1" s="1"/>
  <c r="C3146" i="1"/>
  <c r="A3147" i="1"/>
  <c r="B3147" i="1" s="1"/>
  <c r="C3147" i="1"/>
  <c r="A3148" i="1"/>
  <c r="B3148" i="1" s="1"/>
  <c r="C3148" i="1"/>
  <c r="A3149" i="1"/>
  <c r="B3149" i="1" s="1"/>
  <c r="C3149" i="1"/>
  <c r="A3150" i="1"/>
  <c r="B3150" i="1" s="1"/>
  <c r="C3150" i="1"/>
  <c r="A3151" i="1"/>
  <c r="B3151" i="1" s="1"/>
  <c r="C3151" i="1"/>
  <c r="A3152" i="1"/>
  <c r="C3152" i="1"/>
  <c r="A3153" i="1"/>
  <c r="B3153" i="1" s="1"/>
  <c r="C3153" i="1"/>
  <c r="A3154" i="1"/>
  <c r="B3154" i="1" s="1"/>
  <c r="C3154" i="1"/>
  <c r="A3155" i="1"/>
  <c r="B3155" i="1" s="1"/>
  <c r="C3155" i="1"/>
  <c r="A3156" i="1"/>
  <c r="B3156" i="1" s="1"/>
  <c r="C3156" i="1"/>
  <c r="A3157" i="1"/>
  <c r="B3157" i="1" s="1"/>
  <c r="C3157" i="1"/>
  <c r="A3158" i="1"/>
  <c r="B3158" i="1" s="1"/>
  <c r="C3158" i="1"/>
  <c r="A3159" i="1"/>
  <c r="B3159" i="1" s="1"/>
  <c r="C3159" i="1"/>
  <c r="A3160" i="1"/>
  <c r="B3160" i="1" s="1"/>
  <c r="C3160" i="1"/>
  <c r="A3161" i="1"/>
  <c r="B3161" i="1" s="1"/>
  <c r="C3161" i="1"/>
  <c r="A3162" i="1"/>
  <c r="B3162" i="1" s="1"/>
  <c r="C3162" i="1"/>
  <c r="A3163" i="1"/>
  <c r="B3163" i="1" s="1"/>
  <c r="C3163" i="1"/>
  <c r="A3164" i="1"/>
  <c r="B3164" i="1" s="1"/>
  <c r="C3164" i="1"/>
  <c r="A3165" i="1"/>
  <c r="B3165" i="1" s="1"/>
  <c r="C3165" i="1"/>
  <c r="A3166" i="1"/>
  <c r="B3166" i="1" s="1"/>
  <c r="C3166" i="1"/>
  <c r="A3167" i="1"/>
  <c r="B3167" i="1" s="1"/>
  <c r="C3167" i="1"/>
  <c r="A3168" i="1"/>
  <c r="B3168" i="1" s="1"/>
  <c r="C3168" i="1"/>
  <c r="A3169" i="1"/>
  <c r="B3169" i="1" s="1"/>
  <c r="C3169" i="1"/>
  <c r="A3170" i="1"/>
  <c r="B3170" i="1" s="1"/>
  <c r="C3170" i="1"/>
  <c r="A3171" i="1"/>
  <c r="B3171" i="1" s="1"/>
  <c r="C3171" i="1"/>
  <c r="A3172" i="1"/>
  <c r="B3172" i="1" s="1"/>
  <c r="C3172" i="1"/>
  <c r="A3173" i="1"/>
  <c r="B3173" i="1" s="1"/>
  <c r="C3173" i="1"/>
  <c r="A3174" i="1"/>
  <c r="B3174" i="1" s="1"/>
  <c r="C3174" i="1"/>
  <c r="A3175" i="1"/>
  <c r="B3175" i="1" s="1"/>
  <c r="C3175" i="1"/>
  <c r="A3176" i="1"/>
  <c r="B3176" i="1" s="1"/>
  <c r="C3176" i="1"/>
  <c r="A3177" i="1"/>
  <c r="B3177" i="1" s="1"/>
  <c r="C3177" i="1"/>
  <c r="A3178" i="1"/>
  <c r="B3178" i="1" s="1"/>
  <c r="C3178" i="1"/>
  <c r="A3179" i="1"/>
  <c r="B3179" i="1" s="1"/>
  <c r="C3179" i="1"/>
  <c r="A3180" i="1"/>
  <c r="B3180" i="1" s="1"/>
  <c r="C3180" i="1"/>
  <c r="A3181" i="1"/>
  <c r="B3181" i="1" s="1"/>
  <c r="C3181" i="1"/>
  <c r="A3182" i="1"/>
  <c r="B3182" i="1" s="1"/>
  <c r="C3182" i="1"/>
  <c r="A3183" i="1"/>
  <c r="B3183" i="1" s="1"/>
  <c r="C3183" i="1"/>
  <c r="A3184" i="1"/>
  <c r="B3184" i="1" s="1"/>
  <c r="C3184" i="1"/>
  <c r="A3185" i="1"/>
  <c r="B3185" i="1" s="1"/>
  <c r="C3185" i="1"/>
  <c r="A3186" i="1"/>
  <c r="B3186" i="1" s="1"/>
  <c r="C3186" i="1"/>
  <c r="A3187" i="1"/>
  <c r="B3187" i="1" s="1"/>
  <c r="C3187" i="1"/>
  <c r="A3188" i="1"/>
  <c r="B3188" i="1" s="1"/>
  <c r="C3188" i="1"/>
  <c r="A3189" i="1"/>
  <c r="B3189" i="1" s="1"/>
  <c r="C3189" i="1"/>
  <c r="A3190" i="1"/>
  <c r="B3190" i="1" s="1"/>
  <c r="C3190" i="1"/>
  <c r="A3191" i="1"/>
  <c r="B3191" i="1" s="1"/>
  <c r="C3191" i="1"/>
  <c r="A3192" i="1"/>
  <c r="B3192" i="1" s="1"/>
  <c r="C3192" i="1"/>
  <c r="A3193" i="1"/>
  <c r="B3193" i="1" s="1"/>
  <c r="C3193" i="1"/>
  <c r="A3194" i="1"/>
  <c r="B3194" i="1" s="1"/>
  <c r="C3194" i="1"/>
  <c r="A3195" i="1"/>
  <c r="B3195" i="1" s="1"/>
  <c r="C3195" i="1"/>
  <c r="A3196" i="1"/>
  <c r="B3196" i="1" s="1"/>
  <c r="C3196" i="1"/>
  <c r="A3197" i="1"/>
  <c r="B3197" i="1" s="1"/>
  <c r="C3197" i="1"/>
  <c r="A3198" i="1"/>
  <c r="B3198" i="1" s="1"/>
  <c r="C3198" i="1"/>
  <c r="A3199" i="1"/>
  <c r="B3199" i="1" s="1"/>
  <c r="C3199" i="1"/>
  <c r="A3200" i="1"/>
  <c r="B3200" i="1" s="1"/>
  <c r="C3200" i="1"/>
  <c r="A3201" i="1"/>
  <c r="B3201" i="1" s="1"/>
  <c r="C3201" i="1"/>
  <c r="A3202" i="1"/>
  <c r="B3202" i="1" s="1"/>
  <c r="C3202" i="1"/>
  <c r="A3203" i="1"/>
  <c r="B3203" i="1" s="1"/>
  <c r="C3203" i="1"/>
  <c r="A3204" i="1"/>
  <c r="B3204" i="1" s="1"/>
  <c r="C3204" i="1"/>
  <c r="A3205" i="1"/>
  <c r="B3205" i="1" s="1"/>
  <c r="C3205" i="1"/>
  <c r="A3206" i="1"/>
  <c r="B3206" i="1" s="1"/>
  <c r="C3206" i="1"/>
  <c r="A3207" i="1"/>
  <c r="B3207" i="1" s="1"/>
  <c r="C3207" i="1"/>
  <c r="A3208" i="1"/>
  <c r="B3208" i="1" s="1"/>
  <c r="C3208" i="1"/>
  <c r="A3209" i="1"/>
  <c r="B3209" i="1" s="1"/>
  <c r="C3209" i="1"/>
  <c r="A3210" i="1"/>
  <c r="B3210" i="1" s="1"/>
  <c r="C3210" i="1"/>
  <c r="A3211" i="1"/>
  <c r="B3211" i="1" s="1"/>
  <c r="C3211" i="1"/>
  <c r="A3212" i="1"/>
  <c r="C3212" i="1"/>
  <c r="A3213" i="1"/>
  <c r="B3213" i="1" s="1"/>
  <c r="C3213" i="1"/>
  <c r="A3214" i="1"/>
  <c r="B3214" i="1" s="1"/>
  <c r="C3214" i="1"/>
  <c r="A3215" i="1"/>
  <c r="B3215" i="1" s="1"/>
  <c r="C3215" i="1"/>
  <c r="A3216" i="1"/>
  <c r="B3216" i="1" s="1"/>
  <c r="C3216" i="1"/>
  <c r="A3217" i="1"/>
  <c r="B3217" i="1" s="1"/>
  <c r="C3217" i="1"/>
  <c r="A3218" i="1"/>
  <c r="B3218" i="1" s="1"/>
  <c r="C3218" i="1"/>
  <c r="A3219" i="1"/>
  <c r="B3219" i="1" s="1"/>
  <c r="C3219" i="1"/>
  <c r="A3220" i="1"/>
  <c r="B3220" i="1" s="1"/>
  <c r="C3220" i="1"/>
  <c r="A3221" i="1"/>
  <c r="B3221" i="1" s="1"/>
  <c r="C3221" i="1"/>
  <c r="A3222" i="1"/>
  <c r="B3222" i="1" s="1"/>
  <c r="C3222" i="1"/>
  <c r="A3223" i="1"/>
  <c r="B3223" i="1" s="1"/>
  <c r="C3223" i="1"/>
  <c r="A3224" i="1"/>
  <c r="B3224" i="1" s="1"/>
  <c r="C3224" i="1"/>
  <c r="A3225" i="1"/>
  <c r="B3225" i="1" s="1"/>
  <c r="C3225" i="1"/>
  <c r="A3226" i="1"/>
  <c r="B3226" i="1" s="1"/>
  <c r="C3226" i="1"/>
  <c r="A3227" i="1"/>
  <c r="B3227" i="1" s="1"/>
  <c r="C3227" i="1"/>
  <c r="A3228" i="1"/>
  <c r="B3228" i="1" s="1"/>
  <c r="C3228" i="1"/>
  <c r="A3229" i="1"/>
  <c r="B3229" i="1" s="1"/>
  <c r="C3229" i="1"/>
  <c r="A3230" i="1"/>
  <c r="B3230" i="1" s="1"/>
  <c r="C3230" i="1"/>
  <c r="A3231" i="1"/>
  <c r="B3231" i="1" s="1"/>
  <c r="C3231" i="1"/>
  <c r="A3232" i="1"/>
  <c r="B3232" i="1" s="1"/>
  <c r="C3232" i="1"/>
  <c r="A3233" i="1"/>
  <c r="B3233" i="1" s="1"/>
  <c r="C3233" i="1"/>
  <c r="A3234" i="1"/>
  <c r="B3234" i="1" s="1"/>
  <c r="C3234" i="1"/>
  <c r="A3235" i="1"/>
  <c r="B3235" i="1" s="1"/>
  <c r="C3235" i="1"/>
  <c r="A3236" i="1"/>
  <c r="B3236" i="1" s="1"/>
  <c r="C3236" i="1"/>
  <c r="A3237" i="1"/>
  <c r="B3237" i="1" s="1"/>
  <c r="C3237" i="1"/>
  <c r="A3238" i="1"/>
  <c r="C3238" i="1"/>
  <c r="A3239" i="1"/>
  <c r="B3239" i="1" s="1"/>
  <c r="C3239" i="1"/>
  <c r="A3240" i="1"/>
  <c r="B3240" i="1" s="1"/>
  <c r="C3240" i="1"/>
  <c r="A3241" i="1"/>
  <c r="B3241" i="1" s="1"/>
  <c r="C3241" i="1"/>
  <c r="A3242" i="1"/>
  <c r="B3242" i="1" s="1"/>
  <c r="C3242" i="1"/>
  <c r="A3243" i="1"/>
  <c r="B3243" i="1" s="1"/>
  <c r="C3243" i="1"/>
  <c r="A3244" i="1"/>
  <c r="B3244" i="1" s="1"/>
  <c r="C3244" i="1"/>
  <c r="A3245" i="1"/>
  <c r="B3245" i="1" s="1"/>
  <c r="C3245" i="1"/>
  <c r="A3246" i="1"/>
  <c r="B3246" i="1" s="1"/>
  <c r="C3246" i="1"/>
  <c r="A3247" i="1"/>
  <c r="B3247" i="1" s="1"/>
  <c r="C3247" i="1"/>
  <c r="A3248" i="1"/>
  <c r="B3248" i="1" s="1"/>
  <c r="C3248" i="1"/>
  <c r="A3249" i="1"/>
  <c r="B3249" i="1" s="1"/>
  <c r="C3249" i="1"/>
  <c r="A3250" i="1"/>
  <c r="B3250" i="1" s="1"/>
  <c r="C3250" i="1"/>
  <c r="A3251" i="1"/>
  <c r="C3251" i="1"/>
  <c r="A3252" i="1"/>
  <c r="B3252" i="1" s="1"/>
  <c r="C3252" i="1"/>
  <c r="A3253" i="1"/>
  <c r="B3253" i="1" s="1"/>
  <c r="C3253" i="1"/>
  <c r="A3254" i="1"/>
  <c r="B3254" i="1" s="1"/>
  <c r="C3254" i="1"/>
  <c r="A3255" i="1"/>
  <c r="B3255" i="1" s="1"/>
  <c r="C3255" i="1"/>
  <c r="A3256" i="1"/>
  <c r="B3256" i="1" s="1"/>
  <c r="C3256" i="1"/>
  <c r="A3257" i="1"/>
  <c r="B3257" i="1" s="1"/>
  <c r="C3257" i="1"/>
  <c r="A3258" i="1"/>
  <c r="B3258" i="1" s="1"/>
  <c r="C3258" i="1"/>
  <c r="A3259" i="1"/>
  <c r="B3259" i="1" s="1"/>
  <c r="C3259" i="1"/>
  <c r="A3260" i="1"/>
  <c r="C3260" i="1"/>
  <c r="A3261" i="1"/>
  <c r="C3261" i="1"/>
  <c r="A3262" i="1"/>
  <c r="B3262" i="1" s="1"/>
  <c r="C3262" i="1"/>
  <c r="A3263" i="1"/>
  <c r="C3263" i="1"/>
  <c r="A3264" i="1"/>
  <c r="B3264" i="1" s="1"/>
  <c r="C3264" i="1"/>
  <c r="A3265" i="1"/>
  <c r="C3265" i="1"/>
  <c r="A3266" i="1"/>
  <c r="C3266" i="1"/>
  <c r="A3267" i="1"/>
  <c r="B3267" i="1" s="1"/>
  <c r="C3267" i="1"/>
  <c r="A3268" i="1"/>
  <c r="B3268" i="1" s="1"/>
  <c r="C3268" i="1"/>
  <c r="A3269" i="1"/>
  <c r="B3269" i="1" s="1"/>
  <c r="C3269" i="1"/>
  <c r="A3270" i="1"/>
  <c r="B3270" i="1" s="1"/>
  <c r="C3270" i="1"/>
  <c r="A3271" i="1"/>
  <c r="B3271" i="1" s="1"/>
  <c r="C3271" i="1"/>
  <c r="A3272" i="1"/>
  <c r="C3272" i="1"/>
  <c r="A3273" i="1"/>
  <c r="B3273" i="1" s="1"/>
  <c r="C3273" i="1"/>
  <c r="A3274" i="1"/>
  <c r="B3274" i="1" s="1"/>
  <c r="C3274" i="1"/>
  <c r="A3275" i="1"/>
  <c r="B3275" i="1" s="1"/>
  <c r="C3275" i="1"/>
  <c r="A3276" i="1"/>
  <c r="B3276" i="1" s="1"/>
  <c r="C3276" i="1"/>
  <c r="A3277" i="1"/>
  <c r="B3277" i="1" s="1"/>
  <c r="C3277" i="1"/>
  <c r="A3278" i="1"/>
  <c r="B3278" i="1" s="1"/>
  <c r="C3278" i="1"/>
  <c r="A3279" i="1"/>
  <c r="B3279" i="1" s="1"/>
  <c r="C3279" i="1"/>
  <c r="A3280" i="1"/>
  <c r="B3280" i="1" s="1"/>
  <c r="C3280" i="1"/>
  <c r="A3281" i="1"/>
  <c r="B3281" i="1" s="1"/>
  <c r="C3281" i="1"/>
  <c r="A3282" i="1"/>
  <c r="B3282" i="1" s="1"/>
  <c r="C3282" i="1"/>
  <c r="A3283" i="1"/>
  <c r="B3283" i="1" s="1"/>
  <c r="C3283" i="1"/>
  <c r="A3284" i="1"/>
  <c r="B3284" i="1" s="1"/>
  <c r="C3284" i="1"/>
  <c r="A3285" i="1"/>
  <c r="B3285" i="1" s="1"/>
  <c r="C3285" i="1"/>
  <c r="A3286" i="1"/>
  <c r="B3286" i="1" s="1"/>
  <c r="C3286" i="1"/>
  <c r="A3287" i="1"/>
  <c r="C3287" i="1"/>
  <c r="A3288" i="1"/>
  <c r="B3288" i="1" s="1"/>
  <c r="C3288" i="1"/>
  <c r="A3289" i="1"/>
  <c r="B3289" i="1" s="1"/>
  <c r="C3289" i="1"/>
  <c r="A3290" i="1"/>
  <c r="B3290" i="1" s="1"/>
  <c r="C3290" i="1"/>
  <c r="A3291" i="1"/>
  <c r="B3291" i="1" s="1"/>
  <c r="C3291" i="1"/>
  <c r="A3292" i="1"/>
  <c r="B3292" i="1" s="1"/>
  <c r="C3292" i="1"/>
  <c r="A3293" i="1"/>
  <c r="B3293" i="1" s="1"/>
  <c r="C3293" i="1"/>
  <c r="A3294" i="1"/>
  <c r="B3294" i="1" s="1"/>
  <c r="C3294" i="1"/>
  <c r="A3295" i="1"/>
  <c r="B3295" i="1" s="1"/>
  <c r="C3295" i="1"/>
  <c r="A3296" i="1"/>
  <c r="B3296" i="1" s="1"/>
  <c r="C3296" i="1"/>
  <c r="A3297" i="1"/>
  <c r="B3297" i="1" s="1"/>
  <c r="C3297" i="1"/>
  <c r="A3298" i="1"/>
  <c r="B3298" i="1" s="1"/>
  <c r="C3298" i="1"/>
  <c r="A3299" i="1"/>
  <c r="B3299" i="1" s="1"/>
  <c r="C3299" i="1"/>
  <c r="A3300" i="1"/>
  <c r="B3300" i="1" s="1"/>
  <c r="C3300" i="1"/>
  <c r="A3301" i="1"/>
  <c r="B3301" i="1" s="1"/>
  <c r="C3301" i="1"/>
  <c r="A3302" i="1"/>
  <c r="B3302" i="1" s="1"/>
  <c r="C3302" i="1"/>
  <c r="A3303" i="1"/>
  <c r="B3303" i="1" s="1"/>
  <c r="C3303" i="1"/>
  <c r="A3304" i="1"/>
  <c r="B3304" i="1" s="1"/>
  <c r="C3304" i="1"/>
  <c r="A3305" i="1"/>
  <c r="B3305" i="1" s="1"/>
  <c r="C3305" i="1"/>
  <c r="A3306" i="1"/>
  <c r="B3306" i="1" s="1"/>
  <c r="C3306" i="1"/>
  <c r="A3307" i="1"/>
  <c r="B3307" i="1" s="1"/>
  <c r="C3307" i="1"/>
  <c r="A3308" i="1"/>
  <c r="B3308" i="1" s="1"/>
  <c r="C3308" i="1"/>
  <c r="A3309" i="1"/>
  <c r="B3309" i="1" s="1"/>
  <c r="C3309" i="1"/>
  <c r="A3310" i="1"/>
  <c r="B3310" i="1" s="1"/>
  <c r="C3310" i="1"/>
  <c r="A3311" i="1"/>
  <c r="B3311" i="1" s="1"/>
  <c r="C3311" i="1"/>
  <c r="A3312" i="1"/>
  <c r="B3312" i="1" s="1"/>
  <c r="C3312" i="1"/>
  <c r="A3313" i="1"/>
  <c r="B3313" i="1" s="1"/>
  <c r="C3313" i="1"/>
  <c r="A3314" i="1"/>
  <c r="B3314" i="1" s="1"/>
  <c r="C3314" i="1"/>
  <c r="A3315" i="1"/>
  <c r="B3315" i="1" s="1"/>
  <c r="C3315" i="1"/>
  <c r="A3316" i="1"/>
  <c r="B3316" i="1" s="1"/>
  <c r="C3316" i="1"/>
  <c r="A3317" i="1"/>
  <c r="B3317" i="1" s="1"/>
  <c r="C3317" i="1"/>
  <c r="A3318" i="1"/>
  <c r="B3318" i="1" s="1"/>
  <c r="C3318" i="1"/>
  <c r="A3319" i="1"/>
  <c r="B3319" i="1" s="1"/>
  <c r="C3319" i="1"/>
  <c r="A3320" i="1"/>
  <c r="B3320" i="1" s="1"/>
  <c r="C3320" i="1"/>
  <c r="A3321" i="1"/>
  <c r="B3321" i="1" s="1"/>
  <c r="C3321" i="1"/>
  <c r="A3322" i="1"/>
  <c r="B3322" i="1" s="1"/>
  <c r="C3322" i="1"/>
  <c r="A3323" i="1"/>
  <c r="B3323" i="1" s="1"/>
  <c r="C3323" i="1"/>
  <c r="A3324" i="1"/>
  <c r="B3324" i="1" s="1"/>
  <c r="C3324" i="1"/>
  <c r="A3325" i="1"/>
  <c r="B3325" i="1" s="1"/>
  <c r="C3325" i="1"/>
  <c r="A3326" i="1"/>
  <c r="B3326" i="1" s="1"/>
  <c r="C3326" i="1"/>
  <c r="A3327" i="1"/>
  <c r="B3327" i="1" s="1"/>
  <c r="C3327" i="1"/>
  <c r="A3328" i="1"/>
  <c r="B3328" i="1" s="1"/>
  <c r="C3328" i="1"/>
  <c r="A3329" i="1"/>
  <c r="B3329" i="1" s="1"/>
  <c r="C3329" i="1"/>
  <c r="A3330" i="1"/>
  <c r="B3330" i="1" s="1"/>
  <c r="C3330" i="1"/>
  <c r="A3331" i="1"/>
  <c r="B3331" i="1" s="1"/>
  <c r="C3331" i="1"/>
  <c r="A3332" i="1"/>
  <c r="B3332" i="1" s="1"/>
  <c r="C3332" i="1"/>
  <c r="A3333" i="1"/>
  <c r="B3333" i="1" s="1"/>
  <c r="C3333" i="1"/>
  <c r="A3334" i="1"/>
  <c r="B3334" i="1" s="1"/>
  <c r="C3334" i="1"/>
  <c r="A3335" i="1"/>
  <c r="B3335" i="1" s="1"/>
  <c r="C3335" i="1"/>
  <c r="A3336" i="1"/>
  <c r="B3336" i="1" s="1"/>
  <c r="C3336" i="1"/>
  <c r="A3337" i="1"/>
  <c r="B3337" i="1" s="1"/>
  <c r="C3337" i="1"/>
  <c r="A3338" i="1"/>
  <c r="B3338" i="1" s="1"/>
  <c r="C3338" i="1"/>
  <c r="A3339" i="1"/>
  <c r="B3339" i="1" s="1"/>
  <c r="C3339" i="1"/>
  <c r="A3340" i="1"/>
  <c r="B3340" i="1" s="1"/>
  <c r="C3340" i="1"/>
  <c r="A3341" i="1"/>
  <c r="B3341" i="1" s="1"/>
  <c r="C3341" i="1"/>
  <c r="A3342" i="1"/>
  <c r="B3342" i="1" s="1"/>
  <c r="C3342" i="1"/>
  <c r="A3343" i="1"/>
  <c r="B3343" i="1" s="1"/>
  <c r="C3343" i="1"/>
  <c r="A3344" i="1"/>
  <c r="B3344" i="1" s="1"/>
  <c r="C3344" i="1"/>
  <c r="A3345" i="1"/>
  <c r="B3345" i="1" s="1"/>
  <c r="C3345" i="1"/>
  <c r="A3346" i="1"/>
  <c r="B3346" i="1" s="1"/>
  <c r="C3346" i="1"/>
  <c r="A3347" i="1"/>
  <c r="B3347" i="1" s="1"/>
  <c r="C3347" i="1"/>
  <c r="A3348" i="1"/>
  <c r="B3348" i="1" s="1"/>
  <c r="C3348" i="1"/>
  <c r="A3349" i="1"/>
  <c r="B3349" i="1" s="1"/>
  <c r="C3349" i="1"/>
  <c r="A3350" i="1"/>
  <c r="B3350" i="1" s="1"/>
  <c r="C3350" i="1"/>
  <c r="A3351" i="1"/>
  <c r="B3351" i="1" s="1"/>
  <c r="C3351" i="1"/>
  <c r="A3352" i="1"/>
  <c r="B3352" i="1" s="1"/>
  <c r="C3352" i="1"/>
  <c r="A3353" i="1"/>
  <c r="B3353" i="1" s="1"/>
  <c r="C3353" i="1"/>
  <c r="A3354" i="1"/>
  <c r="B3354" i="1" s="1"/>
  <c r="C3354" i="1"/>
  <c r="A3355" i="1"/>
  <c r="B3355" i="1" s="1"/>
  <c r="C3355" i="1"/>
  <c r="A3356" i="1"/>
  <c r="B3356" i="1" s="1"/>
  <c r="C3356" i="1"/>
  <c r="A3357" i="1"/>
  <c r="B3357" i="1" s="1"/>
  <c r="C3357" i="1"/>
  <c r="A3358" i="1"/>
  <c r="B3358" i="1" s="1"/>
  <c r="C3358" i="1"/>
  <c r="A3359" i="1"/>
  <c r="B3359" i="1" s="1"/>
  <c r="C3359" i="1"/>
  <c r="A3360" i="1"/>
  <c r="B3360" i="1" s="1"/>
  <c r="C3360" i="1"/>
  <c r="A3361" i="1"/>
  <c r="B3361" i="1" s="1"/>
  <c r="C3361" i="1"/>
  <c r="A3362" i="1"/>
  <c r="B3362" i="1" s="1"/>
  <c r="C3362" i="1"/>
  <c r="A3363" i="1"/>
  <c r="B3363" i="1" s="1"/>
  <c r="C3363" i="1"/>
  <c r="A3364" i="1"/>
  <c r="B3364" i="1" s="1"/>
  <c r="C3364" i="1"/>
  <c r="A3365" i="1"/>
  <c r="B3365" i="1" s="1"/>
  <c r="C3365" i="1"/>
  <c r="A3366" i="1"/>
  <c r="B3366" i="1" s="1"/>
  <c r="C3366" i="1"/>
  <c r="A3367" i="1"/>
  <c r="B3367" i="1" s="1"/>
  <c r="C3367" i="1"/>
  <c r="A3368" i="1"/>
  <c r="C3368" i="1"/>
  <c r="A3369" i="1"/>
  <c r="B3369" i="1" s="1"/>
  <c r="C3369" i="1"/>
  <c r="A3370" i="1"/>
  <c r="B3370" i="1" s="1"/>
  <c r="C3370" i="1"/>
  <c r="A3371" i="1"/>
  <c r="B3371" i="1" s="1"/>
  <c r="C3371" i="1"/>
  <c r="A3372" i="1"/>
  <c r="B3372" i="1" s="1"/>
  <c r="C3372" i="1"/>
  <c r="A3373" i="1"/>
  <c r="B3373" i="1" s="1"/>
  <c r="C3373" i="1"/>
  <c r="A3374" i="1"/>
  <c r="B3374" i="1" s="1"/>
  <c r="C3374" i="1"/>
  <c r="A3375" i="1"/>
  <c r="B3375" i="1" s="1"/>
  <c r="C3375" i="1"/>
  <c r="A3376" i="1"/>
  <c r="B3376" i="1" s="1"/>
  <c r="C3376" i="1"/>
  <c r="A3377" i="1"/>
  <c r="B3377" i="1" s="1"/>
  <c r="C3377" i="1"/>
  <c r="A3378" i="1"/>
  <c r="B3378" i="1" s="1"/>
  <c r="C3378" i="1"/>
  <c r="A3379" i="1"/>
  <c r="C3379" i="1"/>
  <c r="A3380" i="1"/>
  <c r="B3380" i="1" s="1"/>
  <c r="C3380" i="1"/>
  <c r="A3381" i="1"/>
  <c r="B3381" i="1" s="1"/>
  <c r="C3381" i="1"/>
  <c r="A3382" i="1"/>
  <c r="B3382" i="1" s="1"/>
  <c r="C3382" i="1"/>
  <c r="A3383" i="1"/>
  <c r="B3383" i="1" s="1"/>
  <c r="C3383" i="1"/>
  <c r="A3384" i="1"/>
  <c r="B3384" i="1" s="1"/>
  <c r="C3384" i="1"/>
  <c r="A3385" i="1"/>
  <c r="B3385" i="1" s="1"/>
  <c r="C3385" i="1"/>
  <c r="A3386" i="1"/>
  <c r="B3386" i="1" s="1"/>
  <c r="C3386" i="1"/>
  <c r="A3387" i="1"/>
  <c r="B3387" i="1" s="1"/>
  <c r="C3387" i="1"/>
  <c r="A3388" i="1"/>
  <c r="B3388" i="1" s="1"/>
  <c r="C3388" i="1"/>
  <c r="A3389" i="1"/>
  <c r="B3389" i="1" s="1"/>
  <c r="C3389" i="1"/>
  <c r="A3390" i="1"/>
  <c r="B3390" i="1" s="1"/>
  <c r="C3390" i="1"/>
  <c r="A3391" i="1"/>
  <c r="B3391" i="1" s="1"/>
  <c r="C3391" i="1"/>
  <c r="A3392" i="1"/>
  <c r="B3392" i="1" s="1"/>
  <c r="C3392" i="1"/>
  <c r="A3393" i="1"/>
  <c r="B3393" i="1" s="1"/>
  <c r="C3393" i="1"/>
  <c r="A3394" i="1"/>
  <c r="B3394" i="1" s="1"/>
  <c r="C3394" i="1"/>
  <c r="A3395" i="1"/>
  <c r="B3395" i="1" s="1"/>
  <c r="C3395" i="1"/>
  <c r="A3396" i="1"/>
  <c r="B3396" i="1" s="1"/>
  <c r="C3396" i="1"/>
  <c r="A3397" i="1"/>
  <c r="B3397" i="1" s="1"/>
  <c r="C3397" i="1"/>
  <c r="A3398" i="1"/>
  <c r="B3398" i="1" s="1"/>
  <c r="C3398" i="1"/>
  <c r="A3399" i="1"/>
  <c r="B3399" i="1" s="1"/>
  <c r="C3399" i="1"/>
  <c r="A3400" i="1"/>
  <c r="B3400" i="1" s="1"/>
  <c r="C3400" i="1"/>
  <c r="A3401" i="1"/>
  <c r="B3401" i="1" s="1"/>
  <c r="C3401" i="1"/>
  <c r="A3402" i="1"/>
  <c r="B3402" i="1" s="1"/>
  <c r="C3402" i="1"/>
  <c r="A3403" i="1"/>
  <c r="B3403" i="1" s="1"/>
  <c r="C3403" i="1"/>
  <c r="A3404" i="1"/>
  <c r="B3404" i="1" s="1"/>
  <c r="C3404" i="1"/>
  <c r="A3405" i="1"/>
  <c r="B3405" i="1" s="1"/>
  <c r="C3405" i="1"/>
  <c r="A3406" i="1"/>
  <c r="B3406" i="1" s="1"/>
  <c r="C3406" i="1"/>
  <c r="A3407" i="1"/>
  <c r="B3407" i="1" s="1"/>
  <c r="C3407" i="1"/>
  <c r="A3408" i="1"/>
  <c r="B3408" i="1" s="1"/>
  <c r="C3408" i="1"/>
  <c r="A3409" i="1"/>
  <c r="B3409" i="1" s="1"/>
  <c r="C3409" i="1"/>
  <c r="A3410" i="1"/>
  <c r="B3410" i="1" s="1"/>
  <c r="C3410" i="1"/>
  <c r="A3411" i="1"/>
  <c r="B3411" i="1" s="1"/>
  <c r="C3411" i="1"/>
  <c r="A3412" i="1"/>
  <c r="B3412" i="1" s="1"/>
  <c r="C3412" i="1"/>
  <c r="A3413" i="1"/>
  <c r="B3413" i="1" s="1"/>
  <c r="C3413" i="1"/>
  <c r="A3414" i="1"/>
  <c r="B3414" i="1" s="1"/>
  <c r="C3414" i="1"/>
  <c r="A3415" i="1"/>
  <c r="B3415" i="1" s="1"/>
  <c r="C3415" i="1"/>
  <c r="A3416" i="1"/>
  <c r="B3416" i="1" s="1"/>
  <c r="C3416" i="1"/>
  <c r="A3417" i="1"/>
  <c r="B3417" i="1" s="1"/>
  <c r="C3417" i="1"/>
  <c r="A3418" i="1"/>
  <c r="B3418" i="1" s="1"/>
  <c r="C3418" i="1"/>
  <c r="A3419" i="1"/>
  <c r="B3419" i="1" s="1"/>
  <c r="C3419" i="1"/>
  <c r="A3420" i="1"/>
  <c r="B3420" i="1" s="1"/>
  <c r="C3420" i="1"/>
  <c r="A3421" i="1"/>
  <c r="B3421" i="1" s="1"/>
  <c r="C3421" i="1"/>
  <c r="A3422" i="1"/>
  <c r="B3422" i="1" s="1"/>
  <c r="C3422" i="1"/>
  <c r="A3423" i="1"/>
  <c r="B3423" i="1" s="1"/>
  <c r="C3423" i="1"/>
  <c r="A3424" i="1"/>
  <c r="B3424" i="1" s="1"/>
  <c r="C3424" i="1"/>
  <c r="A3425" i="1"/>
  <c r="B3425" i="1" s="1"/>
  <c r="C3425" i="1"/>
  <c r="A3426" i="1"/>
  <c r="B3426" i="1" s="1"/>
  <c r="C3426" i="1"/>
  <c r="A3427" i="1"/>
  <c r="B3427" i="1" s="1"/>
  <c r="C3427" i="1"/>
  <c r="A3428" i="1"/>
  <c r="C3428" i="1"/>
  <c r="A3429" i="1"/>
  <c r="B3429" i="1" s="1"/>
  <c r="C3429" i="1"/>
  <c r="A3430" i="1"/>
  <c r="B3430" i="1" s="1"/>
  <c r="C3430" i="1"/>
  <c r="A3431" i="1"/>
  <c r="B3431" i="1" s="1"/>
  <c r="C3431" i="1"/>
  <c r="A3432" i="1"/>
  <c r="B3432" i="1" s="1"/>
  <c r="C3432" i="1"/>
  <c r="A3433" i="1"/>
  <c r="B3433" i="1" s="1"/>
  <c r="C3433" i="1"/>
  <c r="A3434" i="1"/>
  <c r="B3434" i="1" s="1"/>
  <c r="C3434" i="1"/>
  <c r="A3435" i="1"/>
  <c r="B3435" i="1" s="1"/>
  <c r="C3435" i="1"/>
  <c r="A3436" i="1"/>
  <c r="B3436" i="1" s="1"/>
  <c r="C3436" i="1"/>
  <c r="A3437" i="1"/>
  <c r="B3437" i="1" s="1"/>
  <c r="C3437" i="1"/>
  <c r="A3438" i="1"/>
  <c r="B3438" i="1" s="1"/>
  <c r="C3438" i="1"/>
  <c r="A3439" i="1"/>
  <c r="B3439" i="1" s="1"/>
  <c r="C3439" i="1"/>
  <c r="A3440" i="1"/>
  <c r="B3440" i="1" s="1"/>
  <c r="C3440" i="1"/>
  <c r="A3441" i="1"/>
  <c r="B3441" i="1" s="1"/>
  <c r="C3441" i="1"/>
  <c r="A3442" i="1"/>
  <c r="B3442" i="1" s="1"/>
  <c r="C3442" i="1"/>
  <c r="A3443" i="1"/>
  <c r="B3443" i="1" s="1"/>
  <c r="C3443" i="1"/>
  <c r="A3444" i="1"/>
  <c r="B3444" i="1" s="1"/>
  <c r="C3444" i="1"/>
  <c r="A3445" i="1"/>
  <c r="B3445" i="1" s="1"/>
  <c r="C3445" i="1"/>
  <c r="A3446" i="1"/>
  <c r="B3446" i="1" s="1"/>
  <c r="C3446" i="1"/>
  <c r="A3447" i="1"/>
  <c r="B3447" i="1" s="1"/>
  <c r="C3447" i="1"/>
  <c r="A3448" i="1"/>
  <c r="B3448" i="1" s="1"/>
  <c r="C3448" i="1"/>
  <c r="A3449" i="1"/>
  <c r="B3449" i="1" s="1"/>
  <c r="C3449" i="1"/>
  <c r="A3450" i="1"/>
  <c r="B3450" i="1" s="1"/>
  <c r="C3450" i="1"/>
  <c r="A3451" i="1"/>
  <c r="B3451" i="1" s="1"/>
  <c r="C3451" i="1"/>
  <c r="A3452" i="1"/>
  <c r="B3452" i="1" s="1"/>
  <c r="C3452" i="1"/>
  <c r="A3453" i="1"/>
  <c r="B3453" i="1" s="1"/>
  <c r="C3453" i="1"/>
  <c r="A3454" i="1"/>
  <c r="B3454" i="1" s="1"/>
  <c r="C3454" i="1"/>
  <c r="A3455" i="1"/>
  <c r="B3455" i="1" s="1"/>
  <c r="C3455" i="1"/>
  <c r="A3456" i="1"/>
  <c r="B3456" i="1" s="1"/>
  <c r="C3456" i="1"/>
  <c r="A3457" i="1"/>
  <c r="B3457" i="1" s="1"/>
  <c r="C3457" i="1"/>
  <c r="A3458" i="1"/>
  <c r="B3458" i="1" s="1"/>
  <c r="C3458" i="1"/>
  <c r="A3459" i="1"/>
  <c r="B3459" i="1" s="1"/>
  <c r="C3459" i="1"/>
  <c r="A3460" i="1"/>
  <c r="B3460" i="1" s="1"/>
  <c r="C3460" i="1"/>
  <c r="A3461" i="1"/>
  <c r="B3461" i="1" s="1"/>
  <c r="C3461" i="1"/>
  <c r="A3462" i="1"/>
  <c r="B3462" i="1" s="1"/>
  <c r="C3462" i="1"/>
  <c r="A3463" i="1"/>
  <c r="B3463" i="1" s="1"/>
  <c r="C3463" i="1"/>
  <c r="A3464" i="1"/>
  <c r="B3464" i="1" s="1"/>
  <c r="C3464" i="1"/>
  <c r="A3465" i="1"/>
  <c r="B3465" i="1" s="1"/>
  <c r="C3465" i="1"/>
  <c r="A3466" i="1"/>
  <c r="B3466" i="1" s="1"/>
  <c r="C3466" i="1"/>
  <c r="A3467" i="1"/>
  <c r="B3467" i="1" s="1"/>
  <c r="C3467" i="1"/>
  <c r="A3468" i="1"/>
  <c r="B3468" i="1" s="1"/>
  <c r="C3468" i="1"/>
  <c r="A3469" i="1"/>
  <c r="B3469" i="1" s="1"/>
  <c r="C3469" i="1"/>
  <c r="A3470" i="1"/>
  <c r="B3470" i="1" s="1"/>
  <c r="C3470" i="1"/>
  <c r="A3471" i="1"/>
  <c r="B3471" i="1" s="1"/>
  <c r="C3471" i="1"/>
  <c r="A3472" i="1"/>
  <c r="B3472" i="1" s="1"/>
  <c r="C3472" i="1"/>
  <c r="A3473" i="1"/>
  <c r="B3473" i="1" s="1"/>
  <c r="C3473" i="1"/>
  <c r="A3474" i="1"/>
  <c r="B3474" i="1" s="1"/>
  <c r="C3474" i="1"/>
  <c r="A3475" i="1"/>
  <c r="B3475" i="1" s="1"/>
  <c r="C3475" i="1"/>
  <c r="A3476" i="1"/>
  <c r="C3476" i="1"/>
  <c r="A3477" i="1"/>
  <c r="B3477" i="1" s="1"/>
  <c r="C3477" i="1"/>
  <c r="A3478" i="1"/>
  <c r="B3478" i="1" s="1"/>
  <c r="C3478" i="1"/>
  <c r="A3479" i="1"/>
  <c r="B3479" i="1" s="1"/>
  <c r="C3479" i="1"/>
  <c r="A3480" i="1"/>
  <c r="B3480" i="1" s="1"/>
  <c r="C3480" i="1"/>
  <c r="A3481" i="1"/>
  <c r="B3481" i="1" s="1"/>
  <c r="C3481" i="1"/>
  <c r="A3482" i="1"/>
  <c r="B3482" i="1" s="1"/>
  <c r="C3482" i="1"/>
  <c r="A3483" i="1"/>
  <c r="B3483" i="1" s="1"/>
  <c r="C3483" i="1"/>
  <c r="A3484" i="1"/>
  <c r="B3484" i="1" s="1"/>
  <c r="C3484" i="1"/>
  <c r="A3485" i="1"/>
  <c r="B3485" i="1" s="1"/>
  <c r="C3485" i="1"/>
  <c r="A3486" i="1"/>
  <c r="B3486" i="1" s="1"/>
  <c r="C3486" i="1"/>
  <c r="A3487" i="1"/>
  <c r="B3487" i="1" s="1"/>
  <c r="C3487" i="1"/>
  <c r="A3488" i="1"/>
  <c r="B3488" i="1" s="1"/>
  <c r="C3488" i="1"/>
  <c r="A3489" i="1"/>
  <c r="B3489" i="1" s="1"/>
  <c r="C3489" i="1"/>
  <c r="A3490" i="1"/>
  <c r="B3490" i="1" s="1"/>
  <c r="C3490" i="1"/>
  <c r="A3491" i="1"/>
  <c r="B3491" i="1" s="1"/>
  <c r="C3491" i="1"/>
  <c r="A3492" i="1"/>
  <c r="B3492" i="1" s="1"/>
  <c r="C3492" i="1"/>
  <c r="A3493" i="1"/>
  <c r="B3493" i="1" s="1"/>
  <c r="C3493" i="1"/>
  <c r="A3494" i="1"/>
  <c r="B3494" i="1" s="1"/>
  <c r="C3494" i="1"/>
  <c r="A3495" i="1"/>
  <c r="B3495" i="1" s="1"/>
  <c r="C3495" i="1"/>
  <c r="A3496" i="1"/>
  <c r="B3496" i="1" s="1"/>
  <c r="C3496" i="1"/>
  <c r="A3497" i="1"/>
  <c r="B3497" i="1" s="1"/>
  <c r="C3497" i="1"/>
  <c r="A3498" i="1"/>
  <c r="B3498" i="1" s="1"/>
  <c r="C3498" i="1"/>
  <c r="A3499" i="1"/>
  <c r="B3499" i="1" s="1"/>
  <c r="C3499" i="1"/>
  <c r="A3500" i="1"/>
  <c r="C3500" i="1"/>
  <c r="A3501" i="1"/>
  <c r="C3501" i="1"/>
  <c r="A3502" i="1"/>
  <c r="B3502" i="1" s="1"/>
  <c r="C3502" i="1"/>
  <c r="A3503" i="1"/>
  <c r="B3503" i="1" s="1"/>
  <c r="C3503" i="1"/>
  <c r="A3504" i="1"/>
  <c r="B3504" i="1" s="1"/>
  <c r="C3504" i="1"/>
  <c r="A3505" i="1"/>
  <c r="B3505" i="1" s="1"/>
  <c r="C3505" i="1"/>
  <c r="A3506" i="1"/>
  <c r="B3506" i="1" s="1"/>
  <c r="C3506" i="1"/>
  <c r="A3507" i="1"/>
  <c r="B3507" i="1" s="1"/>
  <c r="C3507" i="1"/>
  <c r="A3508" i="1"/>
  <c r="B3508" i="1" s="1"/>
  <c r="C3508" i="1"/>
  <c r="A3509" i="1"/>
  <c r="B3509" i="1" s="1"/>
  <c r="C3509" i="1"/>
  <c r="A3510" i="1"/>
  <c r="B3510" i="1" s="1"/>
  <c r="C3510" i="1"/>
  <c r="A3511" i="1"/>
  <c r="B3511" i="1" s="1"/>
  <c r="C3511" i="1"/>
  <c r="A3512" i="1"/>
  <c r="B3512" i="1" s="1"/>
  <c r="C3512" i="1"/>
  <c r="A3513" i="1"/>
  <c r="B3513" i="1" s="1"/>
  <c r="C3513" i="1"/>
  <c r="A3514" i="1"/>
  <c r="B3514" i="1" s="1"/>
  <c r="C3514" i="1"/>
  <c r="A3515" i="1"/>
  <c r="B3515" i="1" s="1"/>
  <c r="C3515" i="1"/>
  <c r="A3516" i="1"/>
  <c r="B3516" i="1" s="1"/>
  <c r="C3516" i="1"/>
  <c r="A3517" i="1"/>
  <c r="B3517" i="1" s="1"/>
  <c r="C3517" i="1"/>
  <c r="A3518" i="1"/>
  <c r="B3518" i="1" s="1"/>
  <c r="C3518" i="1"/>
  <c r="A3519" i="1"/>
  <c r="B3519" i="1" s="1"/>
  <c r="C3519" i="1"/>
  <c r="A3520" i="1"/>
  <c r="B3520" i="1" s="1"/>
  <c r="C3520" i="1"/>
  <c r="A3521" i="1"/>
  <c r="B3521" i="1" s="1"/>
  <c r="C3521" i="1"/>
  <c r="A3522" i="1"/>
  <c r="B3522" i="1" s="1"/>
  <c r="C3522" i="1"/>
  <c r="A3523" i="1"/>
  <c r="B3523" i="1" s="1"/>
  <c r="C3523" i="1"/>
  <c r="A3524" i="1"/>
  <c r="B3524" i="1" s="1"/>
  <c r="C3524" i="1"/>
  <c r="A3525" i="1"/>
  <c r="B3525" i="1" s="1"/>
  <c r="C3525" i="1"/>
  <c r="A3526" i="1"/>
  <c r="B3526" i="1" s="1"/>
  <c r="C3526" i="1"/>
  <c r="A3527" i="1"/>
  <c r="C3527" i="1"/>
  <c r="A3528" i="1"/>
  <c r="B3528" i="1" s="1"/>
  <c r="C3528" i="1"/>
  <c r="A3529" i="1"/>
  <c r="B3529" i="1" s="1"/>
  <c r="C3529" i="1"/>
  <c r="A3530" i="1"/>
  <c r="B3530" i="1" s="1"/>
  <c r="C3530" i="1"/>
  <c r="A3531" i="1"/>
  <c r="B3531" i="1" s="1"/>
  <c r="C3531" i="1"/>
  <c r="A3532" i="1"/>
  <c r="B3532" i="1" s="1"/>
  <c r="C3532" i="1"/>
  <c r="A3533" i="1"/>
  <c r="B3533" i="1" s="1"/>
  <c r="C3533" i="1"/>
  <c r="A3534" i="1"/>
  <c r="B3534" i="1" s="1"/>
  <c r="C3534" i="1"/>
  <c r="A3535" i="1"/>
  <c r="B3535" i="1" s="1"/>
  <c r="C3535" i="1"/>
  <c r="A3536" i="1"/>
  <c r="B3536" i="1" s="1"/>
  <c r="C3536" i="1"/>
  <c r="A3537" i="1"/>
  <c r="B3537" i="1" s="1"/>
  <c r="C3537" i="1"/>
  <c r="A3538" i="1"/>
  <c r="B3538" i="1" s="1"/>
  <c r="C3538" i="1"/>
  <c r="A3539" i="1"/>
  <c r="B3539" i="1" s="1"/>
  <c r="C3539" i="1"/>
  <c r="A3540" i="1"/>
  <c r="B3540" i="1" s="1"/>
  <c r="C3540" i="1"/>
  <c r="A3541" i="1"/>
  <c r="B3541" i="1" s="1"/>
  <c r="C3541" i="1"/>
  <c r="A3542" i="1"/>
  <c r="B3542" i="1" s="1"/>
  <c r="C3542" i="1"/>
  <c r="A3543" i="1"/>
  <c r="B3543" i="1" s="1"/>
  <c r="C3543" i="1"/>
  <c r="A3544" i="1"/>
  <c r="B3544" i="1" s="1"/>
  <c r="C3544" i="1"/>
  <c r="A3545" i="1"/>
  <c r="B3545" i="1" s="1"/>
  <c r="C3545" i="1"/>
  <c r="A3546" i="1"/>
  <c r="B3546" i="1" s="1"/>
  <c r="C3546" i="1"/>
  <c r="A3547" i="1"/>
  <c r="B3547" i="1" s="1"/>
  <c r="C3547" i="1"/>
  <c r="A3548" i="1"/>
  <c r="C3548" i="1"/>
  <c r="A3549" i="1"/>
  <c r="B3549" i="1" s="1"/>
  <c r="C3549" i="1"/>
  <c r="A3550" i="1"/>
  <c r="B3550" i="1" s="1"/>
  <c r="C3550" i="1"/>
  <c r="A3551" i="1"/>
  <c r="B3551" i="1" s="1"/>
  <c r="C3551" i="1"/>
  <c r="A3552" i="1"/>
  <c r="B3552" i="1" s="1"/>
  <c r="C3552" i="1"/>
  <c r="A3553" i="1"/>
  <c r="B3553" i="1" s="1"/>
  <c r="C3553" i="1"/>
  <c r="A3554" i="1"/>
  <c r="B3554" i="1" s="1"/>
  <c r="C3554" i="1"/>
  <c r="A3555" i="1"/>
  <c r="B3555" i="1" s="1"/>
  <c r="C3555" i="1"/>
  <c r="A3556" i="1"/>
  <c r="B3556" i="1" s="1"/>
  <c r="C3556" i="1"/>
  <c r="A3557" i="1"/>
  <c r="B3557" i="1" s="1"/>
  <c r="C3557" i="1"/>
  <c r="A3558" i="1"/>
  <c r="B3558" i="1" s="1"/>
  <c r="C3558" i="1"/>
  <c r="A3559" i="1"/>
  <c r="B3559" i="1" s="1"/>
  <c r="C3559" i="1"/>
  <c r="A3560" i="1"/>
  <c r="B3560" i="1" s="1"/>
  <c r="C3560" i="1"/>
  <c r="A3561" i="1"/>
  <c r="B3561" i="1" s="1"/>
  <c r="C3561" i="1"/>
  <c r="A3562" i="1"/>
  <c r="B3562" i="1" s="1"/>
  <c r="C3562" i="1"/>
  <c r="A3563" i="1"/>
  <c r="B3563" i="1" s="1"/>
  <c r="C3563" i="1"/>
  <c r="A3564" i="1"/>
  <c r="B3564" i="1" s="1"/>
  <c r="C3564" i="1"/>
  <c r="A3565" i="1"/>
  <c r="B3565" i="1" s="1"/>
  <c r="C3565" i="1"/>
  <c r="A3566" i="1"/>
  <c r="B3566" i="1" s="1"/>
  <c r="C3566" i="1"/>
  <c r="A3567" i="1"/>
  <c r="B3567" i="1" s="1"/>
  <c r="C3567" i="1"/>
  <c r="A3568" i="1"/>
  <c r="B3568" i="1" s="1"/>
  <c r="C3568" i="1"/>
  <c r="A3569" i="1"/>
  <c r="B3569" i="1" s="1"/>
  <c r="C3569" i="1"/>
  <c r="A3570" i="1"/>
  <c r="B3570" i="1" s="1"/>
  <c r="C3570" i="1"/>
  <c r="A3571" i="1"/>
  <c r="B3571" i="1" s="1"/>
  <c r="C3571" i="1"/>
  <c r="A3572" i="1"/>
  <c r="B3572" i="1" s="1"/>
  <c r="C3572" i="1"/>
  <c r="A3573" i="1"/>
  <c r="B3573" i="1" s="1"/>
  <c r="C3573" i="1"/>
  <c r="A3574" i="1"/>
  <c r="B3574" i="1" s="1"/>
  <c r="C3574" i="1"/>
  <c r="A3575" i="1"/>
  <c r="B3575" i="1" s="1"/>
  <c r="C3575" i="1"/>
  <c r="A3576" i="1"/>
  <c r="B3576" i="1" s="1"/>
  <c r="C3576" i="1"/>
  <c r="A3577" i="1"/>
  <c r="B3577" i="1" s="1"/>
  <c r="C3577" i="1"/>
  <c r="A3578" i="1"/>
  <c r="B3578" i="1" s="1"/>
  <c r="C3578" i="1"/>
  <c r="A3579" i="1"/>
  <c r="B3579" i="1" s="1"/>
  <c r="C3579" i="1"/>
  <c r="A3580" i="1"/>
  <c r="B3580" i="1" s="1"/>
  <c r="C3580" i="1"/>
  <c r="A3581" i="1"/>
  <c r="B3581" i="1" s="1"/>
  <c r="C3581" i="1"/>
  <c r="A3582" i="1"/>
  <c r="B3582" i="1" s="1"/>
  <c r="C3582" i="1"/>
  <c r="A3583" i="1"/>
  <c r="B3583" i="1" s="1"/>
  <c r="C3583" i="1"/>
  <c r="A3584" i="1"/>
  <c r="B3584" i="1" s="1"/>
  <c r="C3584" i="1"/>
  <c r="A3585" i="1"/>
  <c r="B3585" i="1" s="1"/>
  <c r="C3585" i="1"/>
  <c r="A3586" i="1"/>
  <c r="B3586" i="1" s="1"/>
  <c r="C3586" i="1"/>
  <c r="A3587" i="1"/>
  <c r="B3587" i="1" s="1"/>
  <c r="C3587" i="1"/>
  <c r="A3588" i="1"/>
  <c r="B3588" i="1" s="1"/>
  <c r="C3588" i="1"/>
  <c r="A3589" i="1"/>
  <c r="B3589" i="1" s="1"/>
  <c r="C3589" i="1"/>
  <c r="A3590" i="1"/>
  <c r="B3590" i="1" s="1"/>
  <c r="C3590" i="1"/>
  <c r="A3591" i="1"/>
  <c r="B3591" i="1" s="1"/>
  <c r="C3591" i="1"/>
  <c r="A3592" i="1"/>
  <c r="B3592" i="1" s="1"/>
  <c r="C3592" i="1"/>
  <c r="A3593" i="1"/>
  <c r="B3593" i="1" s="1"/>
  <c r="C3593" i="1"/>
  <c r="A3594" i="1"/>
  <c r="B3594" i="1" s="1"/>
  <c r="C3594" i="1"/>
  <c r="A3595" i="1"/>
  <c r="B3595" i="1" s="1"/>
  <c r="C3595" i="1"/>
  <c r="A3596" i="1"/>
  <c r="B3596" i="1" s="1"/>
  <c r="C3596" i="1"/>
  <c r="A3597" i="1"/>
  <c r="B3597" i="1" s="1"/>
  <c r="C3597" i="1"/>
  <c r="A3598" i="1"/>
  <c r="C3598" i="1"/>
  <c r="A3599" i="1"/>
  <c r="C3599" i="1"/>
  <c r="A3600" i="1"/>
  <c r="B3600" i="1" s="1"/>
  <c r="C3600" i="1"/>
  <c r="A3601" i="1"/>
  <c r="B3601" i="1" s="1"/>
  <c r="C3601" i="1"/>
  <c r="A3602" i="1"/>
  <c r="B3602" i="1" s="1"/>
  <c r="C3602" i="1"/>
  <c r="A3603" i="1"/>
  <c r="B3603" i="1" s="1"/>
  <c r="C3603" i="1"/>
  <c r="A3604" i="1"/>
  <c r="B3604" i="1" s="1"/>
  <c r="C3604" i="1"/>
  <c r="A3605" i="1"/>
  <c r="B3605" i="1" s="1"/>
  <c r="C3605" i="1"/>
  <c r="A3606" i="1"/>
  <c r="B3606" i="1" s="1"/>
  <c r="C3606" i="1"/>
  <c r="A3607" i="1"/>
  <c r="B3607" i="1" s="1"/>
  <c r="C3607" i="1"/>
  <c r="A3608" i="1"/>
  <c r="B3608" i="1" s="1"/>
  <c r="C3608" i="1"/>
  <c r="A3609" i="1"/>
  <c r="B3609" i="1" s="1"/>
  <c r="C3609" i="1"/>
  <c r="A3610" i="1"/>
  <c r="B3610" i="1" s="1"/>
  <c r="C3610" i="1"/>
  <c r="A3611" i="1"/>
  <c r="B3611" i="1" s="1"/>
  <c r="C3611" i="1"/>
  <c r="A3612" i="1"/>
  <c r="B3612" i="1" s="1"/>
  <c r="C3612" i="1"/>
  <c r="A3613" i="1"/>
  <c r="B3613" i="1" s="1"/>
  <c r="C3613" i="1"/>
  <c r="A3614" i="1"/>
  <c r="B3614" i="1" s="1"/>
  <c r="C3614" i="1"/>
  <c r="A3615" i="1"/>
  <c r="B3615" i="1" s="1"/>
  <c r="C3615" i="1"/>
  <c r="A3616" i="1"/>
  <c r="B3616" i="1" s="1"/>
  <c r="C3616" i="1"/>
  <c r="A3617" i="1"/>
  <c r="B3617" i="1" s="1"/>
  <c r="C3617" i="1"/>
  <c r="A3618" i="1"/>
  <c r="B3618" i="1" s="1"/>
  <c r="C3618" i="1"/>
  <c r="A3619" i="1"/>
  <c r="B3619" i="1" s="1"/>
  <c r="C3619" i="1"/>
  <c r="A3620" i="1"/>
  <c r="C3620" i="1"/>
  <c r="A3621" i="1"/>
  <c r="B3621" i="1" s="1"/>
  <c r="C3621" i="1"/>
  <c r="A3622" i="1"/>
  <c r="B3622" i="1" s="1"/>
  <c r="C3622" i="1"/>
  <c r="A3623" i="1"/>
  <c r="B3623" i="1" s="1"/>
  <c r="C3623" i="1"/>
  <c r="A3624" i="1"/>
  <c r="B3624" i="1" s="1"/>
  <c r="C3624" i="1"/>
  <c r="A3625" i="1"/>
  <c r="B3625" i="1" s="1"/>
  <c r="C3625" i="1"/>
  <c r="A3626" i="1"/>
  <c r="B3626" i="1" s="1"/>
  <c r="C3626" i="1"/>
  <c r="A3627" i="1"/>
  <c r="B3627" i="1" s="1"/>
  <c r="C3627" i="1"/>
  <c r="A3628" i="1"/>
  <c r="B3628" i="1" s="1"/>
  <c r="C3628" i="1"/>
  <c r="A3629" i="1"/>
  <c r="B3629" i="1" s="1"/>
  <c r="C3629" i="1"/>
  <c r="A3630" i="1"/>
  <c r="B3630" i="1" s="1"/>
  <c r="C3630" i="1"/>
  <c r="A3631" i="1"/>
  <c r="B3631" i="1" s="1"/>
  <c r="C3631" i="1"/>
  <c r="A3632" i="1"/>
  <c r="C3632" i="1"/>
  <c r="A3633" i="1"/>
  <c r="B3633" i="1" s="1"/>
  <c r="C3633" i="1"/>
  <c r="A3634" i="1"/>
  <c r="B3634" i="1" s="1"/>
  <c r="C3634" i="1"/>
  <c r="A3635" i="1"/>
  <c r="B3635" i="1" s="1"/>
  <c r="C3635" i="1"/>
  <c r="A3636" i="1"/>
  <c r="B3636" i="1" s="1"/>
  <c r="C3636" i="1"/>
  <c r="A3637" i="1"/>
  <c r="B3637" i="1" s="1"/>
  <c r="C3637" i="1"/>
  <c r="A3638" i="1"/>
  <c r="B3638" i="1" s="1"/>
  <c r="C3638" i="1"/>
  <c r="A3639" i="1"/>
  <c r="B3639" i="1" s="1"/>
  <c r="C3639" i="1"/>
  <c r="A3640" i="1"/>
  <c r="B3640" i="1" s="1"/>
  <c r="C3640" i="1"/>
  <c r="A3641" i="1"/>
  <c r="B3641" i="1" s="1"/>
  <c r="C3641" i="1"/>
  <c r="A3642" i="1"/>
  <c r="B3642" i="1" s="1"/>
  <c r="C3642" i="1"/>
  <c r="A3643" i="1"/>
  <c r="B3643" i="1" s="1"/>
  <c r="C3643" i="1"/>
  <c r="A3644" i="1"/>
  <c r="B3644" i="1" s="1"/>
  <c r="C3644" i="1"/>
  <c r="A3645" i="1"/>
  <c r="C3645" i="1"/>
  <c r="A3646" i="1"/>
  <c r="B3646" i="1" s="1"/>
  <c r="C3646" i="1"/>
  <c r="A3647" i="1"/>
  <c r="B3647" i="1" s="1"/>
  <c r="C3647" i="1"/>
  <c r="A3648" i="1"/>
  <c r="B3648" i="1" s="1"/>
  <c r="C3648" i="1"/>
  <c r="A3649" i="1"/>
  <c r="B3649" i="1" s="1"/>
  <c r="C3649" i="1"/>
  <c r="A3650" i="1"/>
  <c r="B3650" i="1" s="1"/>
  <c r="C3650" i="1"/>
  <c r="A3651" i="1"/>
  <c r="B3651" i="1" s="1"/>
  <c r="C3651" i="1"/>
  <c r="A3652" i="1"/>
  <c r="B3652" i="1" s="1"/>
  <c r="C3652" i="1"/>
  <c r="A3653" i="1"/>
  <c r="B3653" i="1" s="1"/>
  <c r="C3653" i="1"/>
  <c r="A3654" i="1"/>
  <c r="B3654" i="1" s="1"/>
  <c r="C3654" i="1"/>
  <c r="A3655" i="1"/>
  <c r="B3655" i="1" s="1"/>
  <c r="C3655" i="1"/>
  <c r="A3656" i="1"/>
  <c r="B3656" i="1" s="1"/>
  <c r="C3656" i="1"/>
  <c r="A3657" i="1"/>
  <c r="B3657" i="1" s="1"/>
  <c r="C3657" i="1"/>
  <c r="A3658" i="1"/>
  <c r="B3658" i="1" s="1"/>
  <c r="C3658" i="1"/>
  <c r="A3659" i="1"/>
  <c r="B3659" i="1" s="1"/>
  <c r="C3659" i="1"/>
  <c r="A3660" i="1"/>
  <c r="B3660" i="1" s="1"/>
  <c r="C3660" i="1"/>
  <c r="A3661" i="1"/>
  <c r="B3661" i="1" s="1"/>
  <c r="C3661" i="1"/>
  <c r="A3662" i="1"/>
  <c r="B3662" i="1" s="1"/>
  <c r="C3662" i="1"/>
  <c r="A3663" i="1"/>
  <c r="B3663" i="1" s="1"/>
  <c r="C3663" i="1"/>
  <c r="A3664" i="1"/>
  <c r="B3664" i="1" s="1"/>
  <c r="C3664" i="1"/>
  <c r="A3665" i="1"/>
  <c r="B3665" i="1" s="1"/>
  <c r="C3665" i="1"/>
  <c r="A3666" i="1"/>
  <c r="B3666" i="1" s="1"/>
  <c r="C3666" i="1"/>
  <c r="A3667" i="1"/>
  <c r="B3667" i="1" s="1"/>
  <c r="C3667" i="1"/>
  <c r="A3668" i="1"/>
  <c r="B3668" i="1" s="1"/>
  <c r="C3668" i="1"/>
  <c r="A3669" i="1"/>
  <c r="B3669" i="1" s="1"/>
  <c r="C3669" i="1"/>
  <c r="A3670" i="1"/>
  <c r="B3670" i="1" s="1"/>
  <c r="C3670" i="1"/>
  <c r="A3671" i="1"/>
  <c r="B3671" i="1" s="1"/>
  <c r="C3671" i="1"/>
  <c r="A3672" i="1"/>
  <c r="B3672" i="1" s="1"/>
  <c r="C3672" i="1"/>
  <c r="A3673" i="1"/>
  <c r="B3673" i="1" s="1"/>
  <c r="C3673" i="1"/>
  <c r="A3674" i="1"/>
  <c r="B3674" i="1" s="1"/>
  <c r="C3674" i="1"/>
  <c r="A3675" i="1"/>
  <c r="B3675" i="1" s="1"/>
  <c r="C3675" i="1"/>
  <c r="A3676" i="1"/>
  <c r="B3676" i="1" s="1"/>
  <c r="C3676" i="1"/>
  <c r="A3677" i="1"/>
  <c r="B3677" i="1" s="1"/>
  <c r="C3677" i="1"/>
  <c r="A3678" i="1"/>
  <c r="B3678" i="1" s="1"/>
  <c r="C3678" i="1"/>
  <c r="A3679" i="1"/>
  <c r="B3679" i="1" s="1"/>
  <c r="C3679" i="1"/>
  <c r="A3680" i="1"/>
  <c r="B3680" i="1" s="1"/>
  <c r="C3680" i="1"/>
  <c r="A3681" i="1"/>
  <c r="B3681" i="1" s="1"/>
  <c r="C3681" i="1"/>
  <c r="A3682" i="1"/>
  <c r="B3682" i="1" s="1"/>
  <c r="C3682" i="1"/>
  <c r="A3683" i="1"/>
  <c r="B3683" i="1" s="1"/>
  <c r="C3683" i="1"/>
  <c r="A3684" i="1"/>
  <c r="B3684" i="1" s="1"/>
  <c r="C3684" i="1"/>
  <c r="A3685" i="1"/>
  <c r="B3685" i="1" s="1"/>
  <c r="C3685" i="1"/>
  <c r="A3686" i="1"/>
  <c r="B3686" i="1" s="1"/>
  <c r="C3686" i="1"/>
  <c r="A3687" i="1"/>
  <c r="B3687" i="1" s="1"/>
  <c r="C3687" i="1"/>
  <c r="A3688" i="1"/>
  <c r="B3688" i="1" s="1"/>
  <c r="C3688" i="1"/>
  <c r="A3689" i="1"/>
  <c r="B3689" i="1" s="1"/>
  <c r="C3689" i="1"/>
  <c r="A3690" i="1"/>
  <c r="B3690" i="1" s="1"/>
  <c r="C3690" i="1"/>
  <c r="A3691" i="1"/>
  <c r="B3691" i="1" s="1"/>
  <c r="C3691" i="1"/>
  <c r="A3692" i="1"/>
  <c r="B3692" i="1" s="1"/>
  <c r="C3692" i="1"/>
  <c r="A3693" i="1"/>
  <c r="B3693" i="1" s="1"/>
  <c r="C3693" i="1"/>
  <c r="A3694" i="1"/>
  <c r="B3694" i="1" s="1"/>
  <c r="C3694" i="1"/>
  <c r="A3695" i="1"/>
  <c r="B3695" i="1" s="1"/>
  <c r="C3695" i="1"/>
  <c r="A3696" i="1"/>
  <c r="B3696" i="1" s="1"/>
  <c r="C3696" i="1"/>
  <c r="A3697" i="1"/>
  <c r="B3697" i="1" s="1"/>
  <c r="C3697" i="1"/>
  <c r="A3698" i="1"/>
  <c r="B3698" i="1" s="1"/>
  <c r="C3698" i="1"/>
  <c r="A3699" i="1"/>
  <c r="B3699" i="1" s="1"/>
  <c r="C3699" i="1"/>
  <c r="A3700" i="1"/>
  <c r="B3700" i="1" s="1"/>
  <c r="C3700" i="1"/>
  <c r="A3701" i="1"/>
  <c r="B3701" i="1" s="1"/>
  <c r="C3701" i="1"/>
  <c r="A3702" i="1"/>
  <c r="B3702" i="1" s="1"/>
  <c r="C3702" i="1"/>
  <c r="A3703" i="1"/>
  <c r="B3703" i="1" s="1"/>
  <c r="C3703" i="1"/>
  <c r="A3704" i="1"/>
  <c r="C3704" i="1"/>
  <c r="A3705" i="1"/>
  <c r="B3705" i="1" s="1"/>
  <c r="C3705" i="1"/>
  <c r="A3706" i="1"/>
  <c r="B3706" i="1" s="1"/>
  <c r="C3706" i="1"/>
  <c r="A3707" i="1"/>
  <c r="B3707" i="1" s="1"/>
  <c r="C3707" i="1"/>
  <c r="A3708" i="1"/>
  <c r="B3708" i="1" s="1"/>
  <c r="C3708" i="1"/>
  <c r="A3709" i="1"/>
  <c r="B3709" i="1" s="1"/>
  <c r="C3709" i="1"/>
  <c r="A3710" i="1"/>
  <c r="B3710" i="1" s="1"/>
  <c r="C3710" i="1"/>
  <c r="A3711" i="1"/>
  <c r="B3711" i="1" s="1"/>
  <c r="C3711" i="1"/>
  <c r="A3712" i="1"/>
  <c r="B3712" i="1" s="1"/>
  <c r="C3712" i="1"/>
  <c r="A3713" i="1"/>
  <c r="B3713" i="1" s="1"/>
  <c r="C3713" i="1"/>
  <c r="A3714" i="1"/>
  <c r="B3714" i="1" s="1"/>
  <c r="C3714" i="1"/>
  <c r="A3715" i="1"/>
  <c r="B3715" i="1" s="1"/>
  <c r="C3715" i="1"/>
  <c r="A3716" i="1"/>
  <c r="B3716" i="1" s="1"/>
  <c r="C3716" i="1"/>
  <c r="A3717" i="1"/>
  <c r="B3717" i="1" s="1"/>
  <c r="C3717" i="1"/>
  <c r="A3718" i="1"/>
  <c r="B3718" i="1" s="1"/>
  <c r="C3718" i="1"/>
  <c r="A3719" i="1"/>
  <c r="B3719" i="1" s="1"/>
  <c r="C3719" i="1"/>
  <c r="A3720" i="1"/>
  <c r="B3720" i="1" s="1"/>
  <c r="C3720" i="1"/>
  <c r="A3721" i="1"/>
  <c r="B3721" i="1" s="1"/>
  <c r="C3721" i="1"/>
  <c r="A3722" i="1"/>
  <c r="B3722" i="1" s="1"/>
  <c r="C3722" i="1"/>
  <c r="A3723" i="1"/>
  <c r="B3723" i="1" s="1"/>
  <c r="C3723" i="1"/>
  <c r="A3724" i="1"/>
  <c r="B3724" i="1" s="1"/>
  <c r="C3724" i="1"/>
  <c r="A3725" i="1"/>
  <c r="B3725" i="1" s="1"/>
  <c r="C3725" i="1"/>
  <c r="A3726" i="1"/>
  <c r="B3726" i="1" s="1"/>
  <c r="C3726" i="1"/>
  <c r="A3727" i="1"/>
  <c r="B3727" i="1" s="1"/>
  <c r="C3727" i="1"/>
  <c r="A3728" i="1"/>
  <c r="B3728" i="1" s="1"/>
  <c r="C3728" i="1"/>
  <c r="A3729" i="1"/>
  <c r="B3729" i="1" s="1"/>
  <c r="C3729" i="1"/>
  <c r="A3730" i="1"/>
  <c r="B3730" i="1" s="1"/>
  <c r="C3730" i="1"/>
  <c r="A3731" i="1"/>
  <c r="B3731" i="1" s="1"/>
  <c r="C3731" i="1"/>
  <c r="A3732" i="1"/>
  <c r="B3732" i="1" s="1"/>
  <c r="C3732" i="1"/>
  <c r="A3733" i="1"/>
  <c r="B3733" i="1" s="1"/>
  <c r="C3733" i="1"/>
  <c r="A3734" i="1"/>
  <c r="B3734" i="1" s="1"/>
  <c r="C3734" i="1"/>
  <c r="A3735" i="1"/>
  <c r="B3735" i="1" s="1"/>
  <c r="C3735" i="1"/>
  <c r="A3736" i="1"/>
  <c r="B3736" i="1" s="1"/>
  <c r="C3736" i="1"/>
  <c r="A3737" i="1"/>
  <c r="B3737" i="1" s="1"/>
  <c r="C3737" i="1"/>
  <c r="A3738" i="1"/>
  <c r="B3738" i="1" s="1"/>
  <c r="C3738" i="1"/>
  <c r="A3739" i="1"/>
  <c r="B3739" i="1" s="1"/>
  <c r="C3739" i="1"/>
  <c r="A3740" i="1"/>
  <c r="B3740" i="1" s="1"/>
  <c r="C3740" i="1"/>
  <c r="A3741" i="1"/>
  <c r="B3741" i="1" s="1"/>
  <c r="C3741" i="1"/>
  <c r="A3742" i="1"/>
  <c r="B3742" i="1" s="1"/>
  <c r="C3742" i="1"/>
  <c r="A3743" i="1"/>
  <c r="C3743" i="1"/>
  <c r="A3744" i="1"/>
  <c r="B3744" i="1" s="1"/>
  <c r="C3744" i="1"/>
  <c r="A3745" i="1"/>
  <c r="B3745" i="1" s="1"/>
  <c r="C3745" i="1"/>
  <c r="A3746" i="1"/>
  <c r="B3746" i="1" s="1"/>
  <c r="C3746" i="1"/>
  <c r="A3747" i="1"/>
  <c r="B3747" i="1" s="1"/>
  <c r="C3747" i="1"/>
  <c r="A3748" i="1"/>
  <c r="B3748" i="1" s="1"/>
  <c r="C3748" i="1"/>
  <c r="A3749" i="1"/>
  <c r="B3749" i="1" s="1"/>
  <c r="C3749" i="1"/>
  <c r="A3750" i="1"/>
  <c r="B3750" i="1" s="1"/>
  <c r="C3750" i="1"/>
  <c r="A3751" i="1"/>
  <c r="B3751" i="1" s="1"/>
  <c r="C3751" i="1"/>
  <c r="A3752" i="1"/>
  <c r="B3752" i="1" s="1"/>
  <c r="C3752" i="1"/>
  <c r="A3753" i="1"/>
  <c r="B3753" i="1" s="1"/>
  <c r="C3753" i="1"/>
  <c r="A3754" i="1"/>
  <c r="B3754" i="1" s="1"/>
  <c r="C3754" i="1"/>
  <c r="A3755" i="1"/>
  <c r="B3755" i="1" s="1"/>
  <c r="C3755" i="1"/>
  <c r="A3756" i="1"/>
  <c r="B3756" i="1" s="1"/>
  <c r="C3756" i="1"/>
  <c r="A3757" i="1"/>
  <c r="B3757" i="1" s="1"/>
  <c r="C3757" i="1"/>
  <c r="A3758" i="1"/>
  <c r="B3758" i="1" s="1"/>
  <c r="C3758" i="1"/>
  <c r="A3759" i="1"/>
  <c r="B3759" i="1" s="1"/>
  <c r="C3759" i="1"/>
  <c r="A3760" i="1"/>
  <c r="B3760" i="1" s="1"/>
  <c r="C3760" i="1"/>
  <c r="A3761" i="1"/>
  <c r="B3761" i="1" s="1"/>
  <c r="C3761" i="1"/>
  <c r="A3762" i="1"/>
  <c r="B3762" i="1" s="1"/>
  <c r="C3762" i="1"/>
  <c r="A3763" i="1"/>
  <c r="B3763" i="1" s="1"/>
  <c r="C3763" i="1"/>
  <c r="A3764" i="1"/>
  <c r="B3764" i="1" s="1"/>
  <c r="C3764" i="1"/>
  <c r="A3765" i="1"/>
  <c r="B3765" i="1" s="1"/>
  <c r="C3765" i="1"/>
  <c r="A3766" i="1"/>
  <c r="B3766" i="1" s="1"/>
  <c r="C3766" i="1"/>
  <c r="A3767" i="1"/>
  <c r="C3767" i="1"/>
  <c r="A3768" i="1"/>
  <c r="B3768" i="1" s="1"/>
  <c r="C3768" i="1"/>
  <c r="A3769" i="1"/>
  <c r="B3769" i="1" s="1"/>
  <c r="C3769" i="1"/>
  <c r="A3770" i="1"/>
  <c r="B3770" i="1" s="1"/>
  <c r="C3770" i="1"/>
  <c r="A3771" i="1"/>
  <c r="B3771" i="1" s="1"/>
  <c r="C3771" i="1"/>
  <c r="A3772" i="1"/>
  <c r="B3772" i="1" s="1"/>
  <c r="C3772" i="1"/>
  <c r="A3773" i="1"/>
  <c r="B3773" i="1" s="1"/>
  <c r="C3773" i="1"/>
  <c r="A3774" i="1"/>
  <c r="B3774" i="1" s="1"/>
  <c r="C3774" i="1"/>
  <c r="A3775" i="1"/>
  <c r="B3775" i="1" s="1"/>
  <c r="C3775" i="1"/>
  <c r="A3776" i="1"/>
  <c r="B3776" i="1" s="1"/>
  <c r="C3776" i="1"/>
  <c r="A3777" i="1"/>
  <c r="B3777" i="1" s="1"/>
  <c r="C3777" i="1"/>
  <c r="A3778" i="1"/>
  <c r="B3778" i="1" s="1"/>
  <c r="C3778" i="1"/>
  <c r="A3779" i="1"/>
  <c r="B3779" i="1" s="1"/>
  <c r="C3779" i="1"/>
  <c r="A3780" i="1"/>
  <c r="B3780" i="1" s="1"/>
  <c r="C3780" i="1"/>
  <c r="A3781" i="1"/>
  <c r="B3781" i="1" s="1"/>
  <c r="C3781" i="1"/>
  <c r="A3782" i="1"/>
  <c r="B3782" i="1" s="1"/>
  <c r="C3782" i="1"/>
  <c r="A3783" i="1"/>
  <c r="B3783" i="1" s="1"/>
  <c r="C3783" i="1"/>
  <c r="A3784" i="1"/>
  <c r="B3784" i="1" s="1"/>
  <c r="C3784" i="1"/>
  <c r="A3785" i="1"/>
  <c r="B3785" i="1" s="1"/>
  <c r="C3785" i="1"/>
  <c r="A3786" i="1"/>
  <c r="B3786" i="1" s="1"/>
  <c r="C3786" i="1"/>
  <c r="A3787" i="1"/>
  <c r="B3787" i="1" s="1"/>
  <c r="C3787" i="1"/>
  <c r="A3788" i="1"/>
  <c r="B3788" i="1" s="1"/>
  <c r="C3788" i="1"/>
  <c r="A3789" i="1"/>
  <c r="B3789" i="1" s="1"/>
  <c r="C3789" i="1"/>
  <c r="A3790" i="1"/>
  <c r="B3790" i="1" s="1"/>
  <c r="C3790" i="1"/>
  <c r="A3791" i="1"/>
  <c r="B3791" i="1" s="1"/>
  <c r="C3791" i="1"/>
  <c r="A3792" i="1"/>
  <c r="B3792" i="1" s="1"/>
  <c r="C3792" i="1"/>
  <c r="A3793" i="1"/>
  <c r="B3793" i="1" s="1"/>
  <c r="C3793" i="1"/>
  <c r="A3794" i="1"/>
  <c r="B3794" i="1" s="1"/>
  <c r="C3794" i="1"/>
  <c r="A3795" i="1"/>
  <c r="B3795" i="1" s="1"/>
  <c r="C3795" i="1"/>
  <c r="A3796" i="1"/>
  <c r="B3796" i="1" s="1"/>
  <c r="C3796" i="1"/>
  <c r="A3797" i="1"/>
  <c r="B3797" i="1" s="1"/>
  <c r="C3797" i="1"/>
  <c r="A3798" i="1"/>
  <c r="B3798" i="1" s="1"/>
  <c r="C3798" i="1"/>
  <c r="A3799" i="1"/>
  <c r="B3799" i="1" s="1"/>
  <c r="C3799" i="1"/>
  <c r="A3800" i="1"/>
  <c r="B3800" i="1" s="1"/>
  <c r="C3800" i="1"/>
  <c r="A3801" i="1"/>
  <c r="B3801" i="1" s="1"/>
  <c r="C3801" i="1"/>
  <c r="A3802" i="1"/>
  <c r="B3802" i="1" s="1"/>
  <c r="C3802" i="1"/>
  <c r="A3803" i="1"/>
  <c r="B3803" i="1" s="1"/>
  <c r="C3803" i="1"/>
  <c r="A3804" i="1"/>
  <c r="B3804" i="1" s="1"/>
  <c r="C3804" i="1"/>
  <c r="A3805" i="1"/>
  <c r="B3805" i="1" s="1"/>
  <c r="C3805" i="1"/>
  <c r="A3806" i="1"/>
  <c r="B3806" i="1" s="1"/>
  <c r="C3806" i="1"/>
  <c r="A3807" i="1"/>
  <c r="B3807" i="1" s="1"/>
  <c r="C3807" i="1"/>
  <c r="A3808" i="1"/>
  <c r="B3808" i="1" s="1"/>
  <c r="C3808" i="1"/>
  <c r="A3809" i="1"/>
  <c r="B3809" i="1" s="1"/>
  <c r="C3809" i="1"/>
  <c r="A3810" i="1"/>
  <c r="B3810" i="1" s="1"/>
  <c r="C3810" i="1"/>
  <c r="A3811" i="1"/>
  <c r="B3811" i="1" s="1"/>
  <c r="C3811" i="1"/>
  <c r="A3812" i="1"/>
  <c r="B3812" i="1" s="1"/>
  <c r="C3812" i="1"/>
  <c r="A3813" i="1"/>
  <c r="B3813" i="1" s="1"/>
  <c r="C3813" i="1"/>
  <c r="A3814" i="1"/>
  <c r="B3814" i="1" s="1"/>
  <c r="C3814" i="1"/>
  <c r="A3815" i="1"/>
  <c r="C3815" i="1"/>
  <c r="A3816" i="1"/>
  <c r="B3816" i="1" s="1"/>
  <c r="C3816" i="1"/>
  <c r="A3817" i="1"/>
  <c r="B3817" i="1" s="1"/>
  <c r="C3817" i="1"/>
  <c r="A3818" i="1"/>
  <c r="B3818" i="1" s="1"/>
  <c r="C3818" i="1"/>
  <c r="A3819" i="1"/>
  <c r="B3819" i="1" s="1"/>
  <c r="C3819" i="1"/>
  <c r="A3820" i="1"/>
  <c r="B3820" i="1" s="1"/>
  <c r="C3820" i="1"/>
  <c r="A3821" i="1"/>
  <c r="B3821" i="1" s="1"/>
  <c r="C3821" i="1"/>
  <c r="A3822" i="1"/>
  <c r="B3822" i="1" s="1"/>
  <c r="C3822" i="1"/>
  <c r="A3823" i="1"/>
  <c r="B3823" i="1" s="1"/>
  <c r="C3823" i="1"/>
  <c r="A3824" i="1"/>
  <c r="B3824" i="1" s="1"/>
  <c r="C3824" i="1"/>
  <c r="A3825" i="1"/>
  <c r="B3825" i="1" s="1"/>
  <c r="C3825" i="1"/>
  <c r="A3826" i="1"/>
  <c r="B3826" i="1" s="1"/>
  <c r="C3826" i="1"/>
  <c r="A3827" i="1"/>
  <c r="B3827" i="1" s="1"/>
  <c r="C3827" i="1"/>
  <c r="A3828" i="1"/>
  <c r="B3828" i="1" s="1"/>
  <c r="C3828" i="1"/>
  <c r="A3829" i="1"/>
  <c r="B3829" i="1" s="1"/>
  <c r="C3829" i="1"/>
  <c r="A3830" i="1"/>
  <c r="B3830" i="1" s="1"/>
  <c r="C3830" i="1"/>
  <c r="A3831" i="1"/>
  <c r="B3831" i="1" s="1"/>
  <c r="C3831" i="1"/>
  <c r="A3832" i="1"/>
  <c r="B3832" i="1" s="1"/>
  <c r="C3832" i="1"/>
  <c r="A3833" i="1"/>
  <c r="B3833" i="1" s="1"/>
  <c r="C3833" i="1"/>
  <c r="A3834" i="1"/>
  <c r="B3834" i="1" s="1"/>
  <c r="C3834" i="1"/>
  <c r="A3835" i="1"/>
  <c r="B3835" i="1" s="1"/>
  <c r="C3835" i="1"/>
  <c r="A3836" i="1"/>
  <c r="B3836" i="1" s="1"/>
  <c r="C3836" i="1"/>
  <c r="A3837" i="1"/>
  <c r="B3837" i="1" s="1"/>
  <c r="C3837" i="1"/>
  <c r="A3838" i="1"/>
  <c r="B3838" i="1" s="1"/>
  <c r="C3838" i="1"/>
  <c r="A3839" i="1"/>
  <c r="B3839" i="1" s="1"/>
  <c r="C3839" i="1"/>
  <c r="A3840" i="1"/>
  <c r="C3840" i="1"/>
  <c r="A3841" i="1"/>
  <c r="B3841" i="1" s="1"/>
  <c r="C3841" i="1"/>
  <c r="A3842" i="1"/>
  <c r="B3842" i="1" s="1"/>
  <c r="C3842" i="1"/>
  <c r="A3843" i="1"/>
  <c r="B3843" i="1" s="1"/>
  <c r="C3843" i="1"/>
  <c r="A3844" i="1"/>
  <c r="B3844" i="1" s="1"/>
  <c r="C3844" i="1"/>
  <c r="A3845" i="1"/>
  <c r="B3845" i="1" s="1"/>
  <c r="C3845" i="1"/>
  <c r="A3846" i="1"/>
  <c r="B3846" i="1" s="1"/>
  <c r="C3846" i="1"/>
  <c r="A3847" i="1"/>
  <c r="B3847" i="1" s="1"/>
  <c r="C3847" i="1"/>
  <c r="A3848" i="1"/>
  <c r="C3848" i="1"/>
  <c r="A3849" i="1"/>
  <c r="B3849" i="1" s="1"/>
  <c r="C3849" i="1"/>
  <c r="A3850" i="1"/>
  <c r="B3850" i="1" s="1"/>
  <c r="C3850" i="1"/>
  <c r="A3851" i="1"/>
  <c r="C3851" i="1"/>
  <c r="A3852" i="1"/>
  <c r="B3852" i="1" s="1"/>
  <c r="C3852" i="1"/>
  <c r="A3853" i="1"/>
  <c r="B3853" i="1" s="1"/>
  <c r="C3853" i="1"/>
  <c r="A3854" i="1"/>
  <c r="B3854" i="1" s="1"/>
  <c r="C3854" i="1"/>
  <c r="A3855" i="1"/>
  <c r="B3855" i="1" s="1"/>
  <c r="C3855" i="1"/>
  <c r="A3856" i="1"/>
  <c r="B3856" i="1" s="1"/>
  <c r="C3856" i="1"/>
  <c r="A3857" i="1"/>
  <c r="B3857" i="1" s="1"/>
  <c r="C3857" i="1"/>
  <c r="A3858" i="1"/>
  <c r="B3858" i="1" s="1"/>
  <c r="C3858" i="1"/>
  <c r="A3859" i="1"/>
  <c r="B3859" i="1" s="1"/>
  <c r="C3859" i="1"/>
  <c r="A3860" i="1"/>
  <c r="B3860" i="1" s="1"/>
  <c r="C3860" i="1"/>
  <c r="A3861" i="1"/>
  <c r="B3861" i="1" s="1"/>
  <c r="C3861" i="1"/>
  <c r="A3862" i="1"/>
  <c r="B3862" i="1" s="1"/>
  <c r="C3862" i="1"/>
  <c r="A3863" i="1"/>
  <c r="B3863" i="1" s="1"/>
  <c r="C3863" i="1"/>
  <c r="A3864" i="1"/>
  <c r="B3864" i="1" s="1"/>
  <c r="C3864" i="1"/>
  <c r="A3865" i="1"/>
  <c r="B3865" i="1" s="1"/>
  <c r="C3865" i="1"/>
  <c r="A3866" i="1"/>
  <c r="B3866" i="1" s="1"/>
  <c r="C3866" i="1"/>
  <c r="A3867" i="1"/>
  <c r="B3867" i="1" s="1"/>
  <c r="C3867" i="1"/>
  <c r="A3868" i="1"/>
  <c r="B3868" i="1" s="1"/>
  <c r="C3868" i="1"/>
  <c r="A3869" i="1"/>
  <c r="B3869" i="1" s="1"/>
  <c r="C3869" i="1"/>
  <c r="A3870" i="1"/>
  <c r="B3870" i="1" s="1"/>
  <c r="C3870" i="1"/>
  <c r="A3871" i="1"/>
  <c r="B3871" i="1" s="1"/>
  <c r="C3871" i="1"/>
  <c r="A3872" i="1"/>
  <c r="C3872" i="1"/>
  <c r="A3873" i="1"/>
  <c r="B3873" i="1" s="1"/>
  <c r="C3873" i="1"/>
  <c r="A3874" i="1"/>
  <c r="B3874" i="1" s="1"/>
  <c r="C3874" i="1"/>
  <c r="A3875" i="1"/>
  <c r="C3875" i="1"/>
  <c r="A3876" i="1"/>
  <c r="B3876" i="1" s="1"/>
  <c r="C3876" i="1"/>
  <c r="A3877" i="1"/>
  <c r="B3877" i="1" s="1"/>
  <c r="C3877" i="1"/>
  <c r="A3878" i="1"/>
  <c r="B3878" i="1" s="1"/>
  <c r="C3878" i="1"/>
  <c r="A3879" i="1"/>
  <c r="B3879" i="1" s="1"/>
  <c r="C3879" i="1"/>
  <c r="A3880" i="1"/>
  <c r="B3880" i="1" s="1"/>
  <c r="C3880" i="1"/>
  <c r="A3881" i="1"/>
  <c r="B3881" i="1" s="1"/>
  <c r="C3881" i="1"/>
  <c r="A3882" i="1"/>
  <c r="B3882" i="1" s="1"/>
  <c r="C3882" i="1"/>
  <c r="A3883" i="1"/>
  <c r="B3883" i="1" s="1"/>
  <c r="C3883" i="1"/>
  <c r="A3884" i="1"/>
  <c r="B3884" i="1" s="1"/>
  <c r="C3884" i="1"/>
  <c r="A3885" i="1"/>
  <c r="B3885" i="1" s="1"/>
  <c r="C3885" i="1"/>
  <c r="A3886" i="1"/>
  <c r="B3886" i="1" s="1"/>
  <c r="C3886" i="1"/>
  <c r="A3887" i="1"/>
  <c r="B3887" i="1" s="1"/>
  <c r="C3887" i="1"/>
  <c r="A3888" i="1"/>
  <c r="B3888" i="1" s="1"/>
  <c r="C3888" i="1"/>
  <c r="A3889" i="1"/>
  <c r="B3889" i="1" s="1"/>
  <c r="C3889" i="1"/>
  <c r="A3890" i="1"/>
  <c r="B3890" i="1" s="1"/>
  <c r="C3890" i="1"/>
  <c r="A3891" i="1"/>
  <c r="B3891" i="1" s="1"/>
  <c r="C3891" i="1"/>
  <c r="A3892" i="1"/>
  <c r="B3892" i="1" s="1"/>
  <c r="C3892" i="1"/>
  <c r="A3893" i="1"/>
  <c r="B3893" i="1" s="1"/>
  <c r="C3893" i="1"/>
  <c r="A3894" i="1"/>
  <c r="B3894" i="1" s="1"/>
  <c r="C3894" i="1"/>
  <c r="A3895" i="1"/>
  <c r="B3895" i="1" s="1"/>
  <c r="C3895" i="1"/>
  <c r="A3896" i="1"/>
  <c r="B3896" i="1" s="1"/>
  <c r="C3896" i="1"/>
  <c r="A3897" i="1"/>
  <c r="B3897" i="1" s="1"/>
  <c r="C3897" i="1"/>
  <c r="A3898" i="1"/>
  <c r="B3898" i="1" s="1"/>
  <c r="C3898" i="1"/>
  <c r="A3899" i="1"/>
  <c r="B3899" i="1" s="1"/>
  <c r="C3899" i="1"/>
  <c r="A3900" i="1"/>
  <c r="B3900" i="1" s="1"/>
  <c r="C3900" i="1"/>
  <c r="A3901" i="1"/>
  <c r="B3901" i="1" s="1"/>
  <c r="C3901" i="1"/>
  <c r="A3902" i="1"/>
  <c r="B3902" i="1" s="1"/>
  <c r="C3902" i="1"/>
  <c r="A3903" i="1"/>
  <c r="B3903" i="1" s="1"/>
  <c r="C3903" i="1"/>
  <c r="A3904" i="1"/>
  <c r="B3904" i="1" s="1"/>
  <c r="C3904" i="1"/>
  <c r="A3905" i="1"/>
  <c r="B3905" i="1" s="1"/>
  <c r="C3905" i="1"/>
  <c r="A3906" i="1"/>
  <c r="B3906" i="1" s="1"/>
  <c r="C3906" i="1"/>
  <c r="A3907" i="1"/>
  <c r="B3907" i="1" s="1"/>
  <c r="C3907" i="1"/>
  <c r="A3908" i="1"/>
  <c r="B3908" i="1" s="1"/>
  <c r="C3908" i="1"/>
  <c r="A3909" i="1"/>
  <c r="B3909" i="1" s="1"/>
  <c r="C3909" i="1"/>
  <c r="A3910" i="1"/>
  <c r="B3910" i="1" s="1"/>
  <c r="C3910" i="1"/>
  <c r="A3911" i="1"/>
  <c r="C3911" i="1"/>
  <c r="A3912" i="1"/>
  <c r="B3912" i="1" s="1"/>
  <c r="C3912" i="1"/>
  <c r="A3913" i="1"/>
  <c r="B3913" i="1" s="1"/>
  <c r="C3913" i="1"/>
  <c r="A3914" i="1"/>
  <c r="B3914" i="1" s="1"/>
  <c r="C3914" i="1"/>
  <c r="A3915" i="1"/>
  <c r="B3915" i="1" s="1"/>
  <c r="C3915" i="1"/>
  <c r="A3916" i="1"/>
  <c r="B3916" i="1" s="1"/>
  <c r="C3916" i="1"/>
  <c r="A3917" i="1"/>
  <c r="B3917" i="1" s="1"/>
  <c r="C3917" i="1"/>
  <c r="A3918" i="1"/>
  <c r="B3918" i="1" s="1"/>
  <c r="C3918" i="1"/>
  <c r="A3919" i="1"/>
  <c r="B3919" i="1" s="1"/>
  <c r="C3919" i="1"/>
  <c r="A3920" i="1"/>
  <c r="B3920" i="1" s="1"/>
  <c r="C3920" i="1"/>
  <c r="A3921" i="1"/>
  <c r="B3921" i="1" s="1"/>
  <c r="C3921" i="1"/>
  <c r="A3922" i="1"/>
  <c r="B3922" i="1" s="1"/>
  <c r="C3922" i="1"/>
  <c r="A3923" i="1"/>
  <c r="B3923" i="1" s="1"/>
  <c r="C3923" i="1"/>
  <c r="A3924" i="1"/>
  <c r="B3924" i="1" s="1"/>
  <c r="C3924" i="1"/>
  <c r="A3925" i="1"/>
  <c r="B3925" i="1" s="1"/>
  <c r="C3925" i="1"/>
  <c r="A3926" i="1"/>
  <c r="B3926" i="1" s="1"/>
  <c r="C3926" i="1"/>
  <c r="A3927" i="1"/>
  <c r="B3927" i="1" s="1"/>
  <c r="C3927" i="1"/>
  <c r="A3928" i="1"/>
  <c r="B3928" i="1" s="1"/>
  <c r="C3928" i="1"/>
  <c r="A3929" i="1"/>
  <c r="B3929" i="1" s="1"/>
  <c r="C3929" i="1"/>
  <c r="A3930" i="1"/>
  <c r="B3930" i="1" s="1"/>
  <c r="C3930" i="1"/>
  <c r="A3931" i="1"/>
  <c r="B3931" i="1" s="1"/>
  <c r="C3931" i="1"/>
  <c r="A3932" i="1"/>
  <c r="B3932" i="1" s="1"/>
  <c r="C3932" i="1"/>
  <c r="A3933" i="1"/>
  <c r="B3933" i="1" s="1"/>
  <c r="C3933" i="1"/>
  <c r="A3934" i="1"/>
  <c r="B3934" i="1" s="1"/>
  <c r="C3934" i="1"/>
  <c r="A3935" i="1"/>
  <c r="B3935" i="1" s="1"/>
  <c r="C3935" i="1"/>
  <c r="A3936" i="1"/>
  <c r="B3936" i="1" s="1"/>
  <c r="C3936" i="1"/>
  <c r="A3937" i="1"/>
  <c r="B3937" i="1" s="1"/>
  <c r="C3937" i="1"/>
  <c r="A3938" i="1"/>
  <c r="B3938" i="1" s="1"/>
  <c r="C3938" i="1"/>
  <c r="A3939" i="1"/>
  <c r="B3939" i="1" s="1"/>
  <c r="C3939" i="1"/>
  <c r="A3940" i="1"/>
  <c r="B3940" i="1" s="1"/>
  <c r="C3940" i="1"/>
  <c r="A3941" i="1"/>
  <c r="B3941" i="1" s="1"/>
  <c r="C3941" i="1"/>
  <c r="A3942" i="1"/>
  <c r="B3942" i="1" s="1"/>
  <c r="C3942" i="1"/>
  <c r="A3943" i="1"/>
  <c r="B3943" i="1" s="1"/>
  <c r="C3943" i="1"/>
  <c r="A3944" i="1"/>
  <c r="C3944" i="1"/>
  <c r="A3945" i="1"/>
  <c r="B3945" i="1" s="1"/>
  <c r="C3945" i="1"/>
  <c r="A3946" i="1"/>
  <c r="B3946" i="1" s="1"/>
  <c r="C3946" i="1"/>
  <c r="A3947" i="1"/>
  <c r="C3947" i="1"/>
  <c r="A3948" i="1"/>
  <c r="B3948" i="1" s="1"/>
  <c r="C3948" i="1"/>
  <c r="A3949" i="1"/>
  <c r="B3949" i="1" s="1"/>
  <c r="C3949" i="1"/>
  <c r="A3950" i="1"/>
  <c r="B3950" i="1" s="1"/>
  <c r="C3950" i="1"/>
  <c r="A3951" i="1"/>
  <c r="B3951" i="1" s="1"/>
  <c r="C3951" i="1"/>
  <c r="A3952" i="1"/>
  <c r="B3952" i="1" s="1"/>
  <c r="C3952" i="1"/>
  <c r="A3953" i="1"/>
  <c r="B3953" i="1" s="1"/>
  <c r="C3953" i="1"/>
  <c r="A3954" i="1"/>
  <c r="B3954" i="1" s="1"/>
  <c r="C3954" i="1"/>
  <c r="A3955" i="1"/>
  <c r="B3955" i="1" s="1"/>
  <c r="C3955" i="1"/>
  <c r="A3956" i="1"/>
  <c r="B3956" i="1" s="1"/>
  <c r="C3956" i="1"/>
  <c r="A3957" i="1"/>
  <c r="B3957" i="1" s="1"/>
  <c r="C3957" i="1"/>
  <c r="A3958" i="1"/>
  <c r="B3958" i="1" s="1"/>
  <c r="C3958" i="1"/>
  <c r="A3959" i="1"/>
  <c r="B3959" i="1" s="1"/>
  <c r="C3959" i="1"/>
  <c r="A3960" i="1"/>
  <c r="B3960" i="1" s="1"/>
  <c r="C3960" i="1"/>
  <c r="A3961" i="1"/>
  <c r="B3961" i="1" s="1"/>
  <c r="C3961" i="1"/>
  <c r="A3962" i="1"/>
  <c r="B3962" i="1" s="1"/>
  <c r="C3962" i="1"/>
  <c r="A3963" i="1"/>
  <c r="B3963" i="1" s="1"/>
  <c r="C3963" i="1"/>
  <c r="A3964" i="1"/>
  <c r="B3964" i="1" s="1"/>
  <c r="C3964" i="1"/>
  <c r="A3965" i="1"/>
  <c r="B3965" i="1" s="1"/>
  <c r="C3965" i="1"/>
  <c r="A3966" i="1"/>
  <c r="B3966" i="1" s="1"/>
  <c r="C3966" i="1"/>
  <c r="A3967" i="1"/>
  <c r="B3967" i="1" s="1"/>
  <c r="C3967" i="1"/>
  <c r="A3968" i="1"/>
  <c r="B3968" i="1" s="1"/>
  <c r="C3968" i="1"/>
  <c r="A3969" i="1"/>
  <c r="B3969" i="1" s="1"/>
  <c r="C3969" i="1"/>
  <c r="A3970" i="1"/>
  <c r="B3970" i="1" s="1"/>
  <c r="C3970" i="1"/>
  <c r="A3971" i="1"/>
  <c r="C3971" i="1"/>
  <c r="A3972" i="1"/>
  <c r="C3972" i="1"/>
  <c r="A3973" i="1"/>
  <c r="B3973" i="1" s="1"/>
  <c r="C3973" i="1"/>
  <c r="A3974" i="1"/>
  <c r="B3974" i="1" s="1"/>
  <c r="C3974" i="1"/>
  <c r="A3975" i="1"/>
  <c r="B3975" i="1" s="1"/>
  <c r="C3975" i="1"/>
  <c r="A3976" i="1"/>
  <c r="B3976" i="1" s="1"/>
  <c r="C3976" i="1"/>
  <c r="A3977" i="1"/>
  <c r="B3977" i="1" s="1"/>
  <c r="C3977" i="1"/>
  <c r="A3978" i="1"/>
  <c r="B3978" i="1" s="1"/>
  <c r="C3978" i="1"/>
  <c r="A3979" i="1"/>
  <c r="B3979" i="1" s="1"/>
  <c r="C3979" i="1"/>
  <c r="A3980" i="1"/>
  <c r="B3980" i="1" s="1"/>
  <c r="C3980" i="1"/>
  <c r="A3981" i="1"/>
  <c r="B3981" i="1" s="1"/>
  <c r="C3981" i="1"/>
  <c r="A3982" i="1"/>
  <c r="B3982" i="1" s="1"/>
  <c r="C3982" i="1"/>
  <c r="A3983" i="1"/>
  <c r="B3983" i="1" s="1"/>
  <c r="C3983" i="1"/>
  <c r="A3984" i="1"/>
  <c r="B3984" i="1" s="1"/>
  <c r="C3984" i="1"/>
  <c r="A3985" i="1"/>
  <c r="B3985" i="1" s="1"/>
  <c r="C3985" i="1"/>
  <c r="A3986" i="1"/>
  <c r="B3986" i="1" s="1"/>
  <c r="C3986" i="1"/>
  <c r="A3987" i="1"/>
  <c r="B3987" i="1" s="1"/>
  <c r="C3987" i="1"/>
  <c r="A3988" i="1"/>
  <c r="B3988" i="1" s="1"/>
  <c r="C3988" i="1"/>
  <c r="A3989" i="1"/>
  <c r="B3989" i="1" s="1"/>
  <c r="C3989" i="1"/>
  <c r="A3990" i="1"/>
  <c r="B3990" i="1" s="1"/>
  <c r="C3990" i="1"/>
  <c r="A3991" i="1"/>
  <c r="B3991" i="1" s="1"/>
  <c r="C3991" i="1"/>
  <c r="A3992" i="1"/>
  <c r="B3992" i="1" s="1"/>
  <c r="C3992" i="1"/>
  <c r="A3993" i="1"/>
  <c r="B3993" i="1" s="1"/>
  <c r="C3993" i="1"/>
  <c r="A3994" i="1"/>
  <c r="B3994" i="1" s="1"/>
  <c r="C3994" i="1"/>
  <c r="A3995" i="1"/>
  <c r="B3995" i="1" s="1"/>
  <c r="C3995" i="1"/>
  <c r="A3996" i="1"/>
  <c r="B3996" i="1" s="1"/>
  <c r="C3996" i="1"/>
  <c r="A3997" i="1"/>
  <c r="B3997" i="1" s="1"/>
  <c r="C3997" i="1"/>
  <c r="A3998" i="1"/>
  <c r="B3998" i="1" s="1"/>
  <c r="C3998" i="1"/>
  <c r="A3999" i="1"/>
  <c r="B3999" i="1" s="1"/>
  <c r="C3999" i="1"/>
  <c r="A4000" i="1"/>
  <c r="B4000" i="1" s="1"/>
  <c r="C4000" i="1"/>
  <c r="A4001" i="1"/>
  <c r="B4001" i="1" s="1"/>
  <c r="C4001" i="1"/>
  <c r="A4002" i="1"/>
  <c r="B4002" i="1" s="1"/>
  <c r="C4002" i="1"/>
  <c r="A4003" i="1"/>
  <c r="B4003" i="1" s="1"/>
  <c r="C4003" i="1"/>
  <c r="A4004" i="1"/>
  <c r="B4004" i="1" s="1"/>
  <c r="C4004" i="1"/>
  <c r="A4005" i="1"/>
  <c r="B4005" i="1" s="1"/>
  <c r="C4005" i="1"/>
  <c r="A4006" i="1"/>
  <c r="B4006" i="1" s="1"/>
  <c r="C4006" i="1"/>
  <c r="A4007" i="1"/>
  <c r="B4007" i="1" s="1"/>
  <c r="C4007" i="1"/>
  <c r="A4008" i="1"/>
  <c r="B4008" i="1" s="1"/>
  <c r="C4008" i="1"/>
  <c r="A4009" i="1"/>
  <c r="B4009" i="1" s="1"/>
  <c r="C4009" i="1"/>
  <c r="A4010" i="1"/>
  <c r="B4010" i="1" s="1"/>
  <c r="C4010" i="1"/>
  <c r="A4011" i="1"/>
  <c r="B4011" i="1" s="1"/>
  <c r="C4011" i="1"/>
  <c r="A4012" i="1"/>
  <c r="B4012" i="1" s="1"/>
  <c r="C4012" i="1"/>
  <c r="A4013" i="1"/>
  <c r="B4013" i="1" s="1"/>
  <c r="C4013" i="1"/>
  <c r="A4014" i="1"/>
  <c r="B4014" i="1" s="1"/>
  <c r="C4014" i="1"/>
  <c r="A4015" i="1"/>
  <c r="B4015" i="1" s="1"/>
  <c r="C4015" i="1"/>
  <c r="A4016" i="1"/>
  <c r="B4016" i="1" s="1"/>
  <c r="C4016" i="1"/>
  <c r="A4017" i="1"/>
  <c r="B4017" i="1" s="1"/>
  <c r="C4017" i="1"/>
  <c r="A4018" i="1"/>
  <c r="B4018" i="1" s="1"/>
  <c r="C4018" i="1"/>
  <c r="A4019" i="1"/>
  <c r="B4019" i="1" s="1"/>
  <c r="C4019" i="1"/>
  <c r="A4020" i="1"/>
  <c r="B4020" i="1" s="1"/>
  <c r="C4020" i="1"/>
  <c r="A4021" i="1"/>
  <c r="B4021" i="1" s="1"/>
  <c r="C4021" i="1"/>
  <c r="A4022" i="1"/>
  <c r="B4022" i="1" s="1"/>
  <c r="C4022" i="1"/>
  <c r="A4023" i="1"/>
  <c r="B4023" i="1" s="1"/>
  <c r="C4023" i="1"/>
  <c r="A4024" i="1"/>
  <c r="B4024" i="1" s="1"/>
  <c r="C4024" i="1"/>
  <c r="A4025" i="1"/>
  <c r="B4025" i="1" s="1"/>
  <c r="C4025" i="1"/>
  <c r="A4026" i="1"/>
  <c r="B4026" i="1" s="1"/>
  <c r="C4026" i="1"/>
  <c r="A4027" i="1"/>
  <c r="B4027" i="1" s="1"/>
  <c r="C4027" i="1"/>
  <c r="A4028" i="1"/>
  <c r="B4028" i="1" s="1"/>
  <c r="C4028" i="1"/>
  <c r="A4029" i="1"/>
  <c r="B4029" i="1" s="1"/>
  <c r="C4029" i="1"/>
  <c r="A4030" i="1"/>
  <c r="B4030" i="1" s="1"/>
  <c r="C4030" i="1"/>
  <c r="A4031" i="1"/>
  <c r="B4031" i="1" s="1"/>
  <c r="C4031" i="1"/>
  <c r="A4032" i="1"/>
  <c r="B4032" i="1" s="1"/>
  <c r="C4032" i="1"/>
  <c r="A4033" i="1"/>
  <c r="B4033" i="1" s="1"/>
  <c r="C4033" i="1"/>
  <c r="A4034" i="1"/>
  <c r="B4034" i="1" s="1"/>
  <c r="C4034" i="1"/>
  <c r="A4035" i="1"/>
  <c r="B4035" i="1" s="1"/>
  <c r="C4035" i="1"/>
  <c r="A4036" i="1"/>
  <c r="B4036" i="1" s="1"/>
  <c r="C4036" i="1"/>
  <c r="A4037" i="1"/>
  <c r="B4037" i="1" s="1"/>
  <c r="C4037" i="1"/>
  <c r="A4038" i="1"/>
  <c r="B4038" i="1" s="1"/>
  <c r="C4038" i="1"/>
  <c r="A4039" i="1"/>
  <c r="B4039" i="1" s="1"/>
  <c r="C4039" i="1"/>
  <c r="A4040" i="1"/>
  <c r="B4040" i="1" s="1"/>
  <c r="C4040" i="1"/>
  <c r="A4041" i="1"/>
  <c r="B4041" i="1" s="1"/>
  <c r="C4041" i="1"/>
  <c r="A4042" i="1"/>
  <c r="B4042" i="1" s="1"/>
  <c r="C4042" i="1"/>
  <c r="A4043" i="1"/>
  <c r="B4043" i="1" s="1"/>
  <c r="C4043" i="1"/>
  <c r="A4044" i="1"/>
  <c r="B4044" i="1" s="1"/>
  <c r="C4044" i="1"/>
  <c r="A4045" i="1"/>
  <c r="B4045" i="1" s="1"/>
  <c r="C4045" i="1"/>
  <c r="A4046" i="1"/>
  <c r="B4046" i="1" s="1"/>
  <c r="C4046" i="1"/>
  <c r="A4047" i="1"/>
  <c r="B4047" i="1" s="1"/>
  <c r="C4047" i="1"/>
  <c r="A4048" i="1"/>
  <c r="B4048" i="1" s="1"/>
  <c r="C4048" i="1"/>
  <c r="A4049" i="1"/>
  <c r="B4049" i="1" s="1"/>
  <c r="C4049" i="1"/>
  <c r="A4050" i="1"/>
  <c r="B4050" i="1" s="1"/>
  <c r="C4050" i="1"/>
  <c r="A4051" i="1"/>
  <c r="B4051" i="1" s="1"/>
  <c r="C4051" i="1"/>
  <c r="A4052" i="1"/>
  <c r="B4052" i="1" s="1"/>
  <c r="C4052" i="1"/>
  <c r="A4053" i="1"/>
  <c r="B4053" i="1" s="1"/>
  <c r="C4053" i="1"/>
  <c r="A4054" i="1"/>
  <c r="B4054" i="1" s="1"/>
  <c r="C4054" i="1"/>
  <c r="A4055" i="1"/>
  <c r="B4055" i="1" s="1"/>
  <c r="C4055" i="1"/>
  <c r="A4056" i="1"/>
  <c r="B4056" i="1" s="1"/>
  <c r="C4056" i="1"/>
  <c r="A4057" i="1"/>
  <c r="B4057" i="1" s="1"/>
  <c r="C4057" i="1"/>
  <c r="A4058" i="1"/>
  <c r="B4058" i="1" s="1"/>
  <c r="C4058" i="1"/>
  <c r="A4059" i="1"/>
  <c r="B4059" i="1" s="1"/>
  <c r="C4059" i="1"/>
  <c r="A4060" i="1"/>
  <c r="B4060" i="1" s="1"/>
  <c r="C4060" i="1"/>
  <c r="A4061" i="1"/>
  <c r="B4061" i="1" s="1"/>
  <c r="C4061" i="1"/>
  <c r="A4062" i="1"/>
  <c r="B4062" i="1" s="1"/>
  <c r="C4062" i="1"/>
  <c r="A4063" i="1"/>
  <c r="B4063" i="1" s="1"/>
  <c r="C4063" i="1"/>
  <c r="A4064" i="1"/>
  <c r="B4064" i="1" s="1"/>
  <c r="C4064" i="1"/>
  <c r="A4065" i="1"/>
  <c r="B4065" i="1" s="1"/>
  <c r="C4065" i="1"/>
  <c r="A4066" i="1"/>
  <c r="B4066" i="1" s="1"/>
  <c r="C4066" i="1"/>
  <c r="A4067" i="1"/>
  <c r="B4067" i="1" s="1"/>
  <c r="C4067" i="1"/>
  <c r="A4068" i="1"/>
  <c r="B4068" i="1" s="1"/>
  <c r="C4068" i="1"/>
  <c r="A4069" i="1"/>
  <c r="B4069" i="1" s="1"/>
  <c r="C4069" i="1"/>
  <c r="A4070" i="1"/>
  <c r="B4070" i="1" s="1"/>
  <c r="C4070" i="1"/>
  <c r="A4071" i="1"/>
  <c r="B4071" i="1" s="1"/>
  <c r="C4071" i="1"/>
  <c r="A4072" i="1"/>
  <c r="B4072" i="1" s="1"/>
  <c r="C4072" i="1"/>
  <c r="A4073" i="1"/>
  <c r="B4073" i="1" s="1"/>
  <c r="C4073" i="1"/>
  <c r="A4074" i="1"/>
  <c r="B4074" i="1" s="1"/>
  <c r="C4074" i="1"/>
  <c r="A4075" i="1"/>
  <c r="B4075" i="1" s="1"/>
  <c r="C4075" i="1"/>
  <c r="A4076" i="1"/>
  <c r="B4076" i="1" s="1"/>
  <c r="C4076" i="1"/>
  <c r="A4077" i="1"/>
  <c r="B4077" i="1" s="1"/>
  <c r="C4077" i="1"/>
  <c r="A4078" i="1"/>
  <c r="B4078" i="1" s="1"/>
  <c r="C4078" i="1"/>
  <c r="A4079" i="1"/>
  <c r="B4079" i="1" s="1"/>
  <c r="C4079" i="1"/>
  <c r="A4080" i="1"/>
  <c r="B4080" i="1" s="1"/>
  <c r="C4080" i="1"/>
  <c r="A4081" i="1"/>
  <c r="B4081" i="1" s="1"/>
  <c r="C4081" i="1"/>
  <c r="A4082" i="1"/>
  <c r="B4082" i="1" s="1"/>
  <c r="C4082" i="1"/>
  <c r="A4083" i="1"/>
  <c r="B4083" i="1" s="1"/>
  <c r="C4083" i="1"/>
  <c r="A4084" i="1"/>
  <c r="B4084" i="1" s="1"/>
  <c r="C4084" i="1"/>
  <c r="A4085" i="1"/>
  <c r="B4085" i="1" s="1"/>
  <c r="C4085" i="1"/>
  <c r="A4086" i="1"/>
  <c r="B4086" i="1" s="1"/>
  <c r="C4086" i="1"/>
  <c r="A4087" i="1"/>
  <c r="B4087" i="1" s="1"/>
  <c r="C4087" i="1"/>
  <c r="A4088" i="1"/>
  <c r="B4088" i="1" s="1"/>
  <c r="C4088" i="1"/>
  <c r="A4089" i="1"/>
  <c r="B4089" i="1" s="1"/>
  <c r="C4089" i="1"/>
  <c r="A4090" i="1"/>
  <c r="B4090" i="1" s="1"/>
  <c r="C4090" i="1"/>
  <c r="A4091" i="1"/>
  <c r="B4091" i="1" s="1"/>
  <c r="C4091" i="1"/>
  <c r="A4092" i="1"/>
  <c r="B4092" i="1" s="1"/>
  <c r="C4092" i="1"/>
  <c r="A4093" i="1"/>
  <c r="B4093" i="1" s="1"/>
  <c r="C4093" i="1"/>
  <c r="A4094" i="1"/>
  <c r="B4094" i="1" s="1"/>
  <c r="C4094" i="1"/>
  <c r="A4095" i="1"/>
  <c r="B4095" i="1" s="1"/>
  <c r="C4095" i="1"/>
  <c r="A4096" i="1"/>
  <c r="B4096" i="1" s="1"/>
  <c r="C4096" i="1"/>
  <c r="A4097" i="1"/>
  <c r="B4097" i="1" s="1"/>
  <c r="C4097" i="1"/>
  <c r="A4098" i="1"/>
  <c r="B4098" i="1" s="1"/>
  <c r="C4098" i="1"/>
  <c r="A4099" i="1"/>
  <c r="B4099" i="1" s="1"/>
  <c r="C4099" i="1"/>
  <c r="A4100" i="1"/>
  <c r="B4100" i="1" s="1"/>
  <c r="C4100" i="1"/>
  <c r="A4101" i="1"/>
  <c r="B4101" i="1" s="1"/>
  <c r="C4101" i="1"/>
  <c r="A4102" i="1"/>
  <c r="B4102" i="1" s="1"/>
  <c r="C4102" i="1"/>
  <c r="A4103" i="1"/>
  <c r="B4103" i="1" s="1"/>
  <c r="C4103" i="1"/>
  <c r="A4104" i="1"/>
  <c r="B4104" i="1" s="1"/>
  <c r="C4104" i="1"/>
  <c r="A4105" i="1"/>
  <c r="B4105" i="1" s="1"/>
  <c r="C4105" i="1"/>
  <c r="A4106" i="1"/>
  <c r="B4106" i="1" s="1"/>
  <c r="C4106" i="1"/>
  <c r="A4107" i="1"/>
  <c r="B4107" i="1" s="1"/>
  <c r="C4107" i="1"/>
  <c r="A4108" i="1"/>
  <c r="B4108" i="1" s="1"/>
  <c r="C4108" i="1"/>
  <c r="A4109" i="1"/>
  <c r="B4109" i="1" s="1"/>
  <c r="C4109" i="1"/>
  <c r="A4110" i="1"/>
  <c r="B4110" i="1" s="1"/>
  <c r="C4110" i="1"/>
  <c r="A4111" i="1"/>
  <c r="B4111" i="1" s="1"/>
  <c r="C4111" i="1"/>
  <c r="A4112" i="1"/>
  <c r="B4112" i="1" s="1"/>
  <c r="C4112" i="1"/>
  <c r="A4113" i="1"/>
  <c r="B4113" i="1" s="1"/>
  <c r="C4113" i="1"/>
  <c r="A4114" i="1"/>
  <c r="B4114" i="1" s="1"/>
  <c r="C4114" i="1"/>
  <c r="A4115" i="1"/>
  <c r="B4115" i="1" s="1"/>
  <c r="C4115" i="1"/>
  <c r="A4116" i="1"/>
  <c r="B4116" i="1" s="1"/>
  <c r="C4116" i="1"/>
  <c r="A4117" i="1"/>
  <c r="B4117" i="1" s="1"/>
  <c r="C4117" i="1"/>
  <c r="A4118" i="1"/>
  <c r="B4118" i="1" s="1"/>
  <c r="C4118" i="1"/>
  <c r="A4119" i="1"/>
  <c r="B4119" i="1" s="1"/>
  <c r="C4119" i="1"/>
  <c r="A4120" i="1"/>
  <c r="B4120" i="1" s="1"/>
  <c r="C4120" i="1"/>
  <c r="A4121" i="1"/>
  <c r="B4121" i="1" s="1"/>
  <c r="C4121" i="1"/>
  <c r="A4122" i="1"/>
  <c r="B4122" i="1" s="1"/>
  <c r="C4122" i="1"/>
  <c r="A4123" i="1"/>
  <c r="B4123" i="1" s="1"/>
  <c r="C4123" i="1"/>
  <c r="B13" i="4" l="1"/>
  <c r="B11" i="4"/>
  <c r="B2" i="4"/>
  <c r="B14" i="4"/>
  <c r="B3" i="4"/>
  <c r="B15" i="4"/>
  <c r="B4" i="4"/>
  <c r="B16" i="4"/>
  <c r="B5" i="4"/>
  <c r="B17" i="4"/>
  <c r="B6" i="4"/>
  <c r="B7" i="4"/>
  <c r="B8" i="4"/>
  <c r="B10" i="4"/>
  <c r="B12" i="4"/>
  <c r="B9" i="4"/>
</calcChain>
</file>

<file path=xl/sharedStrings.xml><?xml version="1.0" encoding="utf-8"?>
<sst xmlns="http://schemas.openxmlformats.org/spreadsheetml/2006/main" count="8252" uniqueCount="8230">
  <si>
    <t>01/13/2010</t>
  </si>
  <si>
    <t>01/14/2010</t>
  </si>
  <si>
    <t>01/15/2010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</si>
  <si>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</si>
  <si>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</si>
  <si>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</si>
  <si>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</si>
  <si>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</si>
  <si>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</si>
  <si>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</si>
  <si>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</si>
  <si>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</si>
  <si>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</si>
  <si>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</si>
  <si>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</si>
  <si>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</si>
  <si>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</si>
  <si>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</si>
  <si>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</si>
  <si>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</si>
  <si>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</si>
  <si>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</si>
  <si>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</si>
  <si>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</si>
  <si>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</si>
  <si>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</si>
  <si>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</si>
  <si>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</si>
  <si>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</si>
  <si>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</si>
  <si>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</si>
  <si>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</si>
  <si>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</si>
  <si>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</si>
  <si>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</si>
  <si>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</si>
  <si>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</si>
  <si>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</si>
  <si>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</si>
  <si>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</si>
  <si>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</si>
  <si>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</si>
  <si>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</si>
  <si>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</si>
  <si>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</si>
  <si>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</si>
  <si>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</si>
  <si>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</si>
  <si>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</si>
  <si>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</si>
  <si>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</si>
  <si>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</si>
  <si>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</si>
  <si>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</si>
  <si>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</si>
  <si>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</si>
  <si>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</si>
  <si>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</si>
  <si>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</si>
  <si>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</si>
  <si>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</si>
  <si>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</si>
  <si>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</si>
  <si>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</si>
  <si>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</si>
  <si>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</si>
  <si>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</si>
  <si>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</si>
  <si>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</si>
  <si>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</si>
  <si>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</si>
  <si>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</si>
  <si>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</si>
  <si>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</si>
  <si>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</si>
  <si>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</si>
  <si>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</si>
  <si>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</si>
  <si>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</si>
  <si>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</si>
  <si>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</si>
  <si>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</si>
  <si>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</si>
  <si>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</si>
  <si>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</si>
  <si>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</si>
  <si>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</si>
  <si>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</si>
  <si>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</si>
  <si>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</si>
  <si>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</si>
  <si>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</si>
  <si>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</si>
  <si>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</si>
  <si>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</si>
  <si>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</si>
  <si>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</si>
  <si>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</si>
  <si>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</si>
  <si>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</si>
  <si>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</si>
  <si>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</si>
  <si>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</si>
  <si>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</si>
  <si>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</si>
  <si>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</si>
  <si>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</si>
  <si>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</si>
  <si>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</si>
  <si>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</si>
  <si>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</si>
  <si>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</si>
  <si>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</si>
  <si>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</si>
  <si>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</si>
  <si>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</si>
  <si>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</si>
  <si>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</si>
  <si>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</si>
  <si>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</si>
  <si>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</si>
  <si>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</si>
  <si>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</si>
  <si>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</si>
  <si>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</si>
  <si>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</si>
  <si>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</si>
  <si>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</si>
  <si>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</si>
  <si>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</si>
  <si>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</si>
  <si>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</si>
  <si>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</si>
  <si>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</si>
  <si>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</si>
  <si>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</si>
  <si>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</si>
  <si>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</si>
  <si>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</si>
  <si>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</si>
  <si>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</si>
  <si>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</si>
  <si>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</si>
  <si>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</si>
  <si>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</si>
  <si>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</si>
  <si>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</si>
  <si>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</si>
  <si>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</si>
  <si>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</si>
  <si>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</si>
  <si>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</si>
  <si>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</si>
  <si>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</si>
  <si>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</si>
  <si>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</si>
  <si>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</si>
  <si>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</si>
  <si>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</si>
  <si>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</si>
  <si>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</si>
  <si>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</si>
  <si>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</si>
  <si>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</si>
  <si>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</si>
  <si>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</si>
  <si>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</si>
  <si>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</si>
  <si>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</si>
  <si>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</si>
  <si>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</si>
  <si>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</si>
  <si>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</si>
  <si>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</si>
  <si>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</si>
  <si>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</si>
  <si>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</si>
  <si>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</si>
  <si>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</si>
  <si>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</si>
  <si>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</si>
  <si>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</si>
  <si>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</si>
  <si>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</si>
  <si>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</si>
  <si>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</si>
  <si>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</si>
  <si>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</si>
  <si>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</si>
  <si>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</si>
  <si>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</si>
  <si>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</si>
  <si>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</si>
  <si>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</si>
  <si>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</si>
  <si>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</si>
  <si>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</si>
  <si>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</si>
  <si>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</si>
  <si>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</si>
  <si>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</si>
  <si>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</si>
  <si>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</si>
  <si>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</si>
  <si>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</si>
  <si>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</si>
  <si>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</si>
  <si>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</si>
  <si>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</si>
  <si>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</si>
  <si>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</si>
  <si>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</si>
  <si>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</si>
  <si>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</si>
  <si>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</si>
  <si>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</si>
  <si>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</si>
  <si>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</si>
  <si>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</si>
  <si>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</si>
  <si>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</si>
  <si>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</si>
  <si>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</si>
  <si>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</si>
  <si>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</si>
  <si>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</si>
  <si>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</si>
  <si>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</si>
  <si>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</si>
  <si>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</si>
  <si>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</si>
  <si>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</si>
  <si>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</si>
  <si>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</si>
  <si>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</si>
  <si>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</si>
  <si>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</si>
  <si>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</si>
  <si>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</si>
  <si>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</si>
  <si>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</si>
  <si>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</si>
  <si>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</si>
  <si>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</si>
  <si>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</si>
  <si>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</si>
  <si>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</si>
  <si>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</si>
  <si>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</si>
  <si>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</si>
  <si>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</si>
  <si>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</si>
  <si>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</si>
  <si>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</si>
  <si>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</si>
  <si>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</si>
  <si>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</si>
  <si>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</si>
  <si>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</si>
  <si>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</si>
  <si>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</si>
  <si>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</si>
  <si>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</si>
  <si>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</si>
  <si>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</si>
  <si>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</si>
  <si>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</si>
  <si>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</si>
  <si>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</si>
  <si>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</si>
  <si>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</si>
  <si>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</si>
  <si>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</si>
  <si>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</si>
  <si>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</si>
  <si>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</si>
  <si>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</si>
  <si>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</si>
  <si>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</si>
  <si>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</si>
  <si>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</si>
  <si>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</si>
  <si>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</si>
  <si>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</si>
  <si>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</si>
  <si>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</si>
  <si>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</si>
  <si>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</si>
  <si>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</si>
  <si>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</si>
  <si>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</si>
  <si>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</si>
  <si>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</si>
  <si>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</si>
  <si>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</si>
  <si>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</si>
  <si>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</si>
  <si>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</si>
  <si>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</si>
  <si>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</si>
  <si>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</si>
  <si>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</si>
  <si>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</si>
  <si>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</si>
  <si>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</si>
  <si>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</si>
  <si>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</si>
  <si>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</si>
  <si>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</si>
  <si>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</si>
  <si>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</si>
  <si>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</si>
  <si>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</si>
  <si>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</si>
  <si>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</si>
  <si>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</si>
  <si>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</si>
  <si>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04/18/2011</t>
  </si>
  <si>
    <t>04/19/2011</t>
  </si>
  <si>
    <t>04/20/2011</t>
  </si>
  <si>
    <t>04/21/2011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</si>
  <si>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</si>
  <si>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</si>
  <si>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</si>
  <si>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</si>
  <si>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</si>
  <si>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</si>
  <si>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</si>
  <si>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</si>
  <si>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</si>
  <si>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</si>
  <si>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</si>
  <si>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</si>
  <si>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</si>
  <si>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</si>
  <si>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</si>
  <si>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</si>
  <si>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</si>
  <si>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</si>
  <si>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</si>
  <si>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</si>
  <si>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</si>
  <si>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</si>
  <si>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</si>
  <si>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</si>
  <si>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</si>
  <si>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</si>
  <si>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</si>
  <si>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</si>
  <si>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</si>
  <si>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</si>
  <si>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</si>
  <si>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</si>
  <si>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</si>
  <si>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</si>
  <si>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</si>
  <si>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</si>
  <si>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</si>
  <si>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</si>
  <si>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</si>
  <si>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</si>
  <si>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</si>
  <si>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</si>
  <si>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</si>
  <si>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</si>
  <si>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</si>
  <si>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</si>
  <si>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</si>
  <si>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</si>
  <si>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</si>
  <si>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</si>
  <si>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</si>
  <si>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</si>
  <si>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</si>
  <si>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</si>
  <si>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</si>
  <si>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</si>
  <si>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</si>
  <si>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</si>
  <si>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</si>
  <si>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</si>
  <si>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</si>
  <si>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</si>
  <si>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</si>
  <si>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</si>
  <si>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</si>
  <si>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</si>
  <si>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</si>
  <si>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</si>
  <si>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</si>
  <si>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</si>
  <si>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</si>
  <si>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</si>
  <si>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</si>
  <si>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</si>
  <si>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</si>
  <si>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</si>
  <si>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</si>
  <si>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</si>
  <si>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</si>
  <si>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</si>
  <si>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</si>
  <si>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</si>
  <si>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</si>
  <si>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</si>
  <si>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</si>
  <si>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</si>
  <si>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</si>
  <si>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</si>
  <si>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</si>
  <si>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</si>
  <si>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</si>
  <si>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</si>
  <si>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</si>
  <si>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</si>
  <si>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</si>
  <si>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</si>
  <si>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</si>
  <si>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</si>
  <si>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</si>
  <si>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</si>
  <si>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</si>
  <si>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</si>
  <si>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</si>
  <si>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</si>
  <si>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</si>
  <si>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</si>
  <si>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</si>
  <si>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</si>
  <si>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</si>
  <si>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</si>
  <si>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</si>
  <si>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</si>
  <si>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</si>
  <si>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</si>
  <si>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</si>
  <si>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</si>
  <si>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</si>
  <si>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</si>
  <si>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</si>
  <si>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</si>
  <si>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</si>
  <si>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</si>
  <si>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</si>
  <si>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</si>
  <si>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</si>
  <si>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</si>
  <si>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</si>
  <si>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</si>
  <si>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</si>
  <si>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</si>
  <si>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</si>
  <si>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</si>
  <si>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</si>
  <si>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</si>
  <si>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</si>
  <si>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</si>
  <si>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</si>
  <si>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</si>
  <si>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</si>
  <si>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</si>
  <si>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</si>
  <si>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</si>
  <si>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</si>
  <si>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</si>
  <si>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</si>
  <si>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</si>
  <si>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</si>
  <si>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</si>
  <si>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</si>
  <si>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</si>
  <si>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</si>
  <si>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</si>
  <si>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</si>
  <si>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</si>
  <si>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</si>
  <si>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</si>
  <si>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</si>
  <si>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</si>
  <si>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</si>
  <si>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</si>
  <si>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</si>
  <si>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</si>
  <si>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</si>
  <si>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</si>
  <si>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</si>
  <si>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</si>
  <si>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</si>
  <si>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</si>
  <si>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</si>
  <si>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</si>
  <si>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</si>
  <si>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12/27/2011</t>
  </si>
  <si>
    <t>12/28/2011</t>
  </si>
  <si>
    <t>12/29/2011</t>
  </si>
  <si>
    <t>12/30/2011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</si>
  <si>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</si>
  <si>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</si>
  <si>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</si>
  <si>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</si>
  <si>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</si>
  <si>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</si>
  <si>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</si>
  <si>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</si>
  <si>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</si>
  <si>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</si>
  <si>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</si>
  <si>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</si>
  <si>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</si>
  <si>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</si>
  <si>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</si>
  <si>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</si>
  <si>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</si>
  <si>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</si>
  <si>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</si>
  <si>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</si>
  <si>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</si>
  <si>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</si>
  <si>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</si>
  <si>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</si>
  <si>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</si>
  <si>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</si>
  <si>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</si>
  <si>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</si>
  <si>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</si>
  <si>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</si>
  <si>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</si>
  <si>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</si>
  <si>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</si>
  <si>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</si>
  <si>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</si>
  <si>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</si>
  <si>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</si>
  <si>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</si>
  <si>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</si>
  <si>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</si>
  <si>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</si>
  <si>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</si>
  <si>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</si>
  <si>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</si>
  <si>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</si>
  <si>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</si>
  <si>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</si>
  <si>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</si>
  <si>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</si>
  <si>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</si>
  <si>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</si>
  <si>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</si>
  <si>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</si>
  <si>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</si>
  <si>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</si>
  <si>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</si>
  <si>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</si>
  <si>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</si>
  <si>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</si>
  <si>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</si>
  <si>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</si>
  <si>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</si>
  <si>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</si>
  <si>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</si>
  <si>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</si>
  <si>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</si>
  <si>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</si>
  <si>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</si>
  <si>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</si>
  <si>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</si>
  <si>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</si>
  <si>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</si>
  <si>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</si>
  <si>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</si>
  <si>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</si>
  <si>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</si>
  <si>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</si>
  <si>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</si>
  <si>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</si>
  <si>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</si>
  <si>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</si>
  <si>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</si>
  <si>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</si>
  <si>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</si>
  <si>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</si>
  <si>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</si>
  <si>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</si>
  <si>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</si>
  <si>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</si>
  <si>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</si>
  <si>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</si>
  <si>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</si>
  <si>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</si>
  <si>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</si>
  <si>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</si>
  <si>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</si>
  <si>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</si>
  <si>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</si>
  <si>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</si>
  <si>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</si>
  <si>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</si>
  <si>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</si>
  <si>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</si>
  <si>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</si>
  <si>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</si>
  <si>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</si>
  <si>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</si>
  <si>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</si>
  <si>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</si>
  <si>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</si>
  <si>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</si>
  <si>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</si>
  <si>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</si>
  <si>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</si>
  <si>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</si>
  <si>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</si>
  <si>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</si>
  <si>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</si>
  <si>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</si>
  <si>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</si>
  <si>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</si>
  <si>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</si>
  <si>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</si>
  <si>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</si>
  <si>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</si>
  <si>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</si>
  <si>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</si>
  <si>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</si>
  <si>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</si>
  <si>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</si>
  <si>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</si>
  <si>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</si>
  <si>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</si>
  <si>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</si>
  <si>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</si>
  <si>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</si>
  <si>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</si>
  <si>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</si>
  <si>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</si>
  <si>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</si>
  <si>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</si>
  <si>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</si>
  <si>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</si>
  <si>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</si>
  <si>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</si>
  <si>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</si>
  <si>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</si>
  <si>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</si>
  <si>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</si>
  <si>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</si>
  <si>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</si>
  <si>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</si>
  <si>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</si>
  <si>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</si>
  <si>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</si>
  <si>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</si>
  <si>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</si>
  <si>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</si>
  <si>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</si>
  <si>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</si>
  <si>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</si>
  <si>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</si>
  <si>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</si>
  <si>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</si>
  <si>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</si>
  <si>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</si>
  <si>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</si>
  <si>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</si>
  <si>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</si>
  <si>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</si>
  <si>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</si>
  <si>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</si>
  <si>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</si>
  <si>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</si>
  <si>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</si>
  <si>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</si>
  <si>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</si>
  <si>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</si>
  <si>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</si>
  <si>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</si>
  <si>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</si>
  <si>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</si>
  <si>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</si>
  <si>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</si>
  <si>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</si>
  <si>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</si>
  <si>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</si>
  <si>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</si>
  <si>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</si>
  <si>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</si>
  <si>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</si>
  <si>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</si>
  <si>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</si>
  <si>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</si>
  <si>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</si>
  <si>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</si>
  <si>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</si>
  <si>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</si>
  <si>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</si>
  <si>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</si>
  <si>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</si>
  <si>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</si>
  <si>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</si>
  <si>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</si>
  <si>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</si>
  <si>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</si>
  <si>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</si>
  <si>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</si>
  <si>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</si>
  <si>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</si>
  <si>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</si>
  <si>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</si>
  <si>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</si>
  <si>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</si>
  <si>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</si>
  <si>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</si>
  <si>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</si>
  <si>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</si>
  <si>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</si>
  <si>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</si>
  <si>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</si>
  <si>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</si>
  <si>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</si>
  <si>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</si>
  <si>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</si>
  <si>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</si>
  <si>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</si>
  <si>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</si>
  <si>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</si>
  <si>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</si>
  <si>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</si>
  <si>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</si>
  <si>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</si>
  <si>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</si>
  <si>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</si>
  <si>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</si>
  <si>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</si>
  <si>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</si>
  <si>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</si>
  <si>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</si>
  <si>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</si>
  <si>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</si>
  <si>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</si>
  <si>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</si>
  <si>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</si>
  <si>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</si>
  <si>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</si>
  <si>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</si>
  <si>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</si>
  <si>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</si>
  <si>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</si>
  <si>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</si>
  <si>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</si>
  <si>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</si>
  <si>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</si>
  <si>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</si>
  <si>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</si>
  <si>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</si>
  <si>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</si>
  <si>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</si>
  <si>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</si>
  <si>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</si>
  <si>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</si>
  <si>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</si>
  <si>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</si>
  <si>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</si>
  <si>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</si>
  <si>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</si>
  <si>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</si>
  <si>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</si>
  <si>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</si>
  <si>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</si>
  <si>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</si>
  <si>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</si>
  <si>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</si>
  <si>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</si>
  <si>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</si>
  <si>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</si>
  <si>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</si>
  <si>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</si>
  <si>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</si>
  <si>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</si>
  <si>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</si>
  <si>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</si>
  <si>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</si>
  <si>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</si>
  <si>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</si>
  <si>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</si>
  <si>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</si>
  <si>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</si>
  <si>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</si>
  <si>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</si>
  <si>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</si>
  <si>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</si>
  <si>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</si>
  <si>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</si>
  <si>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</si>
  <si>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</si>
  <si>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</si>
  <si>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</si>
  <si>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</si>
  <si>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</si>
  <si>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</si>
  <si>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</si>
  <si>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</si>
  <si>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</si>
  <si>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</si>
  <si>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</si>
  <si>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</si>
  <si>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</si>
  <si>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</si>
  <si>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</si>
  <si>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</si>
  <si>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</si>
  <si>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</si>
  <si>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</si>
  <si>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</si>
  <si>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</si>
  <si>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</si>
  <si>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</si>
  <si>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</si>
  <si>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</si>
  <si>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</si>
  <si>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</si>
  <si>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</si>
  <si>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</si>
  <si>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</si>
  <si>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</si>
  <si>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</si>
  <si>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</si>
  <si>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</si>
  <si>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</si>
  <si>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</si>
  <si>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</si>
  <si>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</si>
  <si>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</si>
  <si>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</si>
  <si>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</si>
  <si>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</si>
  <si>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</si>
  <si>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</si>
  <si>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</si>
  <si>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</si>
  <si>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</si>
  <si>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</si>
  <si>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</si>
  <si>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</si>
  <si>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</si>
  <si>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</si>
  <si>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</si>
  <si>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</si>
  <si>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</si>
  <si>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</si>
  <si>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</si>
  <si>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</si>
  <si>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</si>
  <si>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</si>
  <si>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</si>
  <si>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</si>
  <si>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</si>
  <si>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</si>
  <si>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</si>
  <si>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</si>
  <si>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</si>
  <si>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</si>
  <si>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</si>
  <si>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</si>
  <si>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</si>
  <si>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</si>
  <si>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</si>
  <si>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</si>
  <si>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</si>
  <si>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</si>
  <si>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</si>
  <si>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</si>
  <si>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</si>
  <si>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</si>
  <si>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</si>
  <si>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</si>
  <si>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</si>
  <si>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</si>
  <si>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</si>
  <si>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</si>
  <si>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</si>
  <si>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</si>
  <si>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</si>
  <si>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</si>
  <si>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</si>
  <si>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</si>
  <si>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</si>
  <si>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</si>
  <si>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</si>
  <si>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</si>
  <si>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</si>
  <si>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</si>
  <si>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</si>
  <si>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</si>
  <si>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</si>
  <si>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</si>
  <si>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</si>
  <si>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</si>
  <si>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</si>
  <si>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</si>
  <si>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</si>
  <si>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</si>
  <si>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</si>
  <si>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</si>
  <si>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</si>
  <si>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</si>
  <si>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</si>
  <si>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</si>
  <si>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</si>
  <si>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</si>
  <si>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</si>
  <si>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</si>
  <si>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</si>
  <si>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</si>
  <si>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</si>
  <si>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</si>
  <si>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</si>
  <si>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</si>
  <si>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</si>
  <si>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</si>
  <si>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</si>
  <si>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</si>
  <si>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</si>
  <si>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</si>
  <si>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</si>
  <si>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</si>
  <si>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</si>
  <si>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</si>
  <si>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</si>
  <si>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</si>
  <si>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</si>
  <si>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</si>
  <si>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</si>
  <si>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</si>
  <si>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</si>
  <si>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</si>
  <si>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</si>
  <si>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</si>
  <si>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</si>
  <si>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</si>
  <si>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</si>
  <si>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</si>
  <si>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</si>
  <si>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</si>
  <si>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</si>
  <si>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</si>
  <si>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</si>
  <si>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</si>
  <si>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</si>
  <si>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</si>
  <si>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</si>
  <si>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</si>
  <si>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</si>
  <si>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</si>
  <si>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</si>
  <si>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</si>
  <si>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</si>
  <si>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</si>
  <si>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</si>
  <si>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</si>
  <si>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</si>
  <si>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</si>
  <si>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</si>
  <si>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</si>
  <si>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</si>
  <si>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</si>
  <si>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</si>
  <si>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</si>
  <si>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</si>
  <si>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</si>
  <si>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</si>
  <si>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</si>
  <si>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</si>
  <si>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</si>
  <si>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</si>
  <si>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</si>
  <si>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</si>
  <si>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</si>
  <si>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</si>
  <si>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</si>
  <si>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</si>
  <si>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</si>
  <si>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</si>
  <si>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</si>
  <si>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</si>
  <si>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</si>
  <si>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</si>
  <si>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</si>
  <si>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</si>
  <si>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</si>
  <si>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</si>
  <si>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</si>
  <si>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</si>
  <si>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</si>
  <si>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</si>
  <si>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</si>
  <si>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</si>
  <si>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</si>
  <si>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</si>
  <si>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</si>
  <si>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</si>
  <si>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</si>
  <si>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</si>
  <si>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</si>
  <si>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</si>
  <si>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</si>
  <si>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</si>
  <si>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</si>
  <si>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</si>
  <si>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</si>
  <si>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</si>
  <si>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</si>
  <si>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</si>
  <si>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</si>
  <si>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</si>
  <si>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</si>
  <si>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</si>
  <si>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</si>
  <si>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</si>
  <si>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</si>
  <si>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</si>
  <si>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</si>
  <si>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</si>
  <si>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</si>
  <si>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</si>
  <si>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</si>
  <si>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</si>
  <si>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</si>
  <si>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</si>
  <si>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</si>
  <si>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</si>
  <si>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</si>
  <si>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</si>
  <si>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</si>
  <si>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</si>
  <si>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</si>
  <si>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</si>
  <si>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</si>
  <si>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</si>
  <si>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</si>
  <si>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</si>
  <si>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</si>
  <si>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</si>
  <si>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</si>
  <si>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</si>
  <si>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</si>
  <si>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</si>
  <si>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</si>
  <si>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</si>
  <si>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</si>
  <si>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</si>
  <si>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</si>
  <si>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</si>
  <si>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</si>
  <si>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</si>
  <si>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</si>
  <si>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</si>
  <si>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</si>
  <si>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</si>
  <si>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</si>
  <si>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</si>
  <si>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</si>
  <si>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</si>
  <si>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</si>
  <si>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</si>
  <si>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</si>
  <si>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</si>
  <si>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</si>
  <si>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</si>
  <si>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</si>
  <si>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</si>
  <si>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</si>
  <si>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</si>
  <si>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</si>
  <si>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</si>
  <si>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</si>
  <si>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</si>
  <si>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</si>
  <si>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</si>
  <si>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</si>
  <si>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</si>
  <si>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</si>
  <si>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</si>
  <si>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</si>
  <si>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</si>
  <si>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</si>
  <si>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</si>
  <si>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</si>
  <si>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</si>
  <si>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</si>
  <si>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</si>
  <si>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</si>
  <si>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</si>
  <si>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</si>
  <si>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</si>
  <si>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</si>
  <si>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</si>
  <si>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</si>
  <si>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</si>
  <si>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</si>
  <si>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</si>
  <si>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</si>
  <si>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</si>
  <si>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</si>
  <si>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</si>
  <si>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</si>
  <si>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</si>
  <si>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</si>
  <si>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</si>
  <si>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</si>
  <si>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</si>
  <si>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</si>
  <si>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</si>
  <si>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</si>
  <si>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</si>
  <si>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</si>
  <si>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</si>
  <si>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</si>
  <si>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</si>
  <si>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</si>
  <si>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</si>
  <si>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</si>
  <si>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</si>
  <si>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</si>
  <si>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</si>
  <si>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</si>
  <si>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</si>
  <si>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</si>
  <si>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</si>
  <si>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</si>
  <si>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</si>
  <si>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</si>
  <si>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</si>
  <si>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</si>
  <si>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</si>
  <si>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</si>
  <si>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</si>
  <si>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</si>
  <si>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</si>
  <si>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</si>
  <si>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</si>
  <si>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</si>
  <si>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</si>
  <si>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</si>
  <si>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</si>
  <si>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</si>
  <si>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</si>
  <si>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</si>
  <si>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</si>
  <si>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</si>
  <si>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</si>
  <si>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</si>
  <si>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</si>
  <si>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</si>
  <si>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</si>
  <si>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</si>
  <si>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</si>
  <si>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</si>
  <si>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</si>
  <si>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</si>
  <si>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</si>
  <si>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</si>
  <si>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</si>
  <si>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</si>
  <si>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</si>
  <si>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</si>
  <si>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</si>
  <si>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</si>
  <si>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</si>
  <si>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</si>
  <si>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</si>
  <si>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</si>
  <si>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</si>
  <si>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</si>
  <si>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</si>
  <si>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</si>
  <si>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</si>
  <si>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</si>
  <si>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</si>
  <si>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</si>
  <si>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</si>
  <si>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</si>
  <si>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</si>
  <si>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</si>
  <si>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</si>
  <si>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</si>
  <si>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</si>
  <si>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</si>
  <si>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</si>
  <si>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</si>
  <si>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</si>
  <si>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</si>
  <si>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</si>
  <si>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</si>
  <si>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</si>
  <si>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</si>
  <si>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</si>
  <si>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</si>
  <si>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</si>
  <si>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</si>
  <si>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</si>
  <si>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</si>
  <si>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</si>
  <si>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</si>
  <si>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</si>
  <si>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</si>
  <si>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</si>
  <si>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</si>
  <si>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</si>
  <si>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</si>
  <si>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</si>
  <si>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</si>
  <si>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</si>
  <si>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</si>
  <si>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</si>
  <si>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</si>
  <si>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</si>
  <si>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</si>
  <si>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</si>
  <si>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</si>
  <si>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</si>
  <si>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</si>
  <si>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</si>
  <si>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</si>
  <si>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</si>
  <si>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</si>
  <si>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</si>
  <si>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</si>
  <si>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</si>
  <si>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</si>
  <si>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</si>
  <si>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</si>
  <si>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</si>
  <si>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</si>
  <si>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</si>
  <si>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</si>
  <si>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</si>
  <si>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</si>
  <si>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</si>
  <si>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</si>
  <si>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</si>
  <si>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</si>
  <si>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</si>
  <si>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</si>
  <si>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</si>
  <si>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</si>
  <si>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</si>
  <si>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</si>
  <si>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</si>
  <si>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</si>
  <si>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</si>
  <si>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</si>
  <si>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</si>
  <si>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</si>
  <si>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</si>
  <si>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</si>
  <si>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</si>
  <si>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</si>
  <si>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</si>
  <si>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</si>
  <si>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</si>
  <si>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</si>
  <si>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</si>
  <si>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</si>
  <si>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</si>
  <si>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</si>
  <si>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</si>
  <si>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</si>
  <si>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</si>
  <si>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</si>
  <si>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</si>
  <si>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</si>
  <si>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</si>
  <si>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</si>
  <si>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</si>
  <si>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</si>
  <si>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</si>
  <si>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</si>
  <si>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</si>
  <si>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</si>
  <si>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</si>
  <si>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</si>
  <si>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</si>
  <si>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</si>
  <si>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</si>
  <si>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</si>
  <si>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</si>
  <si>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</si>
  <si>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</si>
  <si>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</si>
  <si>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</si>
  <si>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</si>
  <si>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</si>
  <si>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</si>
  <si>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</si>
  <si>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</si>
  <si>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</si>
  <si>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</si>
  <si>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</si>
  <si>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</si>
  <si>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</si>
  <si>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</si>
  <si>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</si>
  <si>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</si>
  <si>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</si>
  <si>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</si>
  <si>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</si>
  <si>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</si>
  <si>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</si>
  <si>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</si>
  <si>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</si>
  <si>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</si>
  <si>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</si>
  <si>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</si>
  <si>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</si>
  <si>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</si>
  <si>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</si>
  <si>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</si>
  <si>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</si>
  <si>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</si>
  <si>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</si>
  <si>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</si>
  <si>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</si>
  <si>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</si>
  <si>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</si>
  <si>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</si>
  <si>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</si>
  <si>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</si>
  <si>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</si>
  <si>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</si>
  <si>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</si>
  <si>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</si>
  <si>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</si>
  <si>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</si>
  <si>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</si>
  <si>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</si>
  <si>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</si>
  <si>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</si>
  <si>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</si>
  <si>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</si>
  <si>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</si>
  <si>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</si>
  <si>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</si>
  <si>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</si>
  <si>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</si>
  <si>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</si>
  <si>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</si>
  <si>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</si>
  <si>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</si>
  <si>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</si>
  <si>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</si>
  <si>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</si>
  <si>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</si>
  <si>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</si>
  <si>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</si>
  <si>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</si>
  <si>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</si>
  <si>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</si>
  <si>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</si>
  <si>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</si>
  <si>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</si>
  <si>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</si>
  <si>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</si>
  <si>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</si>
  <si>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</si>
  <si>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</si>
  <si>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</si>
  <si>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</si>
  <si>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</si>
  <si>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</si>
  <si>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</si>
  <si>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</si>
  <si>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</si>
  <si>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</si>
  <si>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</si>
  <si>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</si>
  <si>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</si>
  <si>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</si>
  <si>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</si>
  <si>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</si>
  <si>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</si>
  <si>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</si>
  <si>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</si>
  <si>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</si>
  <si>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</si>
  <si>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</si>
  <si>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</si>
  <si>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</si>
  <si>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</si>
  <si>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</si>
  <si>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</si>
  <si>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</si>
  <si>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</si>
  <si>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</si>
  <si>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</si>
  <si>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</si>
  <si>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</si>
  <si>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</si>
  <si>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</si>
  <si>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</si>
  <si>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</si>
  <si>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</si>
  <si>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</si>
  <si>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</si>
  <si>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</si>
  <si>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</si>
  <si>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</si>
  <si>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</si>
  <si>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</si>
  <si>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</si>
  <si>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</si>
  <si>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</si>
  <si>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</si>
  <si>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</si>
  <si>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</si>
  <si>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</si>
  <si>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</si>
  <si>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</si>
  <si>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</si>
  <si>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</si>
  <si>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</si>
  <si>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</si>
  <si>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</si>
  <si>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</si>
  <si>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</si>
  <si>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</si>
  <si>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</si>
  <si>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</si>
  <si>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</si>
  <si>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</si>
  <si>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</si>
  <si>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</si>
  <si>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</si>
  <si>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</si>
  <si>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</si>
  <si>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</si>
  <si>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</si>
  <si>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</si>
  <si>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</si>
  <si>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</si>
  <si>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</si>
  <si>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</si>
  <si>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</si>
  <si>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</si>
  <si>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</si>
  <si>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</si>
  <si>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</si>
  <si>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</si>
  <si>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</si>
  <si>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</si>
  <si>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</si>
  <si>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</si>
  <si>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</si>
  <si>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</si>
  <si>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</si>
  <si>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</si>
  <si>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</si>
  <si>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</si>
  <si>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</si>
  <si>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</si>
  <si>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</si>
  <si>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</si>
  <si>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</si>
  <si>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</si>
  <si>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</si>
  <si>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</si>
  <si>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</si>
  <si>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</si>
  <si>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</si>
  <si>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</si>
  <si>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</si>
  <si>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</si>
  <si>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</si>
  <si>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</si>
  <si>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</si>
  <si>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</si>
  <si>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</si>
  <si>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</si>
  <si>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</si>
  <si>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</si>
  <si>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</si>
  <si>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</si>
  <si>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</si>
  <si>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</si>
  <si>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</si>
  <si>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</si>
  <si>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</si>
  <si>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</si>
  <si>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</si>
  <si>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</si>
  <si>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</si>
  <si>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</si>
  <si>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</si>
  <si>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</si>
  <si>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</si>
  <si>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</si>
  <si>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</si>
  <si>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</si>
  <si>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</si>
  <si>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</si>
  <si>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</si>
  <si>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</si>
  <si>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</si>
  <si>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</si>
  <si>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</si>
  <si>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</si>
  <si>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</si>
  <si>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</si>
  <si>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</si>
  <si>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</si>
  <si>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</si>
  <si>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</si>
  <si>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</si>
  <si>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</si>
  <si>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</si>
  <si>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</si>
  <si>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</si>
  <si>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</si>
  <si>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</si>
  <si>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</si>
  <si>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</si>
  <si>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</si>
  <si>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</si>
  <si>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</si>
  <si>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</si>
  <si>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</si>
  <si>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</si>
  <si>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</si>
  <si>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</si>
  <si>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</si>
  <si>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</si>
  <si>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</si>
  <si>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</si>
  <si>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</si>
  <si>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</si>
  <si>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</si>
  <si>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</si>
  <si>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</si>
  <si>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</si>
  <si>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</si>
  <si>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</si>
  <si>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</si>
  <si>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</si>
  <si>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</si>
  <si>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</si>
  <si>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</si>
  <si>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</si>
  <si>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</si>
  <si>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</si>
  <si>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</si>
  <si>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</si>
  <si>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</si>
  <si>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</si>
  <si>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</si>
  <si>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</si>
  <si>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</si>
  <si>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</si>
  <si>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</si>
  <si>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</si>
  <si>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</si>
  <si>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</si>
  <si>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</si>
  <si>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</si>
  <si>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</si>
  <si>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</si>
  <si>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</si>
  <si>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</si>
  <si>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</si>
  <si>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</si>
  <si>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</si>
  <si>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</si>
  <si>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</si>
  <si>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</si>
  <si>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</si>
  <si>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</si>
  <si>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</si>
  <si>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</si>
  <si>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</si>
  <si>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</si>
  <si>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</si>
  <si>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</si>
  <si>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</si>
  <si>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</si>
  <si>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</si>
  <si>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</si>
  <si>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</si>
  <si>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</si>
  <si>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</si>
  <si>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</si>
  <si>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</si>
  <si>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</si>
  <si>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</si>
  <si>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</si>
  <si>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</si>
  <si>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</si>
  <si>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</si>
  <si>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</si>
  <si>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</si>
  <si>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</si>
  <si>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</si>
  <si>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</si>
  <si>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</si>
  <si>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</si>
  <si>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</si>
  <si>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</si>
  <si>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</si>
  <si>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</si>
  <si>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</si>
  <si>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</si>
  <si>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</si>
  <si>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</si>
  <si>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</si>
  <si>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</si>
  <si>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</si>
  <si>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</si>
  <si>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</si>
  <si>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</si>
  <si>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</si>
  <si>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</si>
  <si>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</si>
  <si>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</si>
  <si>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</si>
  <si>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</si>
  <si>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</si>
  <si>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</si>
  <si>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</si>
  <si>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</si>
  <si>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</si>
  <si>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</si>
  <si>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</si>
  <si>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</si>
  <si>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</si>
  <si>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</si>
  <si>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</si>
  <si>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</si>
  <si>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</si>
  <si>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</si>
  <si>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</si>
  <si>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</si>
  <si>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</si>
  <si>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</si>
  <si>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</si>
  <si>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</si>
  <si>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</si>
  <si>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</si>
  <si>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</si>
  <si>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</si>
  <si>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</si>
  <si>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</si>
  <si>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</si>
  <si>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</si>
  <si>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</si>
  <si>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</si>
  <si>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</si>
  <si>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</si>
  <si>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</si>
  <si>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</si>
  <si>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</si>
  <si>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</si>
  <si>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</si>
  <si>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</si>
  <si>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</si>
  <si>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</si>
  <si>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</si>
  <si>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</si>
  <si>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</si>
  <si>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</si>
  <si>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</si>
  <si>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</si>
  <si>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</si>
  <si>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</si>
  <si>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</si>
  <si>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</si>
  <si>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</si>
  <si>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</si>
  <si>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</si>
  <si>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</si>
  <si>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</si>
  <si>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</si>
  <si>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</si>
  <si>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</si>
  <si>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</si>
  <si>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</si>
  <si>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</si>
  <si>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</si>
  <si>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</si>
  <si>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</si>
  <si>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</si>
  <si>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</si>
  <si>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</si>
  <si>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</si>
  <si>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</si>
  <si>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</si>
  <si>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</si>
  <si>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</si>
  <si>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</si>
  <si>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</si>
  <si>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</si>
  <si>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</si>
  <si>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</si>
  <si>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</si>
  <si>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</si>
  <si>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</si>
  <si>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</si>
  <si>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</si>
  <si>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</si>
  <si>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</si>
  <si>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</si>
  <si>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</si>
  <si>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</si>
  <si>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</si>
  <si>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</si>
  <si>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</si>
  <si>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</si>
  <si>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</si>
  <si>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</si>
  <si>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</si>
  <si>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</si>
  <si>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</si>
  <si>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</si>
  <si>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</si>
  <si>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</si>
  <si>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</si>
  <si>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</si>
  <si>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</si>
  <si>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</si>
  <si>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</si>
  <si>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</si>
  <si>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</si>
  <si>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</si>
  <si>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</si>
  <si>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</si>
  <si>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</si>
  <si>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</si>
  <si>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</si>
  <si>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</si>
  <si>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</si>
  <si>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</si>
  <si>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</si>
  <si>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</si>
  <si>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</si>
  <si>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</si>
  <si>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</si>
  <si>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</si>
  <si>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</si>
  <si>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</si>
  <si>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</si>
  <si>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</si>
  <si>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12/27/2016</t>
  </si>
  <si>
    <t>12/28/2016</t>
  </si>
  <si>
    <t>12/29/2016</t>
  </si>
  <si>
    <t>12/30/2016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</si>
  <si>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</si>
  <si>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</si>
  <si>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</si>
  <si>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</si>
  <si>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</si>
  <si>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</si>
  <si>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</si>
  <si>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</si>
  <si>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</si>
  <si>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</si>
  <si>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</si>
  <si>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</si>
  <si>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</si>
  <si>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</si>
  <si>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</si>
  <si>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</si>
  <si>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</si>
  <si>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</si>
  <si>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</si>
  <si>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</si>
  <si>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</si>
  <si>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</si>
  <si>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</si>
  <si>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</si>
  <si>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</si>
  <si>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</si>
  <si>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</si>
  <si>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</si>
  <si>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</si>
  <si>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</si>
  <si>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</si>
  <si>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</si>
  <si>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</si>
  <si>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</si>
  <si>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</si>
  <si>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</si>
  <si>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</si>
  <si>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</si>
  <si>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</si>
  <si>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</si>
  <si>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</si>
  <si>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</si>
  <si>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</si>
  <si>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</si>
  <si>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</si>
  <si>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</si>
  <si>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</si>
  <si>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</si>
  <si>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</si>
  <si>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</si>
  <si>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</si>
  <si>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</si>
  <si>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</si>
  <si>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</si>
  <si>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</si>
  <si>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</si>
  <si>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</si>
  <si>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</si>
  <si>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</si>
  <si>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</si>
  <si>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</si>
  <si>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</si>
  <si>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</si>
  <si>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</si>
  <si>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</si>
  <si>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</si>
  <si>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</si>
  <si>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</si>
  <si>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</si>
  <si>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</si>
  <si>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</si>
  <si>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</si>
  <si>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</si>
  <si>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</si>
  <si>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</si>
  <si>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</si>
  <si>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</si>
  <si>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</si>
  <si>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</si>
  <si>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</si>
  <si>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</si>
  <si>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</si>
  <si>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</si>
  <si>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</si>
  <si>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</si>
  <si>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</si>
  <si>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</si>
  <si>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</si>
  <si>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</si>
  <si>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</si>
  <si>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</si>
  <si>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</si>
  <si>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</si>
  <si>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</si>
  <si>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</si>
  <si>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</si>
  <si>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</si>
  <si>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</si>
  <si>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</si>
  <si>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</si>
  <si>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</si>
  <si>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</si>
  <si>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</si>
  <si>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</si>
  <si>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</si>
  <si>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</si>
  <si>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</si>
  <si>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</si>
  <si>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</si>
  <si>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</si>
  <si>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</si>
  <si>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</si>
  <si>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</si>
  <si>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</si>
  <si>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</si>
  <si>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</si>
  <si>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</si>
  <si>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</si>
  <si>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</si>
  <si>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</si>
  <si>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</si>
  <si>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</si>
  <si>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</si>
  <si>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</si>
  <si>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</si>
  <si>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</si>
  <si>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07/05/2017</t>
  </si>
  <si>
    <t>07/06/2017</t>
  </si>
  <si>
    <t>07/07/2017</t>
  </si>
  <si>
    <t>07/10/2017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</si>
  <si>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</si>
  <si>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</si>
  <si>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</si>
  <si>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</si>
  <si>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</si>
  <si>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</si>
  <si>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</si>
  <si>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</si>
  <si>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</si>
  <si>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</si>
  <si>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</si>
  <si>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</si>
  <si>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</si>
  <si>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</si>
  <si>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</si>
  <si>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</si>
  <si>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</si>
  <si>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</si>
  <si>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</si>
  <si>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</si>
  <si>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</si>
  <si>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</si>
  <si>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</si>
  <si>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</si>
  <si>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</si>
  <si>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</si>
  <si>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</si>
  <si>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</si>
  <si>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</si>
  <si>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</si>
  <si>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</si>
  <si>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</si>
  <si>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</si>
  <si>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</si>
  <si>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</si>
  <si>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</si>
  <si>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</si>
  <si>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</si>
  <si>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</si>
  <si>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</si>
  <si>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</si>
  <si>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</si>
  <si>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</si>
  <si>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</si>
  <si>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</si>
  <si>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</si>
  <si>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</si>
  <si>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</si>
  <si>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</si>
  <si>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</si>
  <si>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</si>
  <si>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</si>
  <si>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</si>
  <si>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</si>
  <si>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</si>
  <si>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</si>
  <si>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</si>
  <si>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</si>
  <si>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</si>
  <si>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</si>
  <si>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</si>
  <si>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</si>
  <si>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</si>
  <si>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</si>
  <si>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</si>
  <si>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</si>
  <si>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</si>
  <si>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</si>
  <si>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</si>
  <si>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</si>
  <si>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</si>
  <si>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</si>
  <si>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</si>
  <si>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</si>
  <si>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</si>
  <si>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</si>
  <si>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</si>
  <si>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</si>
  <si>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</si>
  <si>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</si>
  <si>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</si>
  <si>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</si>
  <si>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</si>
  <si>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</si>
  <si>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</si>
  <si>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</si>
  <si>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</si>
  <si>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</si>
  <si>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</si>
  <si>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</si>
  <si>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</si>
  <si>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</si>
  <si>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</si>
  <si>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</si>
  <si>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</si>
  <si>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</si>
  <si>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</si>
  <si>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</si>
  <si>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</si>
  <si>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</si>
  <si>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</si>
  <si>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</si>
  <si>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</si>
  <si>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</si>
  <si>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</si>
  <si>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</si>
  <si>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</si>
  <si>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</si>
  <si>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</si>
  <si>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</si>
  <si>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</si>
  <si>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</si>
  <si>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</si>
  <si>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</si>
  <si>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</si>
  <si>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12/26/2017</t>
  </si>
  <si>
    <t>12/27/2017</t>
  </si>
  <si>
    <t>12/28/2017</t>
  </si>
  <si>
    <t>12/29/2017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</si>
  <si>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</si>
  <si>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</si>
  <si>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</si>
  <si>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</si>
  <si>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</si>
  <si>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</si>
  <si>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</si>
  <si>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</si>
  <si>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</si>
  <si>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</si>
  <si>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</si>
  <si>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</si>
  <si>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</si>
  <si>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</si>
  <si>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</si>
  <si>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</si>
  <si>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</si>
  <si>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</si>
  <si>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</si>
  <si>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</si>
  <si>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</si>
  <si>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</si>
  <si>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</si>
  <si>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</si>
  <si>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</si>
  <si>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</si>
  <si>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</si>
  <si>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</si>
  <si>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</si>
  <si>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</si>
  <si>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</si>
  <si>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</si>
  <si>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</si>
  <si>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</si>
  <si>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</si>
  <si>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</si>
  <si>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</si>
  <si>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</si>
  <si>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</si>
  <si>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</si>
  <si>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</si>
  <si>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</si>
  <si>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</si>
  <si>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</si>
  <si>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</si>
  <si>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</si>
  <si>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</si>
  <si>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</si>
  <si>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</si>
  <si>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</si>
  <si>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</si>
  <si>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</si>
  <si>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</si>
  <si>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</si>
  <si>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</si>
  <si>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</si>
  <si>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</si>
  <si>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</si>
  <si>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</si>
  <si>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</si>
  <si>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</si>
  <si>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</si>
  <si>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</si>
  <si>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</si>
  <si>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</si>
  <si>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</si>
  <si>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</si>
  <si>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</si>
  <si>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</si>
  <si>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</si>
  <si>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</si>
  <si>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</si>
  <si>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</si>
  <si>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</si>
  <si>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</si>
  <si>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</si>
  <si>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</si>
  <si>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</si>
  <si>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</si>
  <si>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</si>
  <si>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</si>
  <si>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</si>
  <si>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</si>
  <si>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</si>
  <si>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</si>
  <si>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</si>
  <si>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</si>
  <si>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</si>
  <si>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</si>
  <si>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</si>
  <si>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</si>
  <si>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</si>
  <si>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</si>
  <si>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</si>
  <si>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</si>
  <si>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</si>
  <si>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</si>
  <si>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</si>
  <si>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</si>
  <si>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</si>
  <si>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</si>
  <si>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</si>
  <si>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</si>
  <si>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</si>
  <si>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</si>
  <si>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</si>
  <si>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</si>
  <si>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</si>
  <si>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</si>
  <si>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</si>
  <si>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</si>
  <si>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</si>
  <si>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</si>
  <si>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</si>
  <si>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</si>
  <si>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</si>
  <si>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</si>
  <si>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</si>
  <si>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</si>
  <si>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</si>
  <si>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</si>
  <si>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</si>
  <si>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</si>
  <si>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</si>
  <si>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</si>
  <si>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</si>
  <si>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</si>
  <si>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</si>
  <si>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</si>
  <si>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</si>
  <si>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</si>
  <si>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</si>
  <si>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</si>
  <si>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</si>
  <si>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</si>
  <si>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</si>
  <si>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</si>
  <si>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</si>
  <si>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</si>
  <si>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</si>
  <si>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</si>
  <si>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</si>
  <si>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</si>
  <si>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</si>
  <si>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</si>
  <si>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</si>
  <si>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</si>
  <si>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</si>
  <si>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</si>
  <si>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</si>
  <si>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</si>
  <si>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</si>
  <si>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</si>
  <si>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</si>
  <si>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</si>
  <si>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</si>
  <si>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</si>
  <si>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</si>
  <si>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</si>
  <si>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</si>
  <si>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</si>
  <si>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</si>
  <si>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</si>
  <si>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</si>
  <si>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</si>
  <si>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</si>
  <si>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</si>
  <si>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</si>
  <si>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</si>
  <si>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</si>
  <si>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</si>
  <si>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</si>
  <si>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</si>
  <si>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</si>
  <si>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</si>
  <si>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</si>
  <si>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</si>
  <si>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</si>
  <si>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</si>
  <si>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</si>
  <si>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</si>
  <si>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</si>
  <si>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</si>
  <si>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</si>
  <si>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</si>
  <si>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</si>
  <si>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</si>
  <si>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</si>
  <si>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</si>
  <si>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</si>
  <si>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</si>
  <si>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</si>
  <si>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</si>
  <si>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</si>
  <si>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</si>
  <si>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</si>
  <si>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</si>
  <si>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</si>
  <si>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</si>
  <si>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</si>
  <si>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</si>
  <si>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</si>
  <si>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</si>
  <si>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</si>
  <si>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</si>
  <si>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</si>
  <si>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</si>
  <si>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</si>
  <si>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</si>
  <si>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</si>
  <si>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</si>
  <si>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</si>
  <si>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</si>
  <si>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</si>
  <si>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</si>
  <si>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</si>
  <si>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</si>
  <si>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</si>
  <si>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</si>
  <si>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</si>
  <si>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</si>
  <si>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</si>
  <si>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</si>
  <si>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</si>
  <si>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</si>
  <si>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</si>
  <si>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</si>
  <si>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</si>
  <si>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</si>
  <si>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</si>
  <si>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</si>
  <si>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</si>
  <si>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</si>
  <si>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</si>
  <si>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</si>
  <si>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</si>
  <si>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</si>
  <si>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</si>
  <si>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</si>
  <si>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</si>
  <si>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</si>
  <si>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</si>
  <si>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</si>
  <si>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</si>
  <si>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</si>
  <si>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</si>
  <si>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12/26/2018</t>
  </si>
  <si>
    <t>12/27/2018</t>
  </si>
  <si>
    <t>12/28/2018</t>
  </si>
  <si>
    <t>12/31/2018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</si>
  <si>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</si>
  <si>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</si>
  <si>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</si>
  <si>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</si>
  <si>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</si>
  <si>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</si>
  <si>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</si>
  <si>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</si>
  <si>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</si>
  <si>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</si>
  <si>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</si>
  <si>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</si>
  <si>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</si>
  <si>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</si>
  <si>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</si>
  <si>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</si>
  <si>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</si>
  <si>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</si>
  <si>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</si>
  <si>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</si>
  <si>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</si>
  <si>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</si>
  <si>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</si>
  <si>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</si>
  <si>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</si>
  <si>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</si>
  <si>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</si>
  <si>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</si>
  <si>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</si>
  <si>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</si>
  <si>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</si>
  <si>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</si>
  <si>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</si>
  <si>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</si>
  <si>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</si>
  <si>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</si>
  <si>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</si>
  <si>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</si>
  <si>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</si>
  <si>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</si>
  <si>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</si>
  <si>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</si>
  <si>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</si>
  <si>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</si>
  <si>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</si>
  <si>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</si>
  <si>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</si>
  <si>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</si>
  <si>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</si>
  <si>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</si>
  <si>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</si>
  <si>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</si>
  <si>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</si>
  <si>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</si>
  <si>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</si>
  <si>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</si>
  <si>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</si>
  <si>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</si>
  <si>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</si>
  <si>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</si>
  <si>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</si>
  <si>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</si>
  <si>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</si>
  <si>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</si>
  <si>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</si>
  <si>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</si>
  <si>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</si>
  <si>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</si>
  <si>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</si>
  <si>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</si>
  <si>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</si>
  <si>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</si>
  <si>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</si>
  <si>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</si>
  <si>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</si>
  <si>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</si>
  <si>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</si>
  <si>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</si>
  <si>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</si>
  <si>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</si>
  <si>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</si>
  <si>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</si>
  <si>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</si>
  <si>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</si>
  <si>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</si>
  <si>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</si>
  <si>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</si>
  <si>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</si>
  <si>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</si>
  <si>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</si>
  <si>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</si>
  <si>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</si>
  <si>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</si>
  <si>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</si>
  <si>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</si>
  <si>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</si>
  <si>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</si>
  <si>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05/23/2019</t>
  </si>
  <si>
    <t>05/24/2019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</si>
  <si>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</si>
  <si>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</si>
  <si>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</si>
  <si>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</si>
  <si>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</si>
  <si>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</si>
  <si>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</si>
  <si>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</si>
  <si>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</si>
  <si>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</si>
  <si>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</si>
  <si>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</si>
  <si>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</si>
  <si>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</si>
  <si>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</si>
  <si>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</si>
  <si>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</si>
  <si>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</si>
  <si>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</si>
  <si>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</si>
  <si>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</si>
  <si>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</si>
  <si>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</si>
  <si>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</si>
  <si>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</si>
  <si>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</si>
  <si>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</si>
  <si>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</si>
  <si>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</si>
  <si>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</si>
  <si>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</si>
  <si>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</si>
  <si>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</si>
  <si>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</si>
  <si>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</si>
  <si>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</si>
  <si>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</si>
  <si>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</si>
  <si>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</si>
  <si>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</si>
  <si>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</si>
  <si>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</si>
  <si>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</si>
  <si>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</si>
  <si>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</si>
  <si>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</si>
  <si>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</si>
  <si>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</si>
  <si>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</si>
  <si>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</si>
  <si>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</si>
  <si>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</si>
  <si>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</si>
  <si>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</si>
  <si>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</si>
  <si>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</si>
  <si>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</si>
  <si>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</si>
  <si>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</si>
  <si>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</si>
  <si>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</si>
  <si>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</si>
  <si>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</si>
  <si>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</si>
  <si>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</si>
  <si>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</si>
  <si>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</si>
  <si>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</si>
  <si>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</si>
  <si>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</si>
  <si>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</si>
  <si>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</si>
  <si>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</si>
  <si>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</si>
  <si>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</si>
  <si>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</si>
  <si>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</si>
  <si>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</si>
  <si>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</si>
  <si>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</si>
  <si>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</si>
  <si>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</si>
  <si>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</si>
  <si>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</si>
  <si>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</si>
  <si>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</si>
  <si>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</si>
  <si>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</si>
  <si>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</si>
  <si>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</si>
  <si>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</si>
  <si>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</si>
  <si>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</si>
  <si>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</si>
  <si>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</si>
  <si>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</si>
  <si>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</si>
  <si>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</si>
  <si>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</si>
  <si>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</si>
  <si>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</si>
  <si>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</si>
  <si>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</si>
  <si>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</si>
  <si>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</si>
  <si>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</si>
  <si>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</si>
  <si>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</si>
  <si>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</si>
  <si>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</si>
  <si>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</si>
  <si>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</si>
  <si>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</si>
  <si>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</si>
  <si>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</si>
  <si>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</si>
  <si>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</si>
  <si>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</si>
  <si>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</si>
  <si>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</si>
  <si>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</si>
  <si>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</si>
  <si>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</si>
  <si>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</si>
  <si>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</si>
  <si>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</si>
  <si>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</si>
  <si>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</si>
  <si>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</si>
  <si>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</si>
  <si>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</si>
  <si>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</si>
  <si>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</si>
  <si>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</si>
  <si>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</si>
  <si>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</si>
  <si>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</si>
  <si>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</si>
  <si>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</si>
  <si>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</si>
  <si>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</si>
  <si>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</si>
  <si>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</si>
  <si>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</si>
  <si>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</si>
  <si>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</si>
  <si>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</si>
  <si>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</si>
  <si>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</si>
  <si>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</si>
  <si>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</si>
  <si>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</si>
  <si>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</si>
  <si>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</si>
  <si>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</si>
  <si>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</si>
  <si>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</si>
  <si>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</si>
  <si>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</si>
  <si>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</si>
  <si>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</si>
  <si>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</si>
  <si>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</si>
  <si>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</si>
  <si>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</si>
  <si>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</si>
  <si>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</si>
  <si>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</si>
  <si>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</si>
  <si>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</si>
  <si>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</si>
  <si>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</si>
  <si>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</si>
  <si>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</si>
  <si>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</si>
  <si>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</si>
  <si>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</si>
  <si>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</si>
  <si>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</si>
  <si>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</si>
  <si>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</si>
  <si>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</si>
  <si>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</si>
  <si>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</si>
  <si>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</si>
  <si>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</si>
  <si>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</si>
  <si>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</si>
  <si>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</si>
  <si>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</si>
  <si>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</si>
  <si>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</si>
  <si>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</si>
  <si>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</si>
  <si>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</si>
  <si>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</si>
  <si>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</si>
  <si>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</si>
  <si>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</si>
  <si>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</si>
  <si>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</si>
  <si>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</si>
  <si>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</si>
  <si>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</si>
  <si>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</si>
  <si>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</si>
  <si>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</si>
  <si>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</si>
  <si>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</si>
  <si>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</si>
  <si>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</si>
  <si>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</si>
  <si>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</si>
  <si>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</si>
  <si>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</si>
  <si>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</si>
  <si>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</si>
  <si>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</si>
  <si>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</si>
  <si>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</si>
  <si>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</si>
  <si>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</si>
  <si>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</si>
  <si>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</si>
  <si>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</si>
  <si>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</si>
  <si>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</si>
  <si>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</si>
  <si>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04/24/2020</t>
  </si>
  <si>
    <t>04/27/2020</t>
  </si>
  <si>
    <t>04/28/2020</t>
  </si>
  <si>
    <t>04/29/2020</t>
  </si>
  <si>
    <t>04/30/2020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</si>
  <si>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</si>
  <si>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</si>
  <si>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</si>
  <si>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</si>
  <si>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</si>
  <si>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</si>
  <si>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</si>
  <si>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</si>
  <si>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</si>
  <si>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</si>
  <si>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</si>
  <si>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05/20/2020</t>
  </si>
  <si>
    <t>05/21/2020</t>
  </si>
  <si>
    <t>05/22/2020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</si>
  <si>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</si>
  <si>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</si>
  <si>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</si>
  <si>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</si>
  <si>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</si>
  <si>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</si>
  <si>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</si>
  <si>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</si>
  <si>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</si>
  <si>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</si>
  <si>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</si>
  <si>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</si>
  <si>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</si>
  <si>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</si>
  <si>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</si>
  <si>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</si>
  <si>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</si>
  <si>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</si>
  <si>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</si>
  <si>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</si>
  <si>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</si>
  <si>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</si>
  <si>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</si>
  <si>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</si>
  <si>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</si>
  <si>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</si>
  <si>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</si>
  <si>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</si>
  <si>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</si>
  <si>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</si>
  <si>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</si>
  <si>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</si>
  <si>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</si>
  <si>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</si>
  <si>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</si>
  <si>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</si>
  <si>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</si>
  <si>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</si>
  <si>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</si>
  <si>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</si>
  <si>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</si>
  <si>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</si>
  <si>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</si>
  <si>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</si>
  <si>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</si>
  <si>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</si>
  <si>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</si>
  <si>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</si>
  <si>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</si>
  <si>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</si>
  <si>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</si>
  <si>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</si>
  <si>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</si>
  <si>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</si>
  <si>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</si>
  <si>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</si>
  <si>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</si>
  <si>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</si>
  <si>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</si>
  <si>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</si>
  <si>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</si>
  <si>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</si>
  <si>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</si>
  <si>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</si>
  <si>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</si>
  <si>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</si>
  <si>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</si>
  <si>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</si>
  <si>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</si>
  <si>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</si>
  <si>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</si>
  <si>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</si>
  <si>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</si>
  <si>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</si>
  <si>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</si>
  <si>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</si>
  <si>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</si>
  <si>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</si>
  <si>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</si>
  <si>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</si>
  <si>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</si>
  <si>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</si>
  <si>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</si>
  <si>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</si>
  <si>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</si>
  <si>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</si>
  <si>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</si>
  <si>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</si>
  <si>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</si>
  <si>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</si>
  <si>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</si>
  <si>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</si>
  <si>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</si>
  <si>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</si>
  <si>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</si>
  <si>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</si>
  <si>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</si>
  <si>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</si>
  <si>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</si>
  <si>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</si>
  <si>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</si>
  <si>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</si>
  <si>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</si>
  <si>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</si>
  <si>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</si>
  <si>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</si>
  <si>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</si>
  <si>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</si>
  <si>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</si>
  <si>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</si>
  <si>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</si>
  <si>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</si>
  <si>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</si>
  <si>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</si>
  <si>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</si>
  <si>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</si>
  <si>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</si>
  <si>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</si>
  <si>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</si>
  <si>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</si>
  <si>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</si>
  <si>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</si>
  <si>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</si>
  <si>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</si>
  <si>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</si>
  <si>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</si>
  <si>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</si>
  <si>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</si>
  <si>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</si>
  <si>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</si>
  <si>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</si>
  <si>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</si>
  <si>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</si>
  <si>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</si>
  <si>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</si>
  <si>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</si>
  <si>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</si>
  <si>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</si>
  <si>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</si>
  <si>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</si>
  <si>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</si>
  <si>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</si>
  <si>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</si>
  <si>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</si>
  <si>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</si>
  <si>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</si>
  <si>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</si>
  <si>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</si>
  <si>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</si>
  <si>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</si>
  <si>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</si>
  <si>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</si>
  <si>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</si>
  <si>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</si>
  <si>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</si>
  <si>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</si>
  <si>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</si>
  <si>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</si>
  <si>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</si>
  <si>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</si>
  <si>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</si>
  <si>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</si>
  <si>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</si>
  <si>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</si>
  <si>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</si>
  <si>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</si>
  <si>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</si>
  <si>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</si>
  <si>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</si>
  <si>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</si>
  <si>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</si>
  <si>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</si>
  <si>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</si>
  <si>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</si>
  <si>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</si>
  <si>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</si>
  <si>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</si>
  <si>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</si>
  <si>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</si>
  <si>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</si>
  <si>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</si>
  <si>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</si>
  <si>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</si>
  <si>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</si>
  <si>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</si>
  <si>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</si>
  <si>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</si>
  <si>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</si>
  <si>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</si>
  <si>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</si>
  <si>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</si>
  <si>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</si>
  <si>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</si>
  <si>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</si>
  <si>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</si>
  <si>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</si>
  <si>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</si>
  <si>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</si>
  <si>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</si>
  <si>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</si>
  <si>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</si>
  <si>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</si>
  <si>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</si>
  <si>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</si>
  <si>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</si>
  <si>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</si>
  <si>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</si>
  <si>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</si>
  <si>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</si>
  <si>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</si>
  <si>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</si>
  <si>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</si>
  <si>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</si>
  <si>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</si>
  <si>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</si>
  <si>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</si>
  <si>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</si>
  <si>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</si>
  <si>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</si>
  <si>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</si>
  <si>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</si>
  <si>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</si>
  <si>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</si>
  <si>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</si>
  <si>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</si>
  <si>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</si>
  <si>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</si>
  <si>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</si>
  <si>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</si>
  <si>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</si>
  <si>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</si>
  <si>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</si>
  <si>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</si>
  <si>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</si>
  <si>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</si>
  <si>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</si>
  <si>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</si>
  <si>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</si>
  <si>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05/17/2021</t>
  </si>
  <si>
    <t>05/18/2021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</si>
  <si>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</si>
  <si>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</si>
  <si>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</si>
  <si>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</si>
  <si>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</si>
  <si>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</si>
  <si>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</si>
  <si>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</si>
  <si>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</si>
  <si>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</si>
  <si>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</si>
  <si>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</si>
  <si>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</si>
  <si>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</si>
  <si>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</si>
  <si>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</si>
  <si>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</si>
  <si>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</si>
  <si>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</si>
  <si>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</si>
  <si>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</si>
  <si>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</si>
  <si>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</si>
  <si>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</si>
  <si>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</si>
  <si>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</si>
  <si>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</si>
  <si>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</si>
  <si>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</si>
  <si>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</si>
  <si>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</si>
  <si>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</si>
  <si>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</si>
  <si>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</si>
  <si>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</si>
  <si>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</si>
  <si>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</si>
  <si>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</si>
  <si>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07/16/2021</t>
  </si>
  <si>
    <t>07/19/2021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</si>
  <si>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</si>
  <si>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</si>
  <si>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</si>
  <si>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</si>
  <si>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</si>
  <si>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</si>
  <si>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</si>
  <si>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</si>
  <si>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</si>
  <si>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</si>
  <si>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</si>
  <si>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</si>
  <si>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</si>
  <si>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</si>
  <si>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</si>
  <si>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</si>
  <si>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</si>
  <si>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</si>
  <si>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</si>
  <si>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</si>
  <si>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</si>
  <si>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</si>
  <si>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</si>
  <si>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</si>
  <si>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</si>
  <si>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</si>
  <si>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</si>
  <si>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</si>
  <si>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</si>
  <si>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</si>
  <si>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</si>
  <si>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</si>
  <si>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</si>
  <si>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</si>
  <si>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</si>
  <si>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</si>
  <si>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</si>
  <si>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</si>
  <si>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</si>
  <si>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</si>
  <si>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</si>
  <si>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</si>
  <si>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</si>
  <si>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</si>
  <si>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</si>
  <si>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</si>
  <si>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</si>
  <si>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</si>
  <si>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</si>
  <si>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</si>
  <si>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</si>
  <si>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</si>
  <si>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</si>
  <si>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</si>
  <si>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</si>
  <si>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</si>
  <si>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</si>
  <si>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</si>
  <si>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</si>
  <si>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</si>
  <si>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</si>
  <si>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</si>
  <si>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</si>
  <si>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</si>
  <si>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</si>
  <si>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</si>
  <si>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</si>
  <si>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</si>
  <si>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</si>
  <si>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</si>
  <si>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</si>
  <si>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</si>
  <si>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</si>
  <si>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</si>
  <si>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</si>
  <si>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</si>
  <si>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</si>
  <si>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</si>
  <si>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</si>
  <si>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</si>
  <si>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</si>
  <si>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</si>
  <si>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</si>
  <si>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</si>
  <si>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</si>
  <si>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</si>
  <si>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</si>
  <si>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</si>
  <si>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</si>
  <si>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</si>
  <si>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</si>
  <si>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</si>
  <si>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</si>
  <si>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</si>
  <si>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</si>
  <si>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</si>
  <si>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</si>
  <si>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</si>
  <si>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</si>
  <si>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</si>
  <si>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</si>
  <si>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</si>
  <si>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</si>
  <si>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</si>
  <si>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</si>
  <si>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</si>
  <si>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</si>
  <si>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</si>
  <si>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</si>
  <si>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</si>
  <si>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</si>
  <si>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</si>
  <si>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</si>
  <si>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</si>
  <si>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</si>
  <si>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</si>
  <si>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</si>
  <si>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</si>
  <si>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</si>
  <si>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</si>
  <si>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</si>
  <si>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</si>
  <si>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</si>
  <si>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</si>
  <si>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</si>
  <si>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</si>
  <si>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</si>
  <si>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</si>
  <si>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</si>
  <si>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</si>
  <si>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</si>
  <si>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</si>
  <si>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</si>
  <si>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</si>
  <si>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</si>
  <si>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</si>
  <si>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</si>
  <si>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</si>
  <si>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</si>
  <si>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</si>
  <si>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</si>
  <si>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</si>
  <si>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</si>
  <si>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</si>
  <si>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</si>
  <si>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</si>
  <si>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</si>
  <si>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</si>
  <si>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</si>
  <si>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</si>
  <si>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</si>
  <si>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</si>
  <si>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</si>
  <si>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</si>
  <si>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</si>
  <si>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</si>
  <si>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</si>
  <si>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</si>
  <si>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</si>
  <si>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</si>
  <si>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</si>
  <si>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</si>
  <si>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</si>
  <si>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</si>
  <si>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</si>
  <si>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</si>
  <si>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</si>
  <si>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</si>
  <si>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</si>
  <si>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</si>
  <si>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</si>
  <si>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</si>
  <si>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</si>
  <si>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</si>
  <si>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</si>
  <si>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</si>
  <si>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</si>
  <si>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</si>
  <si>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</si>
  <si>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</si>
  <si>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</si>
  <si>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</si>
  <si>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</si>
  <si>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</si>
  <si>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</si>
  <si>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</si>
  <si>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</si>
  <si>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</si>
  <si>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</si>
  <si>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</si>
  <si>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</si>
  <si>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</si>
  <si>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</si>
  <si>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</si>
  <si>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</si>
  <si>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</si>
  <si>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</si>
  <si>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</si>
  <si>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</si>
  <si>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</si>
  <si>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</si>
  <si>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</si>
  <si>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</si>
  <si>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</si>
  <si>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</si>
  <si>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</si>
  <si>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</si>
  <si>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</si>
  <si>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</si>
  <si>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</si>
  <si>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</si>
  <si>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</si>
  <si>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</si>
  <si>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</si>
  <si>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</si>
  <si>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</si>
  <si>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</si>
  <si>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</si>
  <si>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</si>
  <si>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</si>
  <si>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</si>
  <si>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</si>
  <si>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</si>
  <si>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</si>
  <si>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</si>
  <si>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</si>
  <si>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</si>
  <si>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</si>
  <si>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</si>
  <si>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</si>
  <si>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</si>
  <si>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</si>
  <si>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</si>
  <si>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</si>
  <si>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</si>
  <si>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07/13/2022</t>
  </si>
  <si>
    <t>07/14/2022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</si>
  <si>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</si>
  <si>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</si>
  <si>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</si>
  <si>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</si>
  <si>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</si>
  <si>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</si>
  <si>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</si>
  <si>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</si>
  <si>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</si>
  <si>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</si>
  <si>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</si>
  <si>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</si>
  <si>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</si>
  <si>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</si>
  <si>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</si>
  <si>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</si>
  <si>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</si>
  <si>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</si>
  <si>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</si>
  <si>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</si>
  <si>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</si>
  <si>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</si>
  <si>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</si>
  <si>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</si>
  <si>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</si>
  <si>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</si>
  <si>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</si>
  <si>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</si>
  <si>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</si>
  <si>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</si>
  <si>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</si>
  <si>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</si>
  <si>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</si>
  <si>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</si>
  <si>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</si>
  <si>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</si>
  <si>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</si>
  <si>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</si>
  <si>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</si>
  <si>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</si>
  <si>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</si>
  <si>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</si>
  <si>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</si>
  <si>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</si>
  <si>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</si>
  <si>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</si>
  <si>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</si>
  <si>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</si>
  <si>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</si>
  <si>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</si>
  <si>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</si>
  <si>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</si>
  <si>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</si>
  <si>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</si>
  <si>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</si>
  <si>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</si>
  <si>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</si>
  <si>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</si>
  <si>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</si>
  <si>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</si>
  <si>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</si>
  <si>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</si>
  <si>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</si>
  <si>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</si>
  <si>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</si>
  <si>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</si>
  <si>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</si>
  <si>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</si>
  <si>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</si>
  <si>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</si>
  <si>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</si>
  <si>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</si>
  <si>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</si>
  <si>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</si>
  <si>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</si>
  <si>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</si>
  <si>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</si>
  <si>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</si>
  <si>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</si>
  <si>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</si>
  <si>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</si>
  <si>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</si>
  <si>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</si>
  <si>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</si>
  <si>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</si>
  <si>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</si>
  <si>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</si>
  <si>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</si>
  <si>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</si>
  <si>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</si>
  <si>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</si>
  <si>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</si>
  <si>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</si>
  <si>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</si>
  <si>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</si>
  <si>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</si>
  <si>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</si>
  <si>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</si>
  <si>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</si>
  <si>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</si>
  <si>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</si>
  <si>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</si>
  <si>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</si>
  <si>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</si>
  <si>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</si>
  <si>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</si>
  <si>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</si>
  <si>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</si>
  <si>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</si>
  <si>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</si>
  <si>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</si>
  <si>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</si>
  <si>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</si>
  <si>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</si>
  <si>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</si>
  <si>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</si>
  <si>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</si>
  <si>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</si>
  <si>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</si>
  <si>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</si>
  <si>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</si>
  <si>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</si>
  <si>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</si>
  <si>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</si>
  <si>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</si>
  <si>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</si>
  <si>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</si>
  <si>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</si>
  <si>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</si>
  <si>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</si>
  <si>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</si>
  <si>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</si>
  <si>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</si>
  <si>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</si>
  <si>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</si>
  <si>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</si>
  <si>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</si>
  <si>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</si>
  <si>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</si>
  <si>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</si>
  <si>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</si>
  <si>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</si>
  <si>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</si>
  <si>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</si>
  <si>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</si>
  <si>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</si>
  <si>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</si>
  <si>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</si>
  <si>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</si>
  <si>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</si>
  <si>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</si>
  <si>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</si>
  <si>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</si>
  <si>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</si>
  <si>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</si>
  <si>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</si>
  <si>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</si>
  <si>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</si>
  <si>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</si>
  <si>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</si>
  <si>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</si>
  <si>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</si>
  <si>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</si>
  <si>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</si>
  <si>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</si>
  <si>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</si>
  <si>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</si>
  <si>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</si>
  <si>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</si>
  <si>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</si>
  <si>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</si>
  <si>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</si>
  <si>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</si>
  <si>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</si>
  <si>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</si>
  <si>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</si>
  <si>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</si>
  <si>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</si>
  <si>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</si>
  <si>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</si>
  <si>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</si>
  <si>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</si>
  <si>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</si>
  <si>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</si>
  <si>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</si>
  <si>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</si>
  <si>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</si>
  <si>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04/24/2023</t>
  </si>
  <si>
    <t>04/25/2023</t>
  </si>
  <si>
    <t>04/26/2023</t>
  </si>
  <si>
    <t>04/27/2023</t>
  </si>
  <si>
    <t>04/28/2023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</si>
  <si>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</si>
  <si>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</si>
  <si>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</si>
  <si>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</si>
  <si>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</si>
  <si>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</si>
  <si>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</si>
  <si>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</si>
  <si>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</si>
  <si>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</si>
  <si>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</si>
  <si>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</si>
  <si>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</si>
  <si>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</si>
  <si>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</si>
  <si>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</si>
  <si>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</si>
  <si>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</si>
  <si>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</si>
  <si>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</si>
  <si>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</si>
  <si>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</si>
  <si>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</si>
  <si>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</si>
  <si>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</si>
  <si>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</si>
  <si>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</si>
  <si>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</si>
  <si>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</si>
  <si>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</si>
  <si>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</si>
  <si>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</si>
  <si>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</si>
  <si>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</si>
  <si>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</si>
  <si>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</si>
  <si>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</si>
  <si>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</si>
  <si>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</si>
  <si>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</si>
  <si>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</si>
  <si>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</si>
  <si>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</si>
  <si>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</si>
  <si>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</si>
  <si>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</si>
  <si>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</si>
  <si>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</si>
  <si>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</si>
  <si>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</si>
  <si>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</si>
  <si>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</si>
  <si>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</si>
  <si>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</si>
  <si>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</si>
  <si>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</si>
  <si>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</si>
  <si>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</si>
  <si>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</si>
  <si>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</si>
  <si>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</si>
  <si>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</si>
  <si>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</si>
  <si>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</si>
  <si>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</si>
  <si>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</si>
  <si>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</si>
  <si>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</si>
  <si>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</si>
  <si>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</si>
  <si>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</si>
  <si>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</si>
  <si>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</si>
  <si>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</si>
  <si>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</si>
  <si>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</si>
  <si>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</si>
  <si>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</si>
  <si>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</si>
  <si>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</si>
  <si>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</si>
  <si>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</si>
  <si>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</si>
  <si>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</si>
  <si>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</si>
  <si>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</si>
  <si>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</si>
  <si>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</si>
  <si>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</si>
  <si>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</si>
  <si>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</si>
  <si>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</si>
  <si>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</si>
  <si>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</si>
  <si>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</si>
  <si>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</si>
  <si>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</si>
  <si>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</si>
  <si>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</si>
  <si>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</si>
  <si>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</si>
  <si>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</si>
  <si>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</si>
  <si>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</si>
  <si>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</si>
  <si>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</si>
  <si>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</si>
  <si>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</si>
  <si>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</si>
  <si>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</si>
  <si>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</si>
  <si>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</si>
  <si>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</si>
  <si>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</si>
  <si>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</si>
  <si>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</si>
  <si>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</si>
  <si>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</si>
  <si>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</si>
  <si>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</si>
  <si>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</si>
  <si>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</si>
  <si>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</si>
  <si>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</si>
  <si>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</si>
  <si>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</si>
  <si>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</si>
  <si>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</si>
  <si>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</si>
  <si>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</si>
  <si>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</si>
  <si>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</si>
  <si>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</si>
  <si>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</si>
  <si>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</si>
  <si>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</si>
  <si>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</si>
  <si>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</si>
  <si>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</si>
  <si>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</si>
  <si>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</si>
  <si>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</si>
  <si>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</si>
  <si>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</si>
  <si>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</si>
  <si>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</si>
  <si>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</si>
  <si>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</si>
  <si>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</si>
  <si>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</si>
  <si>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</si>
  <si>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</si>
  <si>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</si>
  <si>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</si>
  <si>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</si>
  <si>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</si>
  <si>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</si>
  <si>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</si>
  <si>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</si>
  <si>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</si>
  <si>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</si>
  <si>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</si>
  <si>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</si>
  <si>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</si>
  <si>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</si>
  <si>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</si>
  <si>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</si>
  <si>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</si>
  <si>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</si>
  <si>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</si>
  <si>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</si>
  <si>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</si>
  <si>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</si>
  <si>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</si>
  <si>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</si>
  <si>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</si>
  <si>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</si>
  <si>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</si>
  <si>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</si>
  <si>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</si>
  <si>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</si>
  <si>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</si>
  <si>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</si>
  <si>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</si>
  <si>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</si>
  <si>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</si>
  <si>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</si>
  <si>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</si>
  <si>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</si>
  <si>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</si>
  <si>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</si>
  <si>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</si>
  <si>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</si>
  <si>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</si>
  <si>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</si>
  <si>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</si>
  <si>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</si>
  <si>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</si>
  <si>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</si>
  <si>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</si>
  <si>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</si>
  <si>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</si>
  <si>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</si>
  <si>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</si>
  <si>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</si>
  <si>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</si>
  <si>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</si>
  <si>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</si>
  <si>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</si>
  <si>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</si>
  <si>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</si>
  <si>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</si>
  <si>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</si>
  <si>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</si>
  <si>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</si>
  <si>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</si>
  <si>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</si>
  <si>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</si>
  <si>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</si>
  <si>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</si>
  <si>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</si>
  <si>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</si>
  <si>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</si>
  <si>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</si>
  <si>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</si>
  <si>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</si>
  <si>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</si>
  <si>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</si>
  <si>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</si>
  <si>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</si>
  <si>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04/15/2024</t>
  </si>
  <si>
    <t>04/16/2024</t>
  </si>
  <si>
    <t>04/17/2024</t>
  </si>
  <si>
    <t>04/18/2024</t>
  </si>
  <si>
    <t>04/19/2024</t>
  </si>
  <si>
    <t>04/22/2024</t>
  </si>
  <si>
    <t>04/24/2024</t>
  </si>
  <si>
    <t>04/25/2024</t>
  </si>
  <si>
    <t>04/26/2024</t>
  </si>
  <si>
    <t>04/29/2024</t>
  </si>
  <si>
    <t>04/30/2024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</si>
  <si>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</si>
  <si>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</si>
  <si>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</si>
  <si>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</si>
  <si>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</si>
  <si>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</si>
  <si>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</si>
  <si>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</si>
  <si>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</si>
  <si>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</si>
  <si>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</si>
  <si>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</si>
  <si>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</si>
  <si>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</si>
  <si>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</si>
  <si>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</si>
  <si>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</si>
  <si>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</si>
  <si>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</si>
  <si>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</si>
  <si>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</si>
  <si>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</si>
  <si>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</si>
  <si>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</si>
  <si>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</si>
  <si>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</si>
  <si>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</si>
  <si>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</si>
  <si>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</si>
  <si>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</si>
  <si>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</si>
  <si>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</si>
  <si>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</si>
  <si>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</si>
  <si>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</si>
  <si>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</si>
  <si>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</si>
  <si>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</si>
  <si>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</si>
  <si>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</si>
  <si>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</si>
  <si>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</si>
  <si>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</si>
  <si>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</si>
  <si>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</si>
  <si>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</si>
  <si>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</si>
  <si>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</si>
  <si>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</si>
  <si>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</si>
  <si>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</si>
  <si>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</si>
  <si>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</si>
  <si>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</si>
  <si>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</si>
  <si>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</si>
  <si>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</si>
  <si>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</si>
  <si>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</si>
  <si>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</si>
  <si>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</si>
  <si>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</si>
  <si>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</si>
  <si>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</si>
  <si>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</si>
  <si>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</si>
  <si>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</si>
  <si>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</si>
  <si>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</si>
  <si>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</si>
  <si>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</si>
  <si>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</si>
  <si>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</si>
  <si>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</si>
  <si>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</si>
  <si>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</si>
  <si>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</si>
  <si>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</si>
  <si>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</si>
  <si>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</si>
  <si>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</si>
  <si>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</si>
  <si>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</si>
  <si>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</si>
  <si>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</si>
  <si>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</si>
  <si>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</si>
  <si>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</si>
  <si>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</si>
  <si>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</si>
  <si>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</si>
  <si>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</si>
  <si>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</si>
  <si>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</si>
  <si>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</si>
  <si>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</si>
  <si>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</si>
  <si>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</si>
  <si>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</si>
  <si>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</si>
  <si>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</si>
  <si>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</si>
  <si>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</si>
  <si>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</si>
  <si>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</si>
  <si>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</si>
  <si>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</si>
  <si>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</si>
  <si>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</si>
  <si>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</si>
  <si>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</si>
  <si>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</si>
  <si>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</si>
  <si>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</si>
  <si>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</si>
  <si>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</si>
  <si>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</si>
  <si>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</si>
  <si>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</si>
  <si>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</si>
  <si>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</si>
  <si>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</si>
  <si>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</si>
  <si>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</si>
  <si>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</si>
  <si>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</si>
  <si>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</si>
  <si>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</si>
  <si>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</si>
  <si>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</si>
  <si>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</si>
  <si>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</si>
  <si>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</si>
  <si>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</si>
  <si>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</si>
  <si>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</si>
  <si>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</si>
  <si>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</si>
  <si>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</si>
  <si>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</si>
  <si>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</si>
  <si>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</si>
  <si>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</si>
  <si>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</si>
  <si>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</si>
  <si>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</si>
  <si>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</si>
  <si>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</si>
  <si>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</si>
  <si>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</si>
  <si>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</si>
  <si>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</si>
  <si>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</si>
  <si>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</si>
  <si>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</si>
  <si>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</si>
  <si>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</si>
  <si>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</si>
  <si>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</si>
  <si>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</si>
  <si>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</si>
  <si>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</si>
  <si>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</si>
  <si>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</si>
  <si>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</si>
  <si>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</si>
  <si>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</si>
  <si>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</si>
  <si>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</si>
  <si>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</si>
  <si>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</si>
  <si>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</si>
  <si>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</si>
  <si>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</si>
  <si>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</si>
  <si>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</si>
  <si>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</si>
  <si>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</si>
  <si>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</si>
  <si>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</si>
  <si>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</si>
  <si>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</si>
  <si>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</si>
  <si>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</si>
  <si>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</si>
  <si>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</si>
  <si>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</si>
  <si>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</si>
  <si>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</si>
  <si>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</si>
  <si>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</si>
  <si>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</si>
  <si>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</si>
  <si>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</si>
  <si>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</si>
  <si>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</si>
  <si>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</si>
  <si>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</si>
  <si>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</si>
  <si>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</si>
  <si>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</si>
  <si>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</si>
  <si>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</si>
  <si>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</si>
  <si>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</si>
  <si>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</si>
  <si>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</si>
  <si>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</si>
  <si>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</si>
  <si>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</si>
  <si>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</si>
  <si>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</si>
  <si>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</si>
  <si>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</si>
  <si>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</si>
  <si>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</si>
  <si>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</si>
  <si>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</si>
  <si>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</si>
  <si>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</si>
  <si>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</si>
  <si>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</si>
  <si>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</si>
  <si>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</si>
  <si>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</si>
  <si>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</si>
  <si>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</si>
  <si>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</si>
  <si>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</si>
  <si>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</si>
  <si>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</si>
  <si>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</si>
  <si>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</si>
  <si>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</si>
  <si>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</si>
  <si>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04/22/2025</t>
  </si>
  <si>
    <t>04/24/2025</t>
  </si>
  <si>
    <t>04/25/2025</t>
  </si>
  <si>
    <t>04/28/2025</t>
  </si>
  <si>
    <t>04/29/2025</t>
  </si>
  <si>
    <t>04/30/2025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</si>
  <si>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</si>
  <si>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</si>
  <si>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</si>
  <si>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</si>
  <si>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</si>
  <si>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</si>
  <si>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</si>
  <si>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</si>
  <si>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</si>
  <si>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</si>
  <si>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</si>
  <si>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</si>
  <si>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</si>
  <si>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</si>
  <si>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</si>
  <si>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</si>
  <si>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</si>
  <si>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</si>
  <si>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</si>
  <si>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</si>
  <si>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</si>
  <si>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</si>
  <si>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</si>
  <si>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</si>
  <si>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</si>
  <si>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</si>
  <si>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</si>
  <si>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</si>
  <si>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</si>
  <si>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</si>
  <si>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</si>
  <si>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</si>
  <si>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</si>
  <si>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</si>
  <si>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</si>
  <si>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</si>
  <si>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</si>
  <si>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</si>
  <si>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</si>
  <si>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</si>
  <si>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</si>
  <si>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</si>
  <si>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</si>
  <si>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</si>
  <si>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</si>
  <si>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</si>
  <si>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07/14/2025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</si>
  <si>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</si>
  <si>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</si>
  <si>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</si>
  <si>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</si>
  <si>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</si>
  <si>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</si>
  <si>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</si>
  <si>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</si>
  <si>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</si>
  <si>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</si>
  <si>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</si>
  <si>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</si>
  <si>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</si>
  <si>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</si>
  <si>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</si>
  <si>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</si>
  <si>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</si>
  <si>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</si>
  <si>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</si>
  <si>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</si>
  <si>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</si>
  <si>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</si>
  <si>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</si>
  <si>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</si>
  <si>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</si>
  <si>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</si>
  <si>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</si>
  <si>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</si>
  <si>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</si>
  <si>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</si>
  <si>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</si>
  <si>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</si>
  <si>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</si>
  <si>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</si>
  <si>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</si>
  <si>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</si>
  <si>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</si>
  <si>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</si>
  <si>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</si>
  <si>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</si>
  <si>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</si>
  <si>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</si>
  <si>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</si>
  <si>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</si>
  <si>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</si>
  <si>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</si>
  <si>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</si>
  <si>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</si>
  <si>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</si>
  <si>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</si>
  <si>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</si>
  <si>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</si>
  <si>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</si>
  <si>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</si>
  <si>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</si>
  <si>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</si>
  <si>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</si>
  <si>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</si>
  <si>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</si>
  <si>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</si>
  <si>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</si>
  <si>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</si>
  <si>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</si>
  <si>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</si>
  <si>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</si>
  <si>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</si>
  <si>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</si>
  <si>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</si>
  <si>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</si>
  <si>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</si>
  <si>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</si>
  <si>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</si>
  <si>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</si>
  <si>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</si>
  <si>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</si>
  <si>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</si>
  <si>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</si>
  <si>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</si>
  <si>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</si>
  <si>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</si>
  <si>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</si>
  <si>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</si>
  <si>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</si>
  <si>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</si>
  <si>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</si>
  <si>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</si>
  <si>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</si>
  <si>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</si>
  <si>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</si>
  <si>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</si>
  <si>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</si>
  <si>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</si>
  <si>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</si>
  <si>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</si>
  <si>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</si>
  <si>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</si>
  <si>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</si>
  <si>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</si>
  <si>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</si>
  <si>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</si>
  <si>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</si>
  <si>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</si>
  <si>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</si>
  <si>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</si>
  <si>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</si>
  <si>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</si>
  <si>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</si>
  <si>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</si>
  <si>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</si>
  <si>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</si>
  <si>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</si>
  <si>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</si>
  <si>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</si>
  <si>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</si>
  <si>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</si>
  <si>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</si>
  <si>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</si>
  <si>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</si>
  <si>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</si>
  <si>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</si>
  <si>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</si>
  <si>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</si>
  <si>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</si>
  <si>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</si>
  <si>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</si>
  <si>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</si>
  <si>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</si>
  <si>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</si>
  <si>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</si>
  <si>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</si>
  <si>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</si>
  <si>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</si>
  <si>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</si>
  <si>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</si>
  <si>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</si>
  <si>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</si>
  <si>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</si>
  <si>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</si>
  <si>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</si>
  <si>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</si>
  <si>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</si>
  <si>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</si>
  <si>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</si>
  <si>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</si>
  <si>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</si>
  <si>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</si>
  <si>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</si>
  <si>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</si>
  <si>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</si>
  <si>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</si>
  <si>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</si>
  <si>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</si>
  <si>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</si>
  <si>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</si>
  <si>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</si>
  <si>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</si>
  <si>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</si>
  <si>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</si>
  <si>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</si>
  <si>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</si>
  <si>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</si>
  <si>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</si>
  <si>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</si>
  <si>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</si>
  <si>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</si>
  <si>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</si>
  <si>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</si>
  <si>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</si>
  <si>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</si>
  <si>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</si>
  <si>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</si>
  <si>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</si>
  <si>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</si>
  <si>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</si>
  <si>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</si>
  <si>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</si>
  <si>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</si>
  <si>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</si>
  <si>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</si>
  <si>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04/06/2026</t>
  </si>
  <si>
    <t>04/07/2026</t>
  </si>
  <si>
    <t>04/08/2026</t>
  </si>
  <si>
    <t>04/09/2026</t>
  </si>
  <si>
    <t>04/10/2026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</si>
  <si>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</si>
  <si>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</si>
  <si>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</si>
  <si>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</si>
  <si>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</si>
  <si>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</si>
  <si>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</si>
  <si>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</si>
  <si>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04/24/2026</t>
  </si>
  <si>
    <t>04/27/2026</t>
  </si>
  <si>
    <t>04/28/2026</t>
  </si>
  <si>
    <t>04/29/2026</t>
  </si>
  <si>
    <t>04/30/2026</t>
  </si>
  <si>
    <t>05/04/2026</t>
  </si>
  <si>
    <t>05/05/2026</t>
  </si>
  <si>
    <t>05/06/2026</t>
  </si>
  <si>
    <t>05/07/2026</t>
  </si>
  <si>
    <t>05/08/2026</t>
  </si>
  <si>
    <t>05/11/2026</t>
  </si>
  <si>
    <t>05/12/2026</t>
  </si>
  <si>
    <t>05/13/2026</t>
  </si>
  <si>
    <t>05/14/2026</t>
  </si>
  <si>
    <t>05/15/2026</t>
  </si>
  <si>
    <t>05/18/2026</t>
  </si>
  <si>
    <t>05/20/2026</t>
  </si>
  <si>
    <t>05/21/2026</t>
  </si>
  <si>
    <t>05/22/2026</t>
  </si>
  <si>
    <t>05/26/2026</t>
  </si>
  <si>
    <t>05/27/2026</t>
  </si>
  <si>
    <t>05/28/2026</t>
  </si>
  <si>
    <t>05/29/2026</t>
  </si>
  <si>
    <t>06/01/2026</t>
  </si>
  <si>
    <t>06/02/2026</t>
  </si>
  <si>
    <t>06/03/2026</t>
  </si>
  <si>
    <t>06/04/2026</t>
  </si>
  <si>
    <t>06/05/2026</t>
  </si>
  <si>
    <t>06/08/2026</t>
  </si>
  <si>
    <t>06/09/2026</t>
  </si>
  <si>
    <t>06/10/2026</t>
  </si>
  <si>
    <t>06/11/2026</t>
  </si>
  <si>
    <t>06/12/2026</t>
  </si>
  <si>
    <t>06/15/2026</t>
  </si>
  <si>
    <t>06/16/2026</t>
  </si>
  <si>
    <t>06/17/2026</t>
  </si>
  <si>
    <t>06/18/2026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</si>
  <si>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</si>
  <si>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</si>
  <si>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</si>
  <si>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</si>
  <si>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</si>
  <si>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</si>
  <si>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</si>
  <si>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07/01/2026</t>
  </si>
  <si>
    <t>07/02/2026</t>
  </si>
  <si>
    <t>07/06/2026</t>
  </si>
  <si>
    <t>07/07/2026</t>
  </si>
  <si>
    <t>07/08/2026</t>
  </si>
  <si>
    <t>07/09/2026</t>
  </si>
  <si>
    <t>07/10/2026</t>
  </si>
  <si>
    <t>07/13/2026</t>
  </si>
  <si>
    <t>07/14/2026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</si>
  <si>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</si>
  <si>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</si>
  <si>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</si>
  <si>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</si>
  <si>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</si>
  <si>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</si>
  <si>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</si>
  <si>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</si>
  <si>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</si>
  <si>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</si>
  <si>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</si>
  <si>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</si>
  <si>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08/03/2026</t>
  </si>
  <si>
    <t>08/04/2026</t>
  </si>
  <si>
    <t>08/05/2026</t>
  </si>
  <si>
    <t>08/06/2026</t>
  </si>
  <si>
    <t>08/07/2026</t>
  </si>
  <si>
    <t>08/10/2026</t>
  </si>
  <si>
    <t>08/11/2026</t>
  </si>
  <si>
    <t>08/12/2026</t>
  </si>
  <si>
    <t>08/13/2026</t>
  </si>
  <si>
    <t>08/14/2026</t>
  </si>
  <si>
    <t>08/17/2026</t>
  </si>
  <si>
    <t>08/18/2026</t>
  </si>
  <si>
    <t>08/19/2026</t>
  </si>
  <si>
    <t>08/20/2026</t>
  </si>
  <si>
    <t>08/21/2026</t>
  </si>
  <si>
    <t>08/24/2026</t>
  </si>
  <si>
    <t>08/25/2026</t>
  </si>
  <si>
    <t>08/26/2026</t>
  </si>
  <si>
    <t>08/27/2026</t>
  </si>
  <si>
    <t>08/28/2026</t>
  </si>
  <si>
    <t>08/31/2026</t>
  </si>
  <si>
    <t>09/01/2026</t>
  </si>
  <si>
    <t>09/02/2026</t>
  </si>
  <si>
    <t>09/03/2026</t>
  </si>
  <si>
    <t>64.9972</t>
  </si>
  <si>
    <t>64.9001</t>
  </si>
  <si>
    <t>66.9471</t>
  </si>
  <si>
    <t>67.6191</t>
  </si>
  <si>
    <t>67.1169</t>
  </si>
  <si>
    <t>66.5744</t>
  </si>
  <si>
    <t>67.4314</t>
  </si>
  <si>
    <t>66.1969</t>
  </si>
  <si>
    <t>65.6839</t>
  </si>
  <si>
    <t>65.4296</t>
  </si>
  <si>
    <t>66.8971</t>
  </si>
  <si>
    <t>66.7436</t>
  </si>
  <si>
    <t>66.8687</t>
  </si>
  <si>
    <t>66.3285</t>
  </si>
  <si>
    <t>67.4663</t>
  </si>
  <si>
    <t>65.2953</t>
  </si>
  <si>
    <t>66.0092</t>
  </si>
  <si>
    <t>67.737</t>
  </si>
  <si>
    <t>64.4087</t>
  </si>
  <si>
    <t>60.7834</t>
  </si>
  <si>
    <t>61.9846</t>
  </si>
  <si>
    <t>61.7008</t>
  </si>
  <si>
    <t>62.0246</t>
  </si>
  <si>
    <t>60.9651</t>
  </si>
  <si>
    <t>63.2042</t>
  </si>
  <si>
    <t>62.9379</t>
  </si>
  <si>
    <t>61.2875</t>
  </si>
  <si>
    <t>64.009</t>
  </si>
  <si>
    <t>62.6033</t>
  </si>
  <si>
    <t>61.1281</t>
  </si>
  <si>
    <t>58.129</t>
  </si>
  <si>
    <t>55.2561</t>
  </si>
  <si>
    <t>55.2005</t>
  </si>
  <si>
    <t>58.1302</t>
  </si>
  <si>
    <t>58.2385</t>
  </si>
  <si>
    <t>58.3912</t>
  </si>
  <si>
    <t>58.9453</t>
  </si>
  <si>
    <t>60.5016</t>
  </si>
  <si>
    <t>61.9176</t>
  </si>
  <si>
    <t>61.3476</t>
  </si>
  <si>
    <t>61.5934</t>
  </si>
  <si>
    <t>61.6145</t>
  </si>
  <si>
    <t>62.7266</t>
  </si>
  <si>
    <t>61.3818</t>
  </si>
  <si>
    <t>61.267</t>
  </si>
  <si>
    <t>62.1219</t>
  </si>
  <si>
    <t>60.1874</t>
  </si>
  <si>
    <t>60.931</t>
  </si>
  <si>
    <t>60.7083</t>
  </si>
  <si>
    <t>59.8802</t>
  </si>
  <si>
    <t>60.1829</t>
  </si>
  <si>
    <t>61.9953</t>
  </si>
  <si>
    <t>59.9241</t>
  </si>
  <si>
    <t>60.4808</t>
  </si>
  <si>
    <t>60.7586</t>
  </si>
  <si>
    <t>60.7755</t>
  </si>
  <si>
    <t>60.1817</t>
  </si>
  <si>
    <t>61.8344</t>
  </si>
  <si>
    <t>60.6658</t>
  </si>
  <si>
    <t>58.8372</t>
  </si>
  <si>
    <t>57.8426</t>
  </si>
  <si>
    <t>57.6616</t>
  </si>
  <si>
    <t>56.5411</t>
  </si>
  <si>
    <t>57.1339</t>
  </si>
  <si>
    <t>57.2484</t>
  </si>
  <si>
    <t>58.3431</t>
  </si>
  <si>
    <t>59.7606</t>
  </si>
  <si>
    <t>58.5245</t>
  </si>
  <si>
    <t>57.7026</t>
  </si>
  <si>
    <t>57.2897</t>
  </si>
  <si>
    <t>57.3763</t>
  </si>
  <si>
    <t>56.8268</t>
  </si>
  <si>
    <t>57.5996</t>
  </si>
  <si>
    <t>55.5766</t>
  </si>
  <si>
    <t>55.6079</t>
  </si>
  <si>
    <t>56.0637</t>
  </si>
  <si>
    <t>55.2542</t>
  </si>
  <si>
    <t>54.6184</t>
  </si>
  <si>
    <t>53.728</t>
  </si>
  <si>
    <t>51.8444</t>
  </si>
  <si>
    <t>47.8901</t>
  </si>
  <si>
    <t>45.2985</t>
  </si>
  <si>
    <t>49.9855</t>
  </si>
  <si>
    <t>49.5916</t>
  </si>
  <si>
    <t>50.6465</t>
  </si>
  <si>
    <t>50.4193</t>
  </si>
  <si>
    <t>48.3313</t>
  </si>
  <si>
    <t>46.6775</t>
  </si>
  <si>
    <t>45.5629</t>
  </si>
  <si>
    <t>46.216</t>
  </si>
  <si>
    <t>43.2725</t>
  </si>
  <si>
    <t>43.2248</t>
  </si>
  <si>
    <t>43.6263</t>
  </si>
  <si>
    <t>42.1327</t>
  </si>
  <si>
    <t>43.0563</t>
  </si>
  <si>
    <t>44.9344</t>
  </si>
  <si>
    <t>45.7302</t>
  </si>
  <si>
    <t>44.3804</t>
  </si>
  <si>
    <t>45.0728</t>
  </si>
  <si>
    <t>46.5608</t>
  </si>
  <si>
    <t>43.3905</t>
  </si>
  <si>
    <t>42.4337</t>
  </si>
  <si>
    <t>43.5022</t>
  </si>
  <si>
    <t>44.6974</t>
  </si>
  <si>
    <t>45.6437</t>
  </si>
  <si>
    <t>45.4119</t>
  </si>
  <si>
    <t>47.5065</t>
  </si>
  <si>
    <t>49.2953</t>
  </si>
  <si>
    <t>49.1369</t>
  </si>
  <si>
    <t>48.8552</t>
  </si>
  <si>
    <t>48.4908</t>
  </si>
  <si>
    <t>48.8186</t>
  </si>
  <si>
    <t>47.3812</t>
  </si>
  <si>
    <t>46.3099</t>
  </si>
  <si>
    <t>45.7403</t>
  </si>
  <si>
    <t>44.9835</t>
  </si>
  <si>
    <t>45.8195</t>
  </si>
  <si>
    <t>44.7401</t>
  </si>
  <si>
    <t>44.8627</t>
  </si>
  <si>
    <t>45.9526</t>
  </si>
  <si>
    <t>48.7719</t>
  </si>
  <si>
    <t>50.5309</t>
  </si>
  <si>
    <t>49.9636</t>
  </si>
  <si>
    <t>50.9446</t>
  </si>
  <si>
    <t>49.9705</t>
  </si>
  <si>
    <t>50.3651</t>
  </si>
  <si>
    <t>50.5874</t>
  </si>
  <si>
    <t>51.2549</t>
  </si>
  <si>
    <t>52.1516</t>
  </si>
  <si>
    <t>53.2548</t>
  </si>
  <si>
    <t>54.3636</t>
  </si>
  <si>
    <t>55.2319</t>
  </si>
  <si>
    <t>55.5806</t>
  </si>
  <si>
    <t>55.4317</t>
  </si>
  <si>
    <t>55.4359</t>
  </si>
  <si>
    <t>55.9359</t>
  </si>
  <si>
    <t>58.5699</t>
  </si>
  <si>
    <t>57.8533</t>
  </si>
  <si>
    <t>56.9766</t>
  </si>
  <si>
    <t>55.2625</t>
  </si>
  <si>
    <t>55.6379</t>
  </si>
  <si>
    <t>56.3594</t>
  </si>
  <si>
    <t>55.7049</t>
  </si>
  <si>
    <t>56.3291</t>
  </si>
  <si>
    <t>55.6883</t>
  </si>
  <si>
    <t>56.8293</t>
  </si>
  <si>
    <t>56.6372</t>
  </si>
  <si>
    <t>55.8383</t>
  </si>
  <si>
    <t>55.0491</t>
  </si>
  <si>
    <t>55.503</t>
  </si>
  <si>
    <t>55.6484</t>
  </si>
  <si>
    <t>56.0473</t>
  </si>
  <si>
    <t>57.8478</t>
  </si>
  <si>
    <t>58.0355</t>
  </si>
  <si>
    <t>58.212</t>
  </si>
  <si>
    <t>55.8153</t>
  </si>
  <si>
    <t>56.5245</t>
  </si>
  <si>
    <t>55.7857</t>
  </si>
  <si>
    <t>56.9455</t>
  </si>
  <si>
    <t>56.8353</t>
  </si>
  <si>
    <t>57.3524</t>
  </si>
  <si>
    <t>56.8978</t>
  </si>
  <si>
    <t>58.1191</t>
  </si>
  <si>
    <t>58.0526</t>
  </si>
  <si>
    <t>58.3445</t>
  </si>
  <si>
    <t>58.0581</t>
  </si>
  <si>
    <t>57.6145</t>
  </si>
  <si>
    <t>57.9274</t>
  </si>
  <si>
    <t>58.348</t>
  </si>
  <si>
    <t>59.6728</t>
  </si>
  <si>
    <t>60.355</t>
  </si>
  <si>
    <t>62.1141</t>
  </si>
  <si>
    <t>61.935</t>
  </si>
  <si>
    <t>61.5032</t>
  </si>
  <si>
    <t>62.6283</t>
  </si>
  <si>
    <t>63.0758</t>
  </si>
  <si>
    <t>62.3186</t>
  </si>
  <si>
    <t>61.6513</t>
  </si>
  <si>
    <t>61.4834</t>
  </si>
  <si>
    <t>62.4645</t>
  </si>
  <si>
    <t>65.1583</t>
  </si>
  <si>
    <t>67.1145</t>
  </si>
  <si>
    <t>70.1008</t>
  </si>
  <si>
    <t>68.7007</t>
  </si>
  <si>
    <t>70.0969</t>
  </si>
  <si>
    <t>71.7366</t>
  </si>
  <si>
    <t>71.5736</t>
  </si>
  <si>
    <t>71.5869</t>
  </si>
  <si>
    <t>70.5848</t>
  </si>
  <si>
    <t>72.0777</t>
  </si>
  <si>
    <t>72.8103</t>
  </si>
  <si>
    <t>70.0227</t>
  </si>
  <si>
    <t>67.5886</t>
  </si>
  <si>
    <t>68.367</t>
  </si>
  <si>
    <t>68.1875</t>
  </si>
  <si>
    <t>69.9221</t>
  </si>
  <si>
    <t>69.4587</t>
  </si>
  <si>
    <t>71.2219</t>
  </si>
  <si>
    <t>72.2269</t>
  </si>
  <si>
    <t>72.2499</t>
  </si>
  <si>
    <t>73.162</t>
  </si>
  <si>
    <t>71.1713</t>
  </si>
  <si>
    <t>69.275</t>
  </si>
  <si>
    <t>69.1372</t>
  </si>
  <si>
    <t>68.7911</t>
  </si>
  <si>
    <t>68.3417</t>
  </si>
  <si>
    <t>70.7983</t>
  </si>
  <si>
    <t>71.3774</t>
  </si>
  <si>
    <t>70.4083</t>
  </si>
  <si>
    <t>70.2118</t>
  </si>
  <si>
    <t>70.0815</t>
  </si>
  <si>
    <t>69.4767</t>
  </si>
  <si>
    <t>69.2737</t>
  </si>
  <si>
    <t>67.6859</t>
  </si>
  <si>
    <t>68.0511</t>
  </si>
  <si>
    <t>69.2541</t>
  </si>
  <si>
    <t>68.5066</t>
  </si>
  <si>
    <t>68.1388</t>
  </si>
  <si>
    <t>68.7135</t>
  </si>
  <si>
    <t>66.9895</t>
  </si>
  <si>
    <t>62.3896</t>
  </si>
  <si>
    <t>61.6077</t>
  </si>
  <si>
    <t>63.2136</t>
  </si>
  <si>
    <t>59.0946</t>
  </si>
  <si>
    <t>59.129</t>
  </si>
  <si>
    <t>59.9039</t>
  </si>
  <si>
    <t>61.0776</t>
  </si>
  <si>
    <t>58.5025</t>
  </si>
  <si>
    <t>57.4616</t>
  </si>
  <si>
    <t>56.7649</t>
  </si>
  <si>
    <t>57.8775</t>
  </si>
  <si>
    <t>55.3243</t>
  </si>
  <si>
    <t>54.0203</t>
  </si>
  <si>
    <t>54.304</t>
  </si>
  <si>
    <t>55.8904</t>
  </si>
  <si>
    <t>55.4075</t>
  </si>
  <si>
    <t>54.607</t>
  </si>
  <si>
    <t>52.7527</t>
  </si>
  <si>
    <t>51.5397</t>
  </si>
  <si>
    <t>52.5497</t>
  </si>
  <si>
    <t>54.5964</t>
  </si>
  <si>
    <t>55.3179</t>
  </si>
  <si>
    <t>55.5437</t>
  </si>
  <si>
    <t>55.1223</t>
  </si>
  <si>
    <t>55.0384</t>
  </si>
  <si>
    <t>56.3139</t>
  </si>
  <si>
    <t>55.1726</t>
  </si>
  <si>
    <t>57.1413</t>
  </si>
  <si>
    <t>58.2734</t>
  </si>
  <si>
    <t>58.0276</t>
  </si>
  <si>
    <t>57.939</t>
  </si>
  <si>
    <t>57.5388</t>
  </si>
  <si>
    <t>53.9007</t>
  </si>
  <si>
    <t>52.9299</t>
  </si>
  <si>
    <t>53.4709</t>
  </si>
  <si>
    <t>54.1914</t>
  </si>
  <si>
    <t>55.3152</t>
  </si>
  <si>
    <t>53.4956</t>
  </si>
  <si>
    <t>54.2565</t>
  </si>
  <si>
    <t>53.4447</t>
  </si>
  <si>
    <t>52.9586</t>
  </si>
  <si>
    <t>52.767</t>
  </si>
  <si>
    <t>56.3653</t>
  </si>
  <si>
    <t>57.2138</t>
  </si>
  <si>
    <t>57.3545</t>
  </si>
  <si>
    <t>55.2095</t>
  </si>
  <si>
    <t>54.368</t>
  </si>
  <si>
    <t>55.3737</t>
  </si>
  <si>
    <t>55.598</t>
  </si>
  <si>
    <t>53.5188</t>
  </si>
  <si>
    <t>53.7074</t>
  </si>
  <si>
    <t>54.078</t>
  </si>
  <si>
    <t>53.5027</t>
  </si>
  <si>
    <t>54.5616</t>
  </si>
  <si>
    <t>53.5569</t>
  </si>
  <si>
    <t>54.7637</t>
  </si>
  <si>
    <t>53.5285</t>
  </si>
  <si>
    <t>52.1037</t>
  </si>
  <si>
    <t>52.2448</t>
  </si>
  <si>
    <t>52.0815</t>
  </si>
  <si>
    <t>52.1977</t>
  </si>
  <si>
    <t>47.5985</t>
  </si>
  <si>
    <t>44.293</t>
  </si>
  <si>
    <t>42.9122</t>
  </si>
  <si>
    <t>46.0703</t>
  </si>
  <si>
    <t>45.0447</t>
  </si>
  <si>
    <t>41.5557</t>
  </si>
  <si>
    <t>40.7991</t>
  </si>
  <si>
    <t>43.9326</t>
  </si>
  <si>
    <t>43.7736</t>
  </si>
  <si>
    <t>42.8832</t>
  </si>
  <si>
    <t>44.2091</t>
  </si>
  <si>
    <t>44.6773</t>
  </si>
  <si>
    <t>45.4759</t>
  </si>
  <si>
    <t>46.0179</t>
  </si>
  <si>
    <t>46.6885</t>
  </si>
  <si>
    <t>47.602</t>
  </si>
  <si>
    <t>45.7607</t>
  </si>
  <si>
    <t>45.9009</t>
  </si>
  <si>
    <t>46.0833</t>
  </si>
  <si>
    <t>45.711</t>
  </si>
  <si>
    <t>45.7303</t>
  </si>
  <si>
    <t>45.2466</t>
  </si>
  <si>
    <t>43.941</t>
  </si>
  <si>
    <t>43.388</t>
  </si>
  <si>
    <t>43.5521</t>
  </si>
  <si>
    <t>43.2871</t>
  </si>
  <si>
    <t>44.091</t>
  </si>
  <si>
    <t>43.4238</t>
  </si>
  <si>
    <t>44.5638</t>
  </si>
  <si>
    <t>45.594</t>
  </si>
  <si>
    <t>45.3595</t>
  </si>
  <si>
    <t>45.5565</t>
  </si>
  <si>
    <t>45.9466</t>
  </si>
  <si>
    <t>44.4731</t>
  </si>
  <si>
    <t>45.0496</t>
  </si>
  <si>
    <t>45.9666</t>
  </si>
  <si>
    <t>45.5127</t>
  </si>
  <si>
    <t>44.7353</t>
  </si>
  <si>
    <t>42.8387</t>
  </si>
  <si>
    <t>43.3912</t>
  </si>
  <si>
    <t>43.6268</t>
  </si>
  <si>
    <t>43.8729</t>
  </si>
  <si>
    <t>44.4871</t>
  </si>
  <si>
    <t>44.062</t>
  </si>
  <si>
    <t>43.2334</t>
  </si>
  <si>
    <t>43.4044</t>
  </si>
  <si>
    <t>42.7877</t>
  </si>
  <si>
    <t>42.7548</t>
  </si>
  <si>
    <t>43.5044</t>
  </si>
  <si>
    <t>44.9497</t>
  </si>
  <si>
    <t>45.7771</t>
  </si>
  <si>
    <t>45.7779</t>
  </si>
  <si>
    <t>45.1947</t>
  </si>
  <si>
    <t>43.9617</t>
  </si>
  <si>
    <t>42.9739</t>
  </si>
  <si>
    <t>43.1394</t>
  </si>
  <si>
    <t>42.3961</t>
  </si>
  <si>
    <t>41.6941</t>
  </si>
  <si>
    <t>43.2023</t>
  </si>
  <si>
    <t>41.0076</t>
  </si>
  <si>
    <t>42.1142</t>
  </si>
  <si>
    <t>40.7561</t>
  </si>
  <si>
    <t>40.1472</t>
  </si>
  <si>
    <t>40.1265</t>
  </si>
  <si>
    <t>39.5828</t>
  </si>
  <si>
    <t>39.4714</t>
  </si>
  <si>
    <t>38.0965</t>
  </si>
  <si>
    <t>38.9722</t>
  </si>
  <si>
    <t>39.2856</t>
  </si>
  <si>
    <t>39.1448</t>
  </si>
  <si>
    <t>39.1748</t>
  </si>
  <si>
    <t>39.437</t>
  </si>
  <si>
    <t>39.8943</t>
  </si>
  <si>
    <t>39.6019</t>
  </si>
  <si>
    <t>39.1044</t>
  </si>
  <si>
    <t>39.5995</t>
  </si>
  <si>
    <t>40.1111</t>
  </si>
  <si>
    <t>39.0231</t>
  </si>
  <si>
    <t>38.1636</t>
  </si>
  <si>
    <t>37.5168</t>
  </si>
  <si>
    <t>37.7201</t>
  </si>
  <si>
    <t>38.1114</t>
  </si>
  <si>
    <t>38.1781</t>
  </si>
  <si>
    <t>37.4601</t>
  </si>
  <si>
    <t>38.6867</t>
  </si>
  <si>
    <t>39.4095</t>
  </si>
  <si>
    <t>39.6111</t>
  </si>
  <si>
    <t>39.419</t>
  </si>
  <si>
    <t>38.6553</t>
  </si>
  <si>
    <t>39.5372</t>
  </si>
  <si>
    <t>40.1373</t>
  </si>
  <si>
    <t>38.6879</t>
  </si>
  <si>
    <t>37.9091</t>
  </si>
  <si>
    <t>37.4826</t>
  </si>
  <si>
    <t>37.3495</t>
  </si>
  <si>
    <t>37.1984</t>
  </si>
  <si>
    <t>36.2096</t>
  </si>
  <si>
    <t>35.7718</t>
  </si>
  <si>
    <t>35.4347</t>
  </si>
  <si>
    <t>34.6856</t>
  </si>
  <si>
    <t>33.3364</t>
  </si>
  <si>
    <t>32.6071</t>
  </si>
  <si>
    <t>32.3232</t>
  </si>
  <si>
    <t>31.5851</t>
  </si>
  <si>
    <t>31.3442</t>
  </si>
  <si>
    <t>30.9831</t>
  </si>
  <si>
    <t>30.8432</t>
  </si>
  <si>
    <t>31.1849</t>
  </si>
  <si>
    <t>31.5547</t>
  </si>
  <si>
    <t>31.3833</t>
  </si>
  <si>
    <t>30.9035</t>
  </si>
  <si>
    <t>30.2904</t>
  </si>
  <si>
    <t>29.166</t>
  </si>
  <si>
    <t>28.8395</t>
  </si>
  <si>
    <t>26.5717</t>
  </si>
  <si>
    <t>23.3198</t>
  </si>
  <si>
    <t>22.9554</t>
  </si>
  <si>
    <t>21.7366</t>
  </si>
  <si>
    <t>22.2209</t>
  </si>
  <si>
    <t>22.2031</t>
  </si>
  <si>
    <t>22.0381</t>
  </si>
  <si>
    <t>21.5091</t>
  </si>
  <si>
    <t>21.5272</t>
  </si>
  <si>
    <t>20.2658</t>
  </si>
  <si>
    <t>19.6939</t>
  </si>
  <si>
    <t>19.6068</t>
  </si>
  <si>
    <t>19.5734</t>
  </si>
  <si>
    <t>20.9249</t>
  </si>
  <si>
    <t>20.5416</t>
  </si>
  <si>
    <t>20.5556</t>
  </si>
  <si>
    <t>20.6896</t>
  </si>
  <si>
    <t>20.4643</t>
  </si>
  <si>
    <t>20.4217</t>
  </si>
  <si>
    <t>20.6489</t>
  </si>
  <si>
    <t>20.5011</t>
  </si>
  <si>
    <t>19.8856</t>
  </si>
  <si>
    <t>21.4464</t>
  </si>
  <si>
    <t>21.6733</t>
  </si>
  <si>
    <t>21.7034</t>
  </si>
  <si>
    <t>22.8993</t>
  </si>
  <si>
    <t>23.3032</t>
  </si>
  <si>
    <t>23.1228</t>
  </si>
  <si>
    <t>23.6479</t>
  </si>
  <si>
    <t>23.3997</t>
  </si>
  <si>
    <t>24.0195</t>
  </si>
  <si>
    <t>23.808</t>
  </si>
  <si>
    <t>24.1045</t>
  </si>
  <si>
    <t>23.3659</t>
  </si>
  <si>
    <t>23.4417</t>
  </si>
  <si>
    <t>24.1193</t>
  </si>
  <si>
    <t>23.3856</t>
  </si>
  <si>
    <t>24.7071</t>
  </si>
  <si>
    <t>24.8441</t>
  </si>
  <si>
    <t>24.542</t>
  </si>
  <si>
    <t>24.131</t>
  </si>
  <si>
    <t>23.2506</t>
  </si>
  <si>
    <t>23.1016</t>
  </si>
  <si>
    <t>22.7853</t>
  </si>
  <si>
    <t>23.5414</t>
  </si>
  <si>
    <t>22.7877</t>
  </si>
  <si>
    <t>23.3846</t>
  </si>
  <si>
    <t>23.111</t>
  </si>
  <si>
    <t>23.3933</t>
  </si>
  <si>
    <t>22.9729</t>
  </si>
  <si>
    <t>22.8002</t>
  </si>
  <si>
    <t>22.5613</t>
  </si>
  <si>
    <t>22.3235</t>
  </si>
  <si>
    <t>22.3916</t>
  </si>
  <si>
    <t>22.6238</t>
  </si>
  <si>
    <t>22.5538</t>
  </si>
  <si>
    <t>22.4894</t>
  </si>
  <si>
    <t>22.1028</t>
  </si>
  <si>
    <t>22.8333</t>
  </si>
  <si>
    <t>23.3401</t>
  </si>
  <si>
    <t>22.9663</t>
  </si>
  <si>
    <t>22.1758</t>
  </si>
  <si>
    <t>21.73</t>
  </si>
  <si>
    <t>21.6205</t>
  </si>
  <si>
    <t>21.8123</t>
  </si>
  <si>
    <t>21.2621</t>
  </si>
  <si>
    <t>21.0102</t>
  </si>
  <si>
    <t>21.1829</t>
  </si>
  <si>
    <t>20.7658</t>
  </si>
  <si>
    <t>20.6173</t>
  </si>
  <si>
    <t>21.5776</t>
  </si>
  <si>
    <t>22.0077</t>
  </si>
  <si>
    <t>22.0503</t>
  </si>
  <si>
    <t>22.5386</t>
  </si>
  <si>
    <t>21.8377</t>
  </si>
  <si>
    <t>21.1859</t>
  </si>
  <si>
    <t>20.5286</t>
  </si>
  <si>
    <t>20.3493</t>
  </si>
  <si>
    <t>19.8392</t>
  </si>
  <si>
    <t>19.8111</t>
  </si>
  <si>
    <t>19.5468</t>
  </si>
  <si>
    <t>19.8503</t>
  </si>
  <si>
    <t>20.2417</t>
  </si>
  <si>
    <t>20.0081</t>
  </si>
  <si>
    <t>20.39</t>
  </si>
  <si>
    <t>20.0743</t>
  </si>
  <si>
    <t>19.9972</t>
  </si>
  <si>
    <t>19.8034</t>
  </si>
  <si>
    <t>19.6548</t>
  </si>
  <si>
    <t>19.7827</t>
  </si>
  <si>
    <t>19.7303</t>
  </si>
  <si>
    <t>19.4305</t>
  </si>
  <si>
    <t>19.9677</t>
  </si>
  <si>
    <t>20.2342</t>
  </si>
  <si>
    <t>19.8087</t>
  </si>
  <si>
    <t>19.9097</t>
  </si>
  <si>
    <t>19.7833</t>
  </si>
  <si>
    <t>19.8139</t>
  </si>
  <si>
    <t>19.8236</t>
  </si>
  <si>
    <t>19.7504</t>
  </si>
  <si>
    <t>19.7077</t>
  </si>
  <si>
    <t>19.5967</t>
  </si>
  <si>
    <t>19.2086</t>
  </si>
  <si>
    <t>19.795</t>
  </si>
  <si>
    <t>19.27</t>
  </si>
  <si>
    <t>18.7618</t>
  </si>
  <si>
    <t>18.3449</t>
  </si>
  <si>
    <t>17.9039</t>
  </si>
  <si>
    <t>18.0219</t>
  </si>
  <si>
    <t>18.1987</t>
  </si>
  <si>
    <t>18.7845</t>
  </si>
  <si>
    <t>18.454</t>
  </si>
  <si>
    <t>18.8135</t>
  </si>
  <si>
    <t>19.3117</t>
  </si>
  <si>
    <t>19.3881</t>
  </si>
  <si>
    <t>19.5018</t>
  </si>
  <si>
    <t>19.9752</t>
  </si>
  <si>
    <t>19.7758</t>
  </si>
  <si>
    <t>19.2433</t>
  </si>
  <si>
    <t>20.1442</t>
  </si>
  <si>
    <t>20.3007</t>
  </si>
  <si>
    <t>20.8895</t>
  </si>
  <si>
    <t>20.4773</t>
  </si>
  <si>
    <t>21.8113</t>
  </si>
  <si>
    <t>23.1641</t>
  </si>
  <si>
    <t>23.9209</t>
  </si>
  <si>
    <t>24.9079</t>
  </si>
  <si>
    <t>24.2425</t>
  </si>
  <si>
    <t>24.8029</t>
  </si>
  <si>
    <t>23.6323</t>
  </si>
  <si>
    <t>23.6589</t>
  </si>
  <si>
    <t>24.3667</t>
  </si>
  <si>
    <t>23.9066</t>
  </si>
  <si>
    <t>24.1118</t>
  </si>
  <si>
    <t>23.9873</t>
  </si>
  <si>
    <t>24.5851</t>
  </si>
  <si>
    <t>25.4279</t>
  </si>
  <si>
    <t>24.349</t>
  </si>
  <si>
    <t>23.4649</t>
  </si>
  <si>
    <t>23.6005</t>
  </si>
  <si>
    <t>22.2475</t>
  </si>
  <si>
    <t>22.5642</t>
  </si>
  <si>
    <t>24.0359</t>
  </si>
  <si>
    <t>23.6372</t>
  </si>
  <si>
    <t>23.6721</t>
  </si>
  <si>
    <t>22.9218</t>
  </si>
  <si>
    <t>23.2163</t>
  </si>
  <si>
    <t>22.9626</t>
  </si>
  <si>
    <t>22.7293</t>
  </si>
  <si>
    <t>22.4548</t>
  </si>
  <si>
    <t>22.1184</t>
  </si>
  <si>
    <t>22.0838</t>
  </si>
  <si>
    <t>23.4224</t>
  </si>
  <si>
    <t>23.4781</t>
  </si>
  <si>
    <t>24.1125</t>
  </si>
  <si>
    <t>23.7921</t>
  </si>
  <si>
    <t>23.59</t>
  </si>
  <si>
    <t>23.6819</t>
  </si>
  <si>
    <t>24.1705</t>
  </si>
  <si>
    <t>23.2308</t>
  </si>
  <si>
    <t>23.4615</t>
  </si>
  <si>
    <t>23.7466</t>
  </si>
  <si>
    <t>23.6378</t>
  </si>
  <si>
    <t>23.5447</t>
  </si>
  <si>
    <t>23.6159</t>
  </si>
  <si>
    <t>24.0089</t>
  </si>
  <si>
    <t>24.6327</t>
  </si>
  <si>
    <t>24.956</t>
  </si>
  <si>
    <t>24.5574</t>
  </si>
  <si>
    <t>24.2454</t>
  </si>
  <si>
    <t>23.6663</t>
  </si>
  <si>
    <t>23.836</t>
  </si>
  <si>
    <t>24.5147</t>
  </si>
  <si>
    <t>25.9179</t>
  </si>
  <si>
    <t>25.7551</t>
  </si>
  <si>
    <t>25.4579</t>
  </si>
  <si>
    <t>25.2087</t>
  </si>
  <si>
    <t>24.742</t>
  </si>
  <si>
    <t>24.8191</t>
  </si>
  <si>
    <t>24.9979</t>
  </si>
  <si>
    <t>24.1247</t>
  </si>
  <si>
    <t>24.53</t>
  </si>
  <si>
    <t>25.0539</t>
  </si>
  <si>
    <t>24.7779</t>
  </si>
  <si>
    <t>24.8643</t>
  </si>
  <si>
    <t>24.9323</t>
  </si>
  <si>
    <t>24.3455</t>
  </si>
  <si>
    <t>24.8325</t>
  </si>
  <si>
    <t>25.1227</t>
  </si>
  <si>
    <t>25.6795</t>
  </si>
  <si>
    <t>26.5399</t>
  </si>
  <si>
    <t>25.7815</t>
  </si>
  <si>
    <t>25.9931</t>
  </si>
  <si>
    <t>26.5831</t>
  </si>
  <si>
    <t>26.9839</t>
  </si>
  <si>
    <t>26.2008</t>
  </si>
  <si>
    <t>26.5647</t>
  </si>
  <si>
    <t>25.5457</t>
  </si>
  <si>
    <t>24.9108</t>
  </si>
  <si>
    <t>25.539</t>
  </si>
  <si>
    <t>25.9603</t>
  </si>
  <si>
    <t>25.5809</t>
  </si>
  <si>
    <t>24.4124</t>
  </si>
  <si>
    <t>23.6258</t>
  </si>
  <si>
    <t>24.3549</t>
  </si>
  <si>
    <t>23.824</t>
  </si>
  <si>
    <t>23.5137</t>
  </si>
  <si>
    <t>23.1871</t>
  </si>
  <si>
    <t>23.5521</t>
  </si>
  <si>
    <t>23.6915</t>
  </si>
  <si>
    <t>24.2355</t>
  </si>
  <si>
    <t>25.0853</t>
  </si>
  <si>
    <t>25.4385</t>
  </si>
  <si>
    <t>25.6035</t>
  </si>
  <si>
    <t>25.2215</t>
  </si>
  <si>
    <t>25.298</t>
  </si>
  <si>
    <t>25.8265</t>
  </si>
  <si>
    <t>25.397</t>
  </si>
  <si>
    <t>26.0196</t>
  </si>
  <si>
    <t>26.6167</t>
  </si>
  <si>
    <t>26.8061</t>
  </si>
  <si>
    <t>29.1998</t>
  </si>
  <si>
    <t>29.0166</t>
  </si>
  <si>
    <t>27.5369</t>
  </si>
  <si>
    <t>28.5286</t>
  </si>
  <si>
    <t>29.9661</t>
  </si>
  <si>
    <t>30.8063</t>
  </si>
  <si>
    <t>29.3631</t>
  </si>
  <si>
    <t>30.1265</t>
  </si>
  <si>
    <t>29.4078</t>
  </si>
  <si>
    <t>29.2471</t>
  </si>
  <si>
    <t>30.205</t>
  </si>
  <si>
    <t>29.7705</t>
  </si>
  <si>
    <t>30.7241</t>
  </si>
  <si>
    <t>31.8896</t>
  </si>
  <si>
    <t>32.0662</t>
  </si>
  <si>
    <t>30.8374</t>
  </si>
  <si>
    <t>30.3461</t>
  </si>
  <si>
    <t>29.7639</t>
  </si>
  <si>
    <t>30.9424</t>
  </si>
  <si>
    <t>30.6984</t>
  </si>
  <si>
    <t>30.1606</t>
  </si>
  <si>
    <t>29.9691</t>
  </si>
  <si>
    <t>30.2006</t>
  </si>
  <si>
    <t>29.8383</t>
  </si>
  <si>
    <t>30.6248</t>
  </si>
  <si>
    <t>30.8514</t>
  </si>
  <si>
    <t>31.0425</t>
  </si>
  <si>
    <t>31.9874</t>
  </si>
  <si>
    <t>31.977</t>
  </si>
  <si>
    <t>31.9125</t>
  </si>
  <si>
    <t>32.102</t>
  </si>
  <si>
    <t>32.5362</t>
  </si>
  <si>
    <t>32.0808</t>
  </si>
  <si>
    <t>30.5316</t>
  </si>
  <si>
    <t>30.8422</t>
  </si>
  <si>
    <t>31.0133</t>
  </si>
  <si>
    <t>30.613</t>
  </si>
  <si>
    <t>30.9297</t>
  </si>
  <si>
    <t>31.3825</t>
  </si>
  <si>
    <t>32.1356</t>
  </si>
  <si>
    <t>32.8457</t>
  </si>
  <si>
    <t>32.6358</t>
  </si>
  <si>
    <t>32.2364</t>
  </si>
  <si>
    <t>32.6879</t>
  </si>
  <si>
    <t>31.6218</t>
  </si>
  <si>
    <t>31.7154</t>
  </si>
  <si>
    <t>32.2978</t>
  </si>
  <si>
    <t>32.333</t>
  </si>
  <si>
    <t>31.8062</t>
  </si>
  <si>
    <t>31.6985</t>
  </si>
  <si>
    <t>31.6444</t>
  </si>
  <si>
    <t>31.9801</t>
  </si>
  <si>
    <t>33.4157</t>
  </si>
  <si>
    <t>33.2938</t>
  </si>
  <si>
    <t>33.5561</t>
  </si>
  <si>
    <t>33.7146</t>
  </si>
  <si>
    <t>33.3655</t>
  </si>
  <si>
    <t>33.7846</t>
  </si>
  <si>
    <t>32.6637</t>
  </si>
  <si>
    <t>32.5427</t>
  </si>
  <si>
    <t>33.3004</t>
  </si>
  <si>
    <t>33.3735</t>
  </si>
  <si>
    <t>33.5374</t>
  </si>
  <si>
    <t>33.4678</t>
  </si>
  <si>
    <t>33.4896</t>
  </si>
  <si>
    <t>33.7794</t>
  </si>
  <si>
    <t>34.2175</t>
  </si>
  <si>
    <t>35.0294</t>
  </si>
  <si>
    <t>32.7853</t>
  </si>
  <si>
    <t>32.1215</t>
  </si>
  <si>
    <t>32.637</t>
  </si>
  <si>
    <t>33.4783</t>
  </si>
  <si>
    <t>33.1527</t>
  </si>
  <si>
    <t>32.9293</t>
  </si>
  <si>
    <t>33.6123</t>
  </si>
  <si>
    <t>33.627</t>
  </si>
  <si>
    <t>33.6968</t>
  </si>
  <si>
    <t>33.6073</t>
  </si>
  <si>
    <t>33.6307</t>
  </si>
  <si>
    <t>34.4061</t>
  </si>
  <si>
    <t>35.1898</t>
  </si>
  <si>
    <t>34.95</t>
  </si>
  <si>
    <t>34.9947</t>
  </si>
  <si>
    <t>34.769</t>
  </si>
  <si>
    <t>35.2023</t>
  </si>
  <si>
    <t>35.3885</t>
  </si>
  <si>
    <t>35.9446</t>
  </si>
  <si>
    <t>35.9411</t>
  </si>
  <si>
    <t>35.6765</t>
  </si>
  <si>
    <t>35.7588</t>
  </si>
  <si>
    <t>36.3771</t>
  </si>
  <si>
    <t>36.9831</t>
  </si>
  <si>
    <t>37.7919</t>
  </si>
  <si>
    <t>38.5038</t>
  </si>
  <si>
    <t>38.1975</t>
  </si>
  <si>
    <t>37.8503</t>
  </si>
  <si>
    <t>38.3024</t>
  </si>
  <si>
    <t>36.7739</t>
  </si>
  <si>
    <t>37.1093</t>
  </si>
  <si>
    <t>37.9827</t>
  </si>
  <si>
    <t>38.2461</t>
  </si>
  <si>
    <t>39.6935</t>
  </si>
  <si>
    <t>38.6393</t>
  </si>
  <si>
    <t>41.7619</t>
  </si>
  <si>
    <t>41.4378</t>
  </si>
  <si>
    <t>41.3946</t>
  </si>
  <si>
    <t>41.3406</t>
  </si>
  <si>
    <t>42.7357</t>
  </si>
  <si>
    <t>43.614</t>
  </si>
  <si>
    <t>45.2286</t>
  </si>
  <si>
    <t>44.6135</t>
  </si>
  <si>
    <t>46.5816</t>
  </si>
  <si>
    <t>49.3279</t>
  </si>
  <si>
    <t>52.5764</t>
  </si>
  <si>
    <t>51.4178</t>
  </si>
  <si>
    <t>52.9043</t>
  </si>
  <si>
    <t>51.8113</t>
  </si>
  <si>
    <t>51.8927</t>
  </si>
  <si>
    <t>52.07</t>
  </si>
  <si>
    <t>51.839</t>
  </si>
  <si>
    <t>52.445</t>
  </si>
  <si>
    <t>52.4896</t>
  </si>
  <si>
    <t>55.3824</t>
  </si>
  <si>
    <t>56.4938</t>
  </si>
  <si>
    <t>55.844</t>
  </si>
  <si>
    <t>57.7139</t>
  </si>
  <si>
    <t>57.5011</t>
  </si>
  <si>
    <t>58.3787</t>
  </si>
  <si>
    <t>58.3785</t>
  </si>
  <si>
    <t>56.6013</t>
  </si>
  <si>
    <t>56.6688</t>
  </si>
  <si>
    <t>56.5184</t>
  </si>
  <si>
    <t>57.2085</t>
  </si>
  <si>
    <t>57.0841</t>
  </si>
  <si>
    <t>58.1301</t>
  </si>
  <si>
    <t>59.4514</t>
  </si>
  <si>
    <t>59.1049</t>
  </si>
  <si>
    <t>61.6148</t>
  </si>
  <si>
    <t>60.3083</t>
  </si>
  <si>
    <t>62.1697</t>
  </si>
  <si>
    <t>60.8174</t>
  </si>
  <si>
    <t>60.8831</t>
  </si>
  <si>
    <t>60.7132</t>
  </si>
  <si>
    <t>61.5084</t>
  </si>
  <si>
    <t>62.0126</t>
  </si>
  <si>
    <t>61.9451</t>
  </si>
  <si>
    <t>62.963</t>
  </si>
  <si>
    <t>66.4201</t>
  </si>
  <si>
    <t>68.1481</t>
  </si>
  <si>
    <t>64.2948</t>
  </si>
  <si>
    <t>65.7669</t>
  </si>
  <si>
    <t>61.949</t>
  </si>
  <si>
    <t>60.237</t>
  </si>
  <si>
    <t>60.3484</t>
  </si>
  <si>
    <t>62.2365</t>
  </si>
  <si>
    <t>62.241</t>
  </si>
  <si>
    <t>62.8192</t>
  </si>
  <si>
    <t>61.1465</t>
  </si>
  <si>
    <t>60.4337</t>
  </si>
  <si>
    <t>60.2491</t>
  </si>
  <si>
    <t>60.4479</t>
  </si>
  <si>
    <t>60.7159</t>
  </si>
  <si>
    <t>63.8027</t>
  </si>
  <si>
    <t>67.3358</t>
  </si>
  <si>
    <t>65.1416</t>
  </si>
  <si>
    <t>66.8205</t>
  </si>
  <si>
    <t>66.6462</t>
  </si>
  <si>
    <t>65.2501</t>
  </si>
  <si>
    <t>65.9652</t>
  </si>
  <si>
    <t>65.12</t>
  </si>
  <si>
    <t>66.1411</t>
  </si>
  <si>
    <t>71.2077</t>
  </si>
  <si>
    <t>70.223</t>
  </si>
  <si>
    <t>71.7574</t>
  </si>
  <si>
    <t>72.0608</t>
  </si>
  <si>
    <t>73.8653</t>
  </si>
  <si>
    <t>72.0428</t>
  </si>
  <si>
    <t>72.3721</t>
  </si>
  <si>
    <t>71.2627</t>
  </si>
  <si>
    <t>71.8194</t>
  </si>
  <si>
    <t>71.0584</t>
  </si>
  <si>
    <t>69.0864</t>
  </si>
  <si>
    <t>68.5254</t>
  </si>
  <si>
    <t>67.0226</t>
  </si>
  <si>
    <t>67.6137</t>
  </si>
  <si>
    <t>68.4008</t>
  </si>
  <si>
    <t>68.0985</t>
  </si>
  <si>
    <t>67.8309</t>
  </si>
  <si>
    <t>69.4282</t>
  </si>
  <si>
    <t>68.7021</t>
  </si>
  <si>
    <t>68.369</t>
  </si>
  <si>
    <t>69.2689</t>
  </si>
  <si>
    <t>69.7068</t>
  </si>
  <si>
    <t>70.6301</t>
  </si>
  <si>
    <t>71.6961</t>
  </si>
  <si>
    <t>71.1936</t>
  </si>
  <si>
    <t>68.0443</t>
  </si>
  <si>
    <t>68.3741</t>
  </si>
  <si>
    <t>68.5874</t>
  </si>
  <si>
    <t>68.726</t>
  </si>
  <si>
    <t>68.5983</t>
  </si>
  <si>
    <t>69.69</t>
  </si>
  <si>
    <t>78.4337</t>
  </si>
  <si>
    <t>78.0779</t>
  </si>
  <si>
    <t>79.4987</t>
  </si>
  <si>
    <t>76.7099</t>
  </si>
  <si>
    <t>76.4447</t>
  </si>
  <si>
    <t>75.6675</t>
  </si>
  <si>
    <t>76.2113</t>
  </si>
  <si>
    <t>78.2317</t>
  </si>
  <si>
    <t>76.5911</t>
  </si>
  <si>
    <t>78.8436</t>
  </si>
  <si>
    <t>76.1751</t>
  </si>
  <si>
    <t>76.4109</t>
  </si>
  <si>
    <t>77.8878</t>
  </si>
  <si>
    <t>78.5694</t>
  </si>
  <si>
    <t>81.1737</t>
  </si>
  <si>
    <t>83.6275</t>
  </si>
  <si>
    <t>82.7196</t>
  </si>
  <si>
    <t>82.1427</t>
  </si>
  <si>
    <t>82.3332</t>
  </si>
  <si>
    <t>84.2975</t>
  </si>
  <si>
    <t>83.6752</t>
  </si>
  <si>
    <t>84.9411</t>
  </si>
  <si>
    <t>89.2195</t>
  </si>
  <si>
    <t>88.3922</t>
  </si>
  <si>
    <t>90.881</t>
  </si>
  <si>
    <t>88.8831</t>
  </si>
  <si>
    <t>92.1562</t>
  </si>
  <si>
    <t>92.9745</t>
  </si>
  <si>
    <t>91.9038</t>
  </si>
  <si>
    <t>93.408</t>
  </si>
  <si>
    <t>95.5646</t>
  </si>
  <si>
    <t>91.9834</t>
  </si>
  <si>
    <t>90.0014</t>
  </si>
  <si>
    <t>90.2891</t>
  </si>
  <si>
    <t>75.1817</t>
  </si>
  <si>
    <t>82.8377</t>
  </si>
  <si>
    <t>84.3373</t>
  </si>
  <si>
    <t>77.9623</t>
  </si>
  <si>
    <t>83.5086</t>
  </si>
  <si>
    <t>82.6982</t>
  </si>
  <si>
    <t>77.7735</t>
  </si>
  <si>
    <t>78.1353</t>
  </si>
  <si>
    <t>80.2676</t>
  </si>
  <si>
    <t>84.0639</t>
  </si>
  <si>
    <t>82.7346</t>
  </si>
  <si>
    <t>85.5465</t>
  </si>
  <si>
    <t>85.2251</t>
  </si>
  <si>
    <t>87.3447</t>
  </si>
  <si>
    <t>82.5213</t>
  </si>
  <si>
    <t>80.5098</t>
  </si>
  <si>
    <t>87.3022</t>
  </si>
  <si>
    <t>94.0704</t>
  </si>
  <si>
    <t>101.7058</t>
  </si>
  <si>
    <t>99.4</t>
  </si>
  <si>
    <t>97.5971</t>
  </si>
  <si>
    <t>97.7926</t>
  </si>
  <si>
    <t>94.3481</t>
  </si>
  <si>
    <t>98.8235</t>
  </si>
  <si>
    <t>97.0674</t>
  </si>
  <si>
    <t>102.1008</t>
  </si>
  <si>
    <t>103.3417</t>
  </si>
  <si>
    <t>101.2684</t>
  </si>
  <si>
    <t>100.9112</t>
  </si>
  <si>
    <t>100.0426</t>
  </si>
  <si>
    <t>100.5312</t>
  </si>
  <si>
    <t>101.4295</t>
  </si>
  <si>
    <t>102.1639</t>
  </si>
  <si>
    <t>99.4401</t>
  </si>
  <si>
    <t>97.9476</t>
  </si>
  <si>
    <t>98.9909</t>
  </si>
  <si>
    <t>100.4868</t>
  </si>
  <si>
    <t>97.905</t>
  </si>
  <si>
    <t>99.4543</t>
  </si>
  <si>
    <t>98.5469</t>
  </si>
  <si>
    <t>100.2257</t>
  </si>
  <si>
    <t>100.5954</t>
  </si>
  <si>
    <t>99.4029</t>
  </si>
  <si>
    <t>100.045</t>
  </si>
  <si>
    <t>102.1477</t>
  </si>
  <si>
    <t>105.0772</t>
  </si>
  <si>
    <t>106.004</t>
  </si>
  <si>
    <t>102.7979</t>
  </si>
  <si>
    <t>103.0743</t>
  </si>
  <si>
    <t>105.5852</t>
  </si>
  <si>
    <t>104.7256</t>
  </si>
  <si>
    <t>102.3631</t>
  </si>
  <si>
    <t>98.5702</t>
  </si>
  <si>
    <t>100.2323</t>
  </si>
  <si>
    <t>98.4383</t>
  </si>
  <si>
    <t>93.2478</t>
  </si>
  <si>
    <t>86.6727</t>
  </si>
  <si>
    <t>83.8599</t>
  </si>
  <si>
    <t>82.0439</t>
  </si>
  <si>
    <t>83.7195</t>
  </si>
  <si>
    <t>74.6014</t>
  </si>
  <si>
    <t>68.9583</t>
  </si>
  <si>
    <t>68.5884</t>
  </si>
  <si>
    <t>69.3956</t>
  </si>
  <si>
    <t>68.0991</t>
  </si>
  <si>
    <t>67.6901</t>
  </si>
  <si>
    <t>66.6047</t>
  </si>
  <si>
    <t>64.6425</t>
  </si>
  <si>
    <t>68.2162</t>
  </si>
  <si>
    <t>77.9522</t>
  </si>
  <si>
    <t>77.8631</t>
  </si>
  <si>
    <t>81.1389</t>
  </si>
  <si>
    <t>79.7802</t>
  </si>
  <si>
    <t>83.6996</t>
  </si>
  <si>
    <t>84.3097</t>
  </si>
  <si>
    <t>85.5703</t>
  </si>
  <si>
    <t>89.5338</t>
  </si>
  <si>
    <t>93.1231</t>
  </si>
  <si>
    <t>91.5945</t>
  </si>
  <si>
    <t>93.6219</t>
  </si>
  <si>
    <t>90.793</t>
  </si>
  <si>
    <t>89.3899</t>
  </si>
  <si>
    <t>86.7662</t>
  </si>
  <si>
    <t>88.5856</t>
  </si>
  <si>
    <t>92.9498</t>
  </si>
  <si>
    <t>90.0546</t>
  </si>
  <si>
    <t>91.4685</t>
  </si>
  <si>
    <t>92.5177</t>
  </si>
  <si>
    <t>91.4948</t>
  </si>
  <si>
    <t>89.5905</t>
  </si>
  <si>
    <t>92.2216</t>
  </si>
  <si>
    <t>96.6284</t>
  </si>
  <si>
    <t>95.4151</t>
  </si>
  <si>
    <t>95.9472</t>
  </si>
  <si>
    <t>95.119</t>
  </si>
  <si>
    <t>92.6934</t>
  </si>
  <si>
    <t>93.6402</t>
  </si>
  <si>
    <t>98.9268</t>
  </si>
  <si>
    <t>97.8718</t>
  </si>
  <si>
    <t>96.7412</t>
  </si>
  <si>
    <t>97.3371</t>
  </si>
  <si>
    <t>96.1974</t>
  </si>
  <si>
    <t>95.8981</t>
  </si>
  <si>
    <t>96.3454</t>
  </si>
  <si>
    <t>92.6856</t>
  </si>
  <si>
    <t>92.2096</t>
  </si>
  <si>
    <t>93.9893</t>
  </si>
  <si>
    <t>92.2785</t>
  </si>
  <si>
    <t>90.4112</t>
  </si>
  <si>
    <t>90.2805</t>
  </si>
  <si>
    <t>89.9814</t>
  </si>
  <si>
    <t>89.7322</t>
  </si>
  <si>
    <t>85.2709</t>
  </si>
  <si>
    <t>86.5214</t>
  </si>
  <si>
    <t>85.0504</t>
  </si>
  <si>
    <t>87.1786</t>
  </si>
  <si>
    <t>88.8372</t>
  </si>
  <si>
    <t>92.0062</t>
  </si>
  <si>
    <t>89.4651</t>
  </si>
  <si>
    <t>93.0318</t>
  </si>
  <si>
    <t>92.8683</t>
  </si>
  <si>
    <t>93.5524</t>
  </si>
  <si>
    <t>95.635</t>
  </si>
  <si>
    <t>93.1619</t>
  </si>
  <si>
    <t>92.7156</t>
  </si>
  <si>
    <t>92.4163</t>
  </si>
  <si>
    <t>94.2783</t>
  </si>
  <si>
    <t>89.192</t>
  </si>
  <si>
    <t>86.3931</t>
  </si>
  <si>
    <t>86.2351</t>
  </si>
  <si>
    <t>89.4427</t>
  </si>
  <si>
    <t>89.8158</t>
  </si>
  <si>
    <t>87.0906</t>
  </si>
  <si>
    <t>88.3279</t>
  </si>
  <si>
    <t>87.6962</t>
  </si>
  <si>
    <t>88.7479</t>
  </si>
  <si>
    <t>88.5583</t>
  </si>
  <si>
    <t>84.7743</t>
  </si>
  <si>
    <t>85.5711</t>
  </si>
  <si>
    <t>83.5815</t>
  </si>
  <si>
    <t>82.2181</t>
  </si>
  <si>
    <t>78.7281</t>
  </si>
  <si>
    <t>80.9786</t>
  </si>
  <si>
    <t>73.3604</t>
  </si>
  <si>
    <t>69.9063</t>
  </si>
  <si>
    <t>76.2987</t>
  </si>
  <si>
    <t>78.5916</t>
  </si>
  <si>
    <t>75.235</t>
  </si>
  <si>
    <t>74.2357</t>
  </si>
  <si>
    <t>77.525</t>
  </si>
  <si>
    <t>79.7621</t>
  </si>
  <si>
    <t>79.5764</t>
  </si>
  <si>
    <t>79.6088</t>
  </si>
  <si>
    <t>81.4825</t>
  </si>
  <si>
    <t>82.3946</t>
  </si>
  <si>
    <t>82.7873</t>
  </si>
  <si>
    <t>84.2783</t>
  </si>
  <si>
    <t>82.2721</t>
  </si>
  <si>
    <t>76.4751</t>
  </si>
  <si>
    <t>79.7411</t>
  </si>
  <si>
    <t>80.9556</t>
  </si>
  <si>
    <t>76.2509</t>
  </si>
  <si>
    <t>75.9317</t>
  </si>
  <si>
    <t>74.6975</t>
  </si>
  <si>
    <t>75.4687</t>
  </si>
  <si>
    <t>79.1432</t>
  </si>
  <si>
    <t>77.3549</t>
  </si>
  <si>
    <t>74.6765</t>
  </si>
  <si>
    <t>73.7091</t>
  </si>
  <si>
    <t>75.7525</t>
  </si>
  <si>
    <t>77.3384</t>
  </si>
  <si>
    <t>78.8456</t>
  </si>
  <si>
    <t>78.5201</t>
  </si>
  <si>
    <t>77.4343</t>
  </si>
  <si>
    <t>76.4193</t>
  </si>
  <si>
    <t>77.3402</t>
  </si>
  <si>
    <t>78.5045</t>
  </si>
  <si>
    <t>76.8037</t>
  </si>
  <si>
    <t>73.9104</t>
  </si>
  <si>
    <t>73.3458</t>
  </si>
  <si>
    <t>73.7786</t>
  </si>
  <si>
    <t>73.1812</t>
  </si>
  <si>
    <t>73.3469</t>
  </si>
  <si>
    <t>70.1086</t>
  </si>
  <si>
    <t>69.6841</t>
  </si>
  <si>
    <t>68.4129</t>
  </si>
  <si>
    <t>70.0548</t>
  </si>
  <si>
    <t>65.5638</t>
  </si>
  <si>
    <t>68.3641</t>
  </si>
  <si>
    <t>68.9346</t>
  </si>
  <si>
    <t>69.8157</t>
  </si>
  <si>
    <t>67.3303</t>
  </si>
  <si>
    <t>63.3663</t>
  </si>
  <si>
    <t>63.4313</t>
  </si>
  <si>
    <t>62.5264</t>
  </si>
  <si>
    <t>63.7883</t>
  </si>
  <si>
    <t>62.9207</t>
  </si>
  <si>
    <t>64.1681</t>
  </si>
  <si>
    <t>66.0232</t>
  </si>
  <si>
    <t>64.1225</t>
  </si>
  <si>
    <t>64.6691</t>
  </si>
  <si>
    <t>64.0909</t>
  </si>
  <si>
    <t>63.6816</t>
  </si>
  <si>
    <t>64.5935</t>
  </si>
  <si>
    <t>67.6431</t>
  </si>
  <si>
    <t>67.9965</t>
  </si>
  <si>
    <t>69.9083</t>
  </si>
  <si>
    <t>73.4036</t>
  </si>
  <si>
    <t>75.7407</t>
  </si>
  <si>
    <t>77.1596</t>
  </si>
  <si>
    <t>77.6593</t>
  </si>
  <si>
    <t>76.4391</t>
  </si>
  <si>
    <t>77.937</t>
  </si>
  <si>
    <t>77.807</t>
  </si>
  <si>
    <t>76.5977</t>
  </si>
  <si>
    <t>75.6825</t>
  </si>
  <si>
    <t>75.0009</t>
  </si>
  <si>
    <t>75.0763</t>
  </si>
  <si>
    <t>75.1216</t>
  </si>
  <si>
    <t>74.8841</t>
  </si>
  <si>
    <t>76.2609</t>
  </si>
  <si>
    <t>78.2311</t>
  </si>
  <si>
    <t>77.6746</t>
  </si>
  <si>
    <t>77.1389</t>
  </si>
  <si>
    <t>75.1857</t>
  </si>
  <si>
    <t>73.2868</t>
  </si>
  <si>
    <t>73.9054</t>
  </si>
  <si>
    <t>73.9991</t>
  </si>
  <si>
    <t>76.4014</t>
  </si>
  <si>
    <t>77.5082</t>
  </si>
  <si>
    <t>76.5372</t>
  </si>
  <si>
    <t>75.102</t>
  </si>
  <si>
    <t>75.7663</t>
  </si>
  <si>
    <t>76.9462</t>
  </si>
  <si>
    <t>78.4979</t>
  </si>
  <si>
    <t>77.9841</t>
  </si>
  <si>
    <t>78.6634</t>
  </si>
  <si>
    <t>80.0206</t>
  </si>
  <si>
    <t>81.5787</t>
  </si>
  <si>
    <t>79.7786</t>
  </si>
  <si>
    <t>78.974</t>
  </si>
  <si>
    <t>79.0159</t>
  </si>
  <si>
    <t>78.7912</t>
  </si>
  <si>
    <t>79.7114</t>
  </si>
  <si>
    <t>80.9098</t>
  </si>
  <si>
    <t>81.5718</t>
  </si>
  <si>
    <t>83.4508</t>
  </si>
  <si>
    <t>82.7679</t>
  </si>
  <si>
    <t>84.0507</t>
  </si>
  <si>
    <t>85.3018</t>
  </si>
  <si>
    <t>85.8127</t>
  </si>
  <si>
    <t>84.5877</t>
  </si>
  <si>
    <t>83.1463</t>
  </si>
  <si>
    <t>83.7072</t>
  </si>
  <si>
    <t>85.395</t>
  </si>
  <si>
    <t>85.7691</t>
  </si>
  <si>
    <t>85.1039</t>
  </si>
  <si>
    <t>81.7701</t>
  </si>
  <si>
    <t>79.5131</t>
  </si>
  <si>
    <t>77.1516</t>
  </si>
  <si>
    <t>76.0691</t>
  </si>
  <si>
    <t>76.0298</t>
  </si>
  <si>
    <t>76.098</t>
  </si>
  <si>
    <t>74.7089</t>
  </si>
  <si>
    <t>73.3174</t>
  </si>
  <si>
    <t>73.1247</t>
  </si>
  <si>
    <t>72.7715</t>
  </si>
  <si>
    <t>72.8333</t>
  </si>
  <si>
    <t>72.6923</t>
  </si>
  <si>
    <t>72.7905</t>
  </si>
  <si>
    <t>71.9181</t>
  </si>
  <si>
    <t>70.2169</t>
  </si>
  <si>
    <t>69.6358</t>
  </si>
  <si>
    <t>71.7969</t>
  </si>
  <si>
    <t>73.3565</t>
  </si>
  <si>
    <t>72.2881</t>
  </si>
  <si>
    <t>73.8974</t>
  </si>
  <si>
    <t>72.5077</t>
  </si>
  <si>
    <t>73.9771</t>
  </si>
  <si>
    <t>76.1835</t>
  </si>
  <si>
    <t>77.4126</t>
  </si>
  <si>
    <t>76.8699</t>
  </si>
  <si>
    <t>75.0841</t>
  </si>
  <si>
    <t>73.6105</t>
  </si>
  <si>
    <t>73.7661</t>
  </si>
  <si>
    <t>74.7818</t>
  </si>
  <si>
    <t>75.2931</t>
  </si>
  <si>
    <t>76.7708</t>
  </si>
  <si>
    <t>75.595</t>
  </si>
  <si>
    <t>75.4802</t>
  </si>
  <si>
    <t>75.5874</t>
  </si>
  <si>
    <t>75.2825</t>
  </si>
  <si>
    <t>73.4614</t>
  </si>
  <si>
    <t>72.0177</t>
  </si>
  <si>
    <t>73.1299</t>
  </si>
  <si>
    <t>73.4782</t>
  </si>
  <si>
    <t>70.4741</t>
  </si>
  <si>
    <t>69.3659</t>
  </si>
  <si>
    <t>69.167</t>
  </si>
  <si>
    <t>68.6223</t>
  </si>
  <si>
    <t>69.1107</t>
  </si>
  <si>
    <t>69.2113</t>
  </si>
  <si>
    <t>68.7603</t>
  </si>
  <si>
    <t>67.3613</t>
  </si>
  <si>
    <t>69.72</t>
  </si>
  <si>
    <t>71.4926</t>
  </si>
  <si>
    <t>75.7264</t>
  </si>
  <si>
    <t>75.8619</t>
  </si>
  <si>
    <t>75.9957</t>
  </si>
  <si>
    <t>77.5477</t>
  </si>
  <si>
    <t>77.5088</t>
  </si>
  <si>
    <t>77.224</t>
  </si>
  <si>
    <t>77.0005</t>
  </si>
  <si>
    <t>76.8139</t>
  </si>
  <si>
    <t>78.9055</t>
  </si>
  <si>
    <t>80.1</t>
  </si>
  <si>
    <t>80.7844</t>
  </si>
  <si>
    <t>81.0053</t>
  </si>
  <si>
    <t>82.167</t>
  </si>
  <si>
    <t>79.1192</t>
  </si>
  <si>
    <t>77.9079</t>
  </si>
  <si>
    <t>78.5373</t>
  </si>
  <si>
    <t>77.8721</t>
  </si>
  <si>
    <t>77.9</t>
  </si>
  <si>
    <t>77.3828</t>
  </si>
  <si>
    <t>78.5706</t>
  </si>
  <si>
    <t>76.9816</t>
  </si>
  <si>
    <t>76.404</t>
  </si>
  <si>
    <t>75.6179</t>
  </si>
  <si>
    <t>74.7129</t>
  </si>
  <si>
    <t>73.0211</t>
  </si>
  <si>
    <t>71.9587</t>
  </si>
  <si>
    <t>73.0103</t>
  </si>
  <si>
    <t>74.0245</t>
  </si>
  <si>
    <t>72.9327</t>
  </si>
  <si>
    <t>72.5143</t>
  </si>
  <si>
    <t>73.263</t>
  </si>
  <si>
    <t>75.6001</t>
  </si>
  <si>
    <t>73.3937</t>
  </si>
  <si>
    <t>73.9531</t>
  </si>
  <si>
    <t>72.0583</t>
  </si>
  <si>
    <t>73.2116</t>
  </si>
  <si>
    <t>71.0352</t>
  </si>
  <si>
    <t>70.5541</t>
  </si>
  <si>
    <t>69.4097</t>
  </si>
  <si>
    <t>69.9449</t>
  </si>
  <si>
    <t>69.4896</t>
  </si>
  <si>
    <t>70.3256</t>
  </si>
  <si>
    <t>72.8419</t>
  </si>
  <si>
    <t>76.8078</t>
  </si>
  <si>
    <t>77.1704</t>
  </si>
  <si>
    <t>78.935</t>
  </si>
  <si>
    <t>79.0079</t>
  </si>
  <si>
    <t>81.2181</t>
  </si>
  <si>
    <t>82.0548</t>
  </si>
  <si>
    <t>83.2623</t>
  </si>
  <si>
    <t>85.461</t>
  </si>
  <si>
    <t>88.066</t>
  </si>
  <si>
    <t>88.251</t>
  </si>
  <si>
    <t>90.9209</t>
  </si>
  <si>
    <t>90.3655</t>
  </si>
  <si>
    <t>91.378</t>
  </si>
  <si>
    <t>88.0121</t>
  </si>
  <si>
    <t>87.6261</t>
  </si>
  <si>
    <t>92.9847</t>
  </si>
  <si>
    <t>95.1946</t>
  </si>
  <si>
    <t>96.2906</t>
  </si>
  <si>
    <t>94.8094</t>
  </si>
  <si>
    <t>94.1074</t>
  </si>
  <si>
    <t>95.1072</t>
  </si>
  <si>
    <t>94.825</t>
  </si>
  <si>
    <t>97.5332</t>
  </si>
  <si>
    <t>96.0446</t>
  </si>
  <si>
    <t>95.8227</t>
  </si>
  <si>
    <t>98.8561</t>
  </si>
  <si>
    <t>99.8311</t>
  </si>
  <si>
    <t>110.5083</t>
  </si>
  <si>
    <t>102.7491</t>
  </si>
  <si>
    <t>107.2174</t>
  </si>
  <si>
    <t>103.6644</t>
  </si>
  <si>
    <t>108.5185</t>
  </si>
  <si>
    <t>111.1748</t>
  </si>
  <si>
    <t>111.4485</t>
  </si>
  <si>
    <t>103.4737</t>
  </si>
  <si>
    <t>108.0584</t>
  </si>
  <si>
    <t>108.8521</t>
  </si>
  <si>
    <t>106.9498</t>
  </si>
  <si>
    <t>107.433</t>
  </si>
  <si>
    <t>102.5596</t>
  </si>
  <si>
    <t>102.5374</t>
  </si>
  <si>
    <t>104.5516</t>
  </si>
  <si>
    <t>105.9754</t>
  </si>
  <si>
    <t>109.5598</t>
  </si>
  <si>
    <t>105.9565</t>
  </si>
  <si>
    <t>107.1097</t>
  </si>
  <si>
    <t>105.0857</t>
  </si>
  <si>
    <t>105.8617</t>
  </si>
  <si>
    <t>107.3856</t>
  </si>
  <si>
    <t>108.9235</t>
  </si>
  <si>
    <t>109.3584</t>
  </si>
  <si>
    <t>112.5091</t>
  </si>
  <si>
    <t>111.6357</t>
  </si>
  <si>
    <t>111.1249</t>
  </si>
  <si>
    <t>112.1727</t>
  </si>
  <si>
    <t>110.8529</t>
  </si>
  <si>
    <t>109.0599</t>
  </si>
  <si>
    <t>108.8825</t>
  </si>
  <si>
    <t>107.198</t>
  </si>
  <si>
    <t>100.5857</t>
  </si>
  <si>
    <t>98.2662</t>
  </si>
  <si>
    <t>99.4564</t>
  </si>
  <si>
    <t>96.8678</t>
  </si>
  <si>
    <t>96.9151</t>
  </si>
  <si>
    <t>96.8195</t>
  </si>
  <si>
    <t>99.9001</t>
  </si>
  <si>
    <t>97.912</t>
  </si>
  <si>
    <t>96.5216</t>
  </si>
  <si>
    <t>98.5672</t>
  </si>
  <si>
    <t>94.4727</t>
  </si>
  <si>
    <t>92.3861</t>
  </si>
  <si>
    <t>90.3029</t>
  </si>
  <si>
    <t>92.128</t>
  </si>
  <si>
    <t>90.1712</t>
  </si>
  <si>
    <t>90.6546</t>
  </si>
  <si>
    <t>88.4337</t>
  </si>
  <si>
    <t>91.2324</t>
  </si>
  <si>
    <t>91.8611</t>
  </si>
  <si>
    <t>94.7001</t>
  </si>
  <si>
    <t>93.5246</t>
  </si>
  <si>
    <t>97.2209</t>
  </si>
  <si>
    <t>98.6703</t>
  </si>
  <si>
    <t>100.0815</t>
  </si>
  <si>
    <t>97.375</t>
  </si>
  <si>
    <t>99.8487</t>
  </si>
  <si>
    <t>101.0318</t>
  </si>
  <si>
    <t>97.7938</t>
  </si>
  <si>
    <t>93.0463</t>
  </si>
  <si>
    <t>92.6882</t>
  </si>
  <si>
    <t>92.6958</t>
  </si>
  <si>
    <t>91.724</t>
  </si>
  <si>
    <t>88.5844</t>
  </si>
  <si>
    <t>86.7957</t>
  </si>
  <si>
    <t>86.7481</t>
  </si>
  <si>
    <t>86.6269</t>
  </si>
  <si>
    <t>84.9716</t>
  </si>
  <si>
    <t>85.6131</t>
  </si>
  <si>
    <t>86.5362</t>
  </si>
  <si>
    <t>84.8388</t>
  </si>
  <si>
    <t>86.3462</t>
  </si>
  <si>
    <t>89.8448</t>
  </si>
  <si>
    <t>89.2953</t>
  </si>
  <si>
    <t>91.9383</t>
  </si>
  <si>
    <t>90.1874</t>
  </si>
  <si>
    <t>91.5306</t>
  </si>
  <si>
    <t>89.6862</t>
  </si>
  <si>
    <t>88.5443</t>
  </si>
  <si>
    <t>84.5362</t>
  </si>
  <si>
    <t>85.9482</t>
  </si>
  <si>
    <t>89.4707</t>
  </si>
  <si>
    <t>89.9022</t>
  </si>
  <si>
    <t>87.5728</t>
  </si>
  <si>
    <t>89.0646</t>
  </si>
  <si>
    <t>89.5134</t>
  </si>
  <si>
    <t>88.2548</t>
  </si>
  <si>
    <t>89.8557</t>
  </si>
  <si>
    <t>91.2864</t>
  </si>
  <si>
    <t>88.5412</t>
  </si>
  <si>
    <t>89.4566</t>
  </si>
  <si>
    <t>88.2496</t>
  </si>
  <si>
    <t>84.7845</t>
  </si>
  <si>
    <t>85.5624</t>
  </si>
  <si>
    <t>85.6559</t>
  </si>
  <si>
    <t>87.4871</t>
  </si>
  <si>
    <t>88.4436</t>
  </si>
  <si>
    <t>89.4195</t>
  </si>
  <si>
    <t>87.9462</t>
  </si>
  <si>
    <t>90.8505</t>
  </si>
  <si>
    <t>89.0554</t>
  </si>
  <si>
    <t>88.4224</t>
  </si>
  <si>
    <t>89.5927</t>
  </si>
  <si>
    <t>87.9239</t>
  </si>
  <si>
    <t>87.9614</t>
  </si>
  <si>
    <t>87.5761</t>
  </si>
  <si>
    <t>85.8871</t>
  </si>
  <si>
    <t>84.4275</t>
  </si>
  <si>
    <t>86.7214</t>
  </si>
  <si>
    <t>87.296</t>
  </si>
  <si>
    <t>89.1884</t>
  </si>
  <si>
    <t>90.858</t>
  </si>
  <si>
    <t>90.6887</t>
  </si>
  <si>
    <t>92.3717</t>
  </si>
  <si>
    <t>94.7214</t>
  </si>
  <si>
    <t>96.3699</t>
  </si>
  <si>
    <t>97.808</t>
  </si>
  <si>
    <t>95.3277</t>
  </si>
  <si>
    <t>92.7533</t>
  </si>
  <si>
    <t>92.9052</t>
  </si>
  <si>
    <t>92.2921</t>
  </si>
  <si>
    <t>93.2912</t>
  </si>
  <si>
    <t>92.3827</t>
  </si>
  <si>
    <t>88.8327</t>
  </si>
  <si>
    <t>86.312</t>
  </si>
  <si>
    <t>86.1836</t>
  </si>
  <si>
    <t>88.8192</t>
  </si>
  <si>
    <t>89.4432</t>
  </si>
  <si>
    <t>89.8181</t>
  </si>
  <si>
    <t>81.1064</t>
  </si>
  <si>
    <t>80.6938</t>
  </si>
  <si>
    <t>82.0838</t>
  </si>
  <si>
    <t>84.4157</t>
  </si>
  <si>
    <t>85.4173</t>
  </si>
  <si>
    <t>82.8927</t>
  </si>
  <si>
    <t>83.9821</t>
  </si>
  <si>
    <t>85.6059</t>
  </si>
  <si>
    <t>85.4704</t>
  </si>
  <si>
    <t>86.2094</t>
  </si>
  <si>
    <t>88.682</t>
  </si>
  <si>
    <t>88.7358</t>
  </si>
  <si>
    <t>90.2846</t>
  </si>
  <si>
    <t>90.8314</t>
  </si>
  <si>
    <t>90.8286</t>
  </si>
  <si>
    <t>86.4541</t>
  </si>
  <si>
    <t>86.4282</t>
  </si>
  <si>
    <t>88.2256</t>
  </si>
  <si>
    <t>89.3258</t>
  </si>
  <si>
    <t>89.3644</t>
  </si>
  <si>
    <t>92.4753</t>
  </si>
  <si>
    <t>89.7702</t>
  </si>
  <si>
    <t>92.8716</t>
  </si>
  <si>
    <t>93.3305</t>
  </si>
  <si>
    <t>94.6432</t>
  </si>
  <si>
    <t>94.6879</t>
  </si>
  <si>
    <t>95.2069</t>
  </si>
  <si>
    <t>94.3275</t>
  </si>
  <si>
    <t>94.948</t>
  </si>
  <si>
    <t>95.8466</t>
  </si>
  <si>
    <t>96.3799</t>
  </si>
  <si>
    <t>98.3249</t>
  </si>
  <si>
    <t>92.645</t>
  </si>
  <si>
    <t>92.7759</t>
  </si>
  <si>
    <t>89.2067</t>
  </si>
  <si>
    <t>91.6269</t>
  </si>
  <si>
    <t>91.4657</t>
  </si>
  <si>
    <t>91.2361</t>
  </si>
  <si>
    <t>92.0201</t>
  </si>
  <si>
    <t>91.6251</t>
  </si>
  <si>
    <t>92.41</t>
  </si>
  <si>
    <t>91.7357</t>
  </si>
  <si>
    <t>93.2209</t>
  </si>
  <si>
    <t>93.1128</t>
  </si>
  <si>
    <t>89.4806</t>
  </si>
  <si>
    <t>92.8654</t>
  </si>
  <si>
    <t>90.0944</t>
  </si>
  <si>
    <t>89.4997</t>
  </si>
  <si>
    <t>89.8915</t>
  </si>
  <si>
    <t>88.9548</t>
  </si>
  <si>
    <t>84.9244</t>
  </si>
  <si>
    <t>79.9115</t>
  </si>
  <si>
    <t>77.8991</t>
  </si>
  <si>
    <t>75.5025</t>
  </si>
  <si>
    <t>70.9268</t>
  </si>
  <si>
    <t>74.7397</t>
  </si>
  <si>
    <t>76.28</t>
  </si>
  <si>
    <t>76.7702</t>
  </si>
  <si>
    <t>75.1019</t>
  </si>
  <si>
    <t>75.8262</t>
  </si>
  <si>
    <t>72.7848</t>
  </si>
  <si>
    <t>72.7854</t>
  </si>
  <si>
    <t>72.6393</t>
  </si>
  <si>
    <t>72.5137</t>
  </si>
  <si>
    <t>73.7537</t>
  </si>
  <si>
    <t>74.5554</t>
  </si>
  <si>
    <t>72.9704</t>
  </si>
  <si>
    <t>72.4908</t>
  </si>
  <si>
    <t>73.4403</t>
  </si>
  <si>
    <t>74.2942</t>
  </si>
  <si>
    <t>74.2997</t>
  </si>
  <si>
    <t>75.8703</t>
  </si>
  <si>
    <t>74.7043</t>
  </si>
  <si>
    <t>75.5607</t>
  </si>
  <si>
    <t>75.574</t>
  </si>
  <si>
    <t>73.6462</t>
  </si>
  <si>
    <t>71.9845</t>
  </si>
  <si>
    <t>72.2323</t>
  </si>
  <si>
    <t>71.6096</t>
  </si>
  <si>
    <t>72.4047</t>
  </si>
  <si>
    <t>73.1459</t>
  </si>
  <si>
    <t>73.8673</t>
  </si>
  <si>
    <t>73.0723</t>
  </si>
  <si>
    <t>75.7957</t>
  </si>
  <si>
    <t>76.6749</t>
  </si>
  <si>
    <t>77.657</t>
  </si>
  <si>
    <t>78.9812</t>
  </si>
  <si>
    <t>79.0367</t>
  </si>
  <si>
    <t>78.016</t>
  </si>
  <si>
    <t>76.7074</t>
  </si>
  <si>
    <t>76.4637</t>
  </si>
  <si>
    <t>76.7067</t>
  </si>
  <si>
    <t>76.6836</t>
  </si>
  <si>
    <t>77.6776</t>
  </si>
  <si>
    <t>78.7992</t>
  </si>
  <si>
    <t>78.2639</t>
  </si>
  <si>
    <t>78.5518</t>
  </si>
  <si>
    <t>79.2284</t>
  </si>
  <si>
    <t>77.0265</t>
  </si>
  <si>
    <t>76.608</t>
  </si>
  <si>
    <t>75.5188</t>
  </si>
  <si>
    <t>77.0731</t>
  </si>
  <si>
    <t>79.9416</t>
  </si>
  <si>
    <t>88.4928</t>
  </si>
  <si>
    <t>89.6633</t>
  </si>
  <si>
    <t>91.4418</t>
  </si>
  <si>
    <t>91.176</t>
  </si>
  <si>
    <t>92.0267</t>
  </si>
  <si>
    <t>89.6849</t>
  </si>
  <si>
    <t>88.983</t>
  </si>
  <si>
    <t>90.2341</t>
  </si>
  <si>
    <t>92.9486</t>
  </si>
  <si>
    <t>92.6799</t>
  </si>
  <si>
    <t>89.5563</t>
  </si>
  <si>
    <t>90.2043</t>
  </si>
  <si>
    <t>88.3475</t>
  </si>
  <si>
    <t>88.3637</t>
  </si>
  <si>
    <t>89.0191</t>
  </si>
  <si>
    <t>87.8816</t>
  </si>
  <si>
    <t>80.4697</t>
  </si>
  <si>
    <t>80.3717</t>
  </si>
  <si>
    <t>78.7482</t>
  </si>
  <si>
    <t>76.4082</t>
  </si>
  <si>
    <t>77.253</t>
  </si>
  <si>
    <t>80.7007</t>
  </si>
  <si>
    <t>78.1063</t>
  </si>
  <si>
    <t>75.6207</t>
  </si>
  <si>
    <t>76.3104</t>
  </si>
  <si>
    <t>74.153</t>
  </si>
  <si>
    <t>75.7837</t>
  </si>
  <si>
    <t>72.1483</t>
  </si>
  <si>
    <t>67.951</t>
  </si>
  <si>
    <t>66.9312</t>
  </si>
  <si>
    <t>70.9019</t>
  </si>
  <si>
    <t>70.803</t>
  </si>
  <si>
    <t>73.9239</t>
  </si>
  <si>
    <t>72.1104</t>
  </si>
  <si>
    <t>73.9899</t>
  </si>
  <si>
    <t>73.9563</t>
  </si>
  <si>
    <t>74.2448</t>
  </si>
  <si>
    <t>73.4506</t>
  </si>
  <si>
    <t>75.0454</t>
  </si>
  <si>
    <t>74.4163</t>
  </si>
  <si>
    <t>74.5423</t>
  </si>
  <si>
    <t>74.2384</t>
  </si>
  <si>
    <t>70.8351</t>
  </si>
  <si>
    <t>70.4438</t>
  </si>
  <si>
    <t>68.8037</t>
  </si>
  <si>
    <t>68.4908</t>
  </si>
  <si>
    <t>68.178</t>
  </si>
  <si>
    <t>68.1394</t>
  </si>
  <si>
    <t>68.6462</t>
  </si>
  <si>
    <t>69.2393</t>
  </si>
  <si>
    <t>68.8892</t>
  </si>
  <si>
    <t>66.9166</t>
  </si>
  <si>
    <t>67.9871</t>
  </si>
  <si>
    <t>65.2089</t>
  </si>
  <si>
    <t>65.7046</t>
  </si>
  <si>
    <t>66.3601</t>
  </si>
  <si>
    <t>66.6798</t>
  </si>
  <si>
    <t>66.8949</t>
  </si>
  <si>
    <t>67.4741</t>
  </si>
  <si>
    <t>67.214</t>
  </si>
  <si>
    <t>68.5839</t>
  </si>
  <si>
    <t>68.0428</t>
  </si>
  <si>
    <t>67.6348</t>
  </si>
  <si>
    <t>66.6397</t>
  </si>
  <si>
    <t>67.2023</t>
  </si>
  <si>
    <t>66.7084</t>
  </si>
  <si>
    <t>61.3849</t>
  </si>
  <si>
    <t>60.1589</t>
  </si>
  <si>
    <t>60.9649</t>
  </si>
  <si>
    <t>57.9763</t>
  </si>
  <si>
    <t>57.0438</t>
  </si>
  <si>
    <t>57.8688</t>
  </si>
  <si>
    <t>58.9346</t>
  </si>
  <si>
    <t>59.4941</t>
  </si>
  <si>
    <t>58.347</t>
  </si>
  <si>
    <t>61.7855</t>
  </si>
  <si>
    <t>62.0841</t>
  </si>
  <si>
    <t>59.252</t>
  </si>
  <si>
    <t>60.7483</t>
  </si>
  <si>
    <t>62.1175</t>
  </si>
  <si>
    <t>61.7543</t>
  </si>
  <si>
    <t>63.5668</t>
  </si>
  <si>
    <t>63.7956</t>
  </si>
  <si>
    <t>62.7464</t>
  </si>
  <si>
    <t>64.2208</t>
  </si>
  <si>
    <t>64.505</t>
  </si>
  <si>
    <t>63.9902</t>
  </si>
  <si>
    <t>65.3705</t>
  </si>
  <si>
    <t>64.236</t>
  </si>
  <si>
    <t>66.5838</t>
  </si>
  <si>
    <t>68.8446</t>
  </si>
  <si>
    <t>67.4506</t>
  </si>
  <si>
    <t>67.6899</t>
  </si>
  <si>
    <t>67.2132</t>
  </si>
  <si>
    <t>69.0386</t>
  </si>
  <si>
    <t>69.3535</t>
  </si>
  <si>
    <t>65.9722</t>
  </si>
  <si>
    <t>66.563</t>
  </si>
  <si>
    <t>67.3952</t>
  </si>
  <si>
    <t>67.5947</t>
  </si>
  <si>
    <t>66.9615</t>
  </si>
  <si>
    <t>69.3487</t>
  </si>
  <si>
    <t>69.2968</t>
  </si>
  <si>
    <t>69.745</t>
  </si>
  <si>
    <t>70.9197</t>
  </si>
  <si>
    <t>70.3433</t>
  </si>
  <si>
    <t>68.5087</t>
  </si>
  <si>
    <t>66.6444</t>
  </si>
  <si>
    <t>65.9959</t>
  </si>
  <si>
    <t>67.0514</t>
  </si>
  <si>
    <t>66.6384</t>
  </si>
  <si>
    <t>68.1588</t>
  </si>
  <si>
    <t>68.8284</t>
  </si>
  <si>
    <t>67.0016</t>
  </si>
  <si>
    <t>66.8238</t>
  </si>
  <si>
    <t>65.5977</t>
  </si>
  <si>
    <t>61.3027</t>
  </si>
  <si>
    <t>61.2283</t>
  </si>
  <si>
    <t>62.9478</t>
  </si>
  <si>
    <t>61.1446</t>
  </si>
  <si>
    <t>61.3819</t>
  </si>
  <si>
    <t>61.9934</t>
  </si>
  <si>
    <t>60.9833</t>
  </si>
  <si>
    <t>59.2189</t>
  </si>
  <si>
    <t>58.846</t>
  </si>
  <si>
    <t>56.8179</t>
  </si>
  <si>
    <t>57.5279</t>
  </si>
  <si>
    <t>55.0664</t>
  </si>
  <si>
    <t>54.6367</t>
  </si>
  <si>
    <t>56.4968</t>
  </si>
  <si>
    <t>55.6285</t>
  </si>
  <si>
    <t>54.7777</t>
  </si>
  <si>
    <t>53.1682</t>
  </si>
  <si>
    <t>51.2767</t>
  </si>
  <si>
    <t>50.3894</t>
  </si>
  <si>
    <t>51.1386</t>
  </si>
  <si>
    <t>50.2814</t>
  </si>
  <si>
    <t>50.7395</t>
  </si>
  <si>
    <t>50.2003</t>
  </si>
  <si>
    <t>51.4018</t>
  </si>
  <si>
    <t>52.897</t>
  </si>
  <si>
    <t>53.7179</t>
  </si>
  <si>
    <t>53.8627</t>
  </si>
  <si>
    <t>53.8204</t>
  </si>
  <si>
    <t>53.9252</t>
  </si>
  <si>
    <t>53.3909</t>
  </si>
  <si>
    <t>53.4732</t>
  </si>
  <si>
    <t>52.9162</t>
  </si>
  <si>
    <t>53.4735</t>
  </si>
  <si>
    <t>52.4789</t>
  </si>
  <si>
    <t>51.9161</t>
  </si>
  <si>
    <t>51.3239</t>
  </si>
  <si>
    <t>49.7856</t>
  </si>
  <si>
    <t>47.6985</t>
  </si>
  <si>
    <t>48.4375</t>
  </si>
  <si>
    <t>47.9764</t>
  </si>
  <si>
    <t>47.1283</t>
  </si>
  <si>
    <t>46.9855</t>
  </si>
  <si>
    <t>47.7869</t>
  </si>
  <si>
    <t>49.9529</t>
  </si>
  <si>
    <t>48.9496</t>
  </si>
  <si>
    <t>49.7624</t>
  </si>
  <si>
    <t>46.6466</t>
  </si>
  <si>
    <t>47.0993</t>
  </si>
  <si>
    <t>48.0769</t>
  </si>
  <si>
    <t>46.9697</t>
  </si>
  <si>
    <t>46.7285</t>
  </si>
  <si>
    <t>46.2668</t>
  </si>
  <si>
    <t>45.2324</t>
  </si>
  <si>
    <t>44.6433</t>
  </si>
  <si>
    <t>44.6131</t>
  </si>
  <si>
    <t>43.9333</t>
  </si>
  <si>
    <t>46.1217</t>
  </si>
  <si>
    <t>47.6176</t>
  </si>
  <si>
    <t>48.1559</t>
  </si>
  <si>
    <t>48.5979</t>
  </si>
  <si>
    <t>48.4606</t>
  </si>
  <si>
    <t>41.1253</t>
  </si>
  <si>
    <t>40.1307</t>
  </si>
  <si>
    <t>39.1285</t>
  </si>
  <si>
    <t>36.9406</t>
  </si>
  <si>
    <t>37.976</t>
  </si>
  <si>
    <t>39.7164</t>
  </si>
  <si>
    <t>39.4163</t>
  </si>
  <si>
    <t>39.7186</t>
  </si>
  <si>
    <t>39.8942</t>
  </si>
  <si>
    <t>39.5977</t>
  </si>
  <si>
    <t>40.2299</t>
  </si>
  <si>
    <t>39.6626</t>
  </si>
  <si>
    <t>39.1043</t>
  </si>
  <si>
    <t>39.1371</t>
  </si>
  <si>
    <t>39.8256</t>
  </si>
  <si>
    <t>42.5189</t>
  </si>
  <si>
    <t>44.6582</t>
  </si>
  <si>
    <t>43.7328</t>
  </si>
  <si>
    <t>44.763</t>
  </si>
  <si>
    <t>44.2166</t>
  </si>
  <si>
    <t>43.83</t>
  </si>
  <si>
    <t>41.6518</t>
  </si>
  <si>
    <t>42.4129</t>
  </si>
  <si>
    <t>41.9721</t>
  </si>
  <si>
    <t>42.8937</t>
  </si>
  <si>
    <t>41.8703</t>
  </si>
  <si>
    <t>41.5065</t>
  </si>
  <si>
    <t>40.9362</t>
  </si>
  <si>
    <t>40.9633</t>
  </si>
  <si>
    <t>41.3225</t>
  </si>
  <si>
    <t>41.0772</t>
  </si>
  <si>
    <t>41.466</t>
  </si>
  <si>
    <t>41.442</t>
  </si>
  <si>
    <t>41.2814</t>
  </si>
  <si>
    <t>41.1559</t>
  </si>
  <si>
    <t>40.5358</t>
  </si>
  <si>
    <t>40.7015</t>
  </si>
  <si>
    <t>41.0018</t>
  </si>
  <si>
    <t>41.8101</t>
  </si>
  <si>
    <t>41.8825</t>
  </si>
  <si>
    <t>41.9291</t>
  </si>
  <si>
    <t>41.6806</t>
  </si>
  <si>
    <t>41.9661</t>
  </si>
  <si>
    <t>41.1967</t>
  </si>
  <si>
    <t>41.1125</t>
  </si>
  <si>
    <t>41.219</t>
  </si>
  <si>
    <t>40.9533</t>
  </si>
  <si>
    <t>41.7889</t>
  </si>
  <si>
    <t>42.2219</t>
  </si>
  <si>
    <t>39.7771</t>
  </si>
  <si>
    <t>40.3796</t>
  </si>
  <si>
    <t>40.9123</t>
  </si>
  <si>
    <t>40.7757</t>
  </si>
  <si>
    <t>40.6172</t>
  </si>
  <si>
    <t>40.7688</t>
  </si>
  <si>
    <t>41.8106</t>
  </si>
  <si>
    <t>43.0087</t>
  </si>
  <si>
    <t>43.3045</t>
  </si>
  <si>
    <t>43.1426</t>
  </si>
  <si>
    <t>43.3483</t>
  </si>
  <si>
    <t>43.8918</t>
  </si>
  <si>
    <t>43.6168</t>
  </si>
  <si>
    <t>43.6516</t>
  </si>
  <si>
    <t>44.1846</t>
  </si>
  <si>
    <t>44.2337</t>
  </si>
  <si>
    <t>44.3145</t>
  </si>
  <si>
    <t>45.3045</t>
  </si>
  <si>
    <t>44.809</t>
  </si>
  <si>
    <t>45.6919</t>
  </si>
  <si>
    <t>44.5955</t>
  </si>
  <si>
    <t>44.7747</t>
  </si>
  <si>
    <t>43.8816</t>
  </si>
  <si>
    <t>42.872</t>
  </si>
  <si>
    <t>42.8398</t>
  </si>
  <si>
    <t>41.9707</t>
  </si>
  <si>
    <t>41.2832</t>
  </si>
  <si>
    <t>40.9742</t>
  </si>
  <si>
    <t>38.9185</t>
  </si>
  <si>
    <t>40.9296</t>
  </si>
  <si>
    <t>40.7144</t>
  </si>
  <si>
    <t>41.348</t>
  </si>
  <si>
    <t>40.209</t>
  </si>
  <si>
    <t>40.7732</t>
  </si>
  <si>
    <t>40.4005</t>
  </si>
  <si>
    <t>39.9918</t>
  </si>
  <si>
    <t>39.597</t>
  </si>
  <si>
    <t>39.3487</t>
  </si>
  <si>
    <t>40.0652</t>
  </si>
  <si>
    <t>39.9395</t>
  </si>
  <si>
    <t>39.6289</t>
  </si>
  <si>
    <t>38.4099</t>
  </si>
  <si>
    <t>38.1995</t>
  </si>
  <si>
    <t>38.0763</t>
  </si>
  <si>
    <t>37.4795</t>
  </si>
  <si>
    <t>35.925</t>
  </si>
  <si>
    <t>36.252</t>
  </si>
  <si>
    <t>35.2266</t>
  </si>
  <si>
    <t>36.5672</t>
  </si>
  <si>
    <t>37.4035</t>
  </si>
  <si>
    <t>37.9772</t>
  </si>
  <si>
    <t>37.1661</t>
  </si>
  <si>
    <t>36.3177</t>
  </si>
  <si>
    <t>37.2918</t>
  </si>
  <si>
    <t>36.8813</t>
  </si>
  <si>
    <t>38.7346</t>
  </si>
  <si>
    <t>38.5836</t>
  </si>
  <si>
    <t>39.1413</t>
  </si>
  <si>
    <t>39.3719</t>
  </si>
  <si>
    <t>39.4319</t>
  </si>
  <si>
    <t>39.1927</t>
  </si>
  <si>
    <t>38.7141</t>
  </si>
  <si>
    <t>38.5569</t>
  </si>
  <si>
    <t>39.066</t>
  </si>
  <si>
    <t>38.2683</t>
  </si>
  <si>
    <t>38.5215</t>
  </si>
  <si>
    <t>36.9305</t>
  </si>
  <si>
    <t>35.8596</t>
  </si>
  <si>
    <t>36.6377</t>
  </si>
  <si>
    <t>36.5023</t>
  </si>
  <si>
    <t>35.2354</t>
  </si>
  <si>
    <t>34.2085</t>
  </si>
  <si>
    <t>33.0131</t>
  </si>
  <si>
    <t>33.2822</t>
  </si>
  <si>
    <t>34.6408</t>
  </si>
  <si>
    <t>34.8598</t>
  </si>
  <si>
    <t>35.6408</t>
  </si>
  <si>
    <t>35.0409</t>
  </si>
  <si>
    <t>35.0254</t>
  </si>
  <si>
    <t>35.3526</t>
  </si>
  <si>
    <t>37.6467</t>
  </si>
  <si>
    <t>36.818</t>
  </si>
  <si>
    <t>37.312</t>
  </si>
  <si>
    <t>36.2865</t>
  </si>
  <si>
    <t>37.7396</t>
  </si>
  <si>
    <t>37.7557</t>
  </si>
  <si>
    <t>38.6389</t>
  </si>
  <si>
    <t>38.4993</t>
  </si>
  <si>
    <t>38.8238</t>
  </si>
  <si>
    <t>38.2642</t>
  </si>
  <si>
    <t>38.0037</t>
  </si>
  <si>
    <t>38.6318</t>
  </si>
  <si>
    <t>39.025</t>
  </si>
  <si>
    <t>38.1632</t>
  </si>
  <si>
    <t>39.4207</t>
  </si>
  <si>
    <t>39.7399</t>
  </si>
  <si>
    <t>39</t>
  </si>
  <si>
    <t>38.9712</t>
  </si>
  <si>
    <t>39.1297</t>
  </si>
  <si>
    <t>39.677</t>
  </si>
  <si>
    <t>39.7648</t>
  </si>
  <si>
    <t>39.8617</t>
  </si>
  <si>
    <t>39.1828</t>
  </si>
  <si>
    <t>38.0772</t>
  </si>
  <si>
    <t>37.5885</t>
  </si>
  <si>
    <t>38.8388</t>
  </si>
  <si>
    <t>39.4928</t>
  </si>
  <si>
    <t>38.8186</t>
  </si>
  <si>
    <t>39.0281</t>
  </si>
  <si>
    <t>39.0167</t>
  </si>
  <si>
    <t>38.9704</t>
  </si>
  <si>
    <t>38.0687</t>
  </si>
  <si>
    <t>38.5142</t>
  </si>
  <si>
    <t>39.0807</t>
  </si>
  <si>
    <t>40.191</t>
  </si>
  <si>
    <t>40.6021</t>
  </si>
  <si>
    <t>40.8627</t>
  </si>
  <si>
    <t>41.0592</t>
  </si>
  <si>
    <t>41.0655</t>
  </si>
  <si>
    <t>39.5425</t>
  </si>
  <si>
    <t>37.6974</t>
  </si>
  <si>
    <t>37.8754</t>
  </si>
  <si>
    <t>37.9312</t>
  </si>
  <si>
    <t>38.1113</t>
  </si>
  <si>
    <t>38.0395</t>
  </si>
  <si>
    <t>37.0545</t>
  </si>
  <si>
    <t>37.5046</t>
  </si>
  <si>
    <t>37.3269</t>
  </si>
  <si>
    <t>37.0076</t>
  </si>
  <si>
    <t>37.4047</t>
  </si>
  <si>
    <t>37.2149</t>
  </si>
  <si>
    <t>36.6043</t>
  </si>
  <si>
    <t>36.3405</t>
  </si>
  <si>
    <t>37.278</t>
  </si>
  <si>
    <t>36.4241</t>
  </si>
  <si>
    <t>36.7002</t>
  </si>
  <si>
    <t>36.1462</t>
  </si>
  <si>
    <t>36.6909</t>
  </si>
  <si>
    <t>36.1103</t>
  </si>
  <si>
    <t>36.5881</t>
  </si>
  <si>
    <t>36.9387</t>
  </si>
  <si>
    <t>37.6255</t>
  </si>
  <si>
    <t>39.95</t>
  </si>
  <si>
    <t>40.6949</t>
  </si>
  <si>
    <t>42.0187</t>
  </si>
  <si>
    <t>41.7719</t>
  </si>
  <si>
    <t>41.7793</t>
  </si>
  <si>
    <t>42.3296</t>
  </si>
  <si>
    <t>42.335</t>
  </si>
  <si>
    <t>43.2842</t>
  </si>
  <si>
    <t>44.0624</t>
  </si>
  <si>
    <t>43.8049</t>
  </si>
  <si>
    <t>46.1022</t>
  </si>
  <si>
    <t>46.0181</t>
  </si>
  <si>
    <t>46.9048</t>
  </si>
  <si>
    <t>46.1367</t>
  </si>
  <si>
    <t>46.0899</t>
  </si>
  <si>
    <t>47.1968</t>
  </si>
  <si>
    <t>47.7185</t>
  </si>
  <si>
    <t>47.2794</t>
  </si>
  <si>
    <t>46.3839</t>
  </si>
  <si>
    <t>45.8547</t>
  </si>
  <si>
    <t>47.2642</t>
  </si>
  <si>
    <t>49.2152</t>
  </si>
  <si>
    <t>49.6177</t>
  </si>
  <si>
    <t>50.7399</t>
  </si>
  <si>
    <t>50.0747</t>
  </si>
  <si>
    <t>49.8378</t>
  </si>
  <si>
    <t>49.8341</t>
  </si>
  <si>
    <t>49.7491</t>
  </si>
  <si>
    <t>50.1731</t>
  </si>
  <si>
    <t>51.4641</t>
  </si>
  <si>
    <t>51.0638</t>
  </si>
  <si>
    <t>50.914</t>
  </si>
  <si>
    <t>50.3054</t>
  </si>
  <si>
    <t>51.3187</t>
  </si>
  <si>
    <t>51.2335</t>
  </si>
  <si>
    <t>51.0916</t>
  </si>
  <si>
    <t>51.6901</t>
  </si>
  <si>
    <t>52.403</t>
  </si>
  <si>
    <t>51.3296</t>
  </si>
  <si>
    <t>53.2041</t>
  </si>
  <si>
    <t>52.728</t>
  </si>
  <si>
    <t>52.5879</t>
  </si>
  <si>
    <t>53.666</t>
  </si>
  <si>
    <t>54.7653</t>
  </si>
  <si>
    <t>55.3222</t>
  </si>
  <si>
    <t>55.3986</t>
  </si>
  <si>
    <t>56.5106</t>
  </si>
  <si>
    <t>55.5972</t>
  </si>
  <si>
    <t>57.263</t>
  </si>
  <si>
    <t>58.4893</t>
  </si>
  <si>
    <t>58.9573</t>
  </si>
  <si>
    <t>58.6254</t>
  </si>
  <si>
    <t>59.5584</t>
  </si>
  <si>
    <t>61.4567</t>
  </si>
  <si>
    <t>60.7358</t>
  </si>
  <si>
    <t>62.7624</t>
  </si>
  <si>
    <t>62.7895</t>
  </si>
  <si>
    <t>63.8336</t>
  </si>
  <si>
    <t>62.923</t>
  </si>
  <si>
    <t>63.7091</t>
  </si>
  <si>
    <t>62.0198</t>
  </si>
  <si>
    <t>62.1555</t>
  </si>
  <si>
    <t>62.0925</t>
  </si>
  <si>
    <t>61.4248</t>
  </si>
  <si>
    <t>60.5989</t>
  </si>
  <si>
    <t>61.3442</t>
  </si>
  <si>
    <t>60.0475</t>
  </si>
  <si>
    <t>61.3865</t>
  </si>
  <si>
    <t>60.0305</t>
  </si>
  <si>
    <t>60.0231</t>
  </si>
  <si>
    <t>60.1242</t>
  </si>
  <si>
    <t>61.9486</t>
  </si>
  <si>
    <t>63.4751</t>
  </si>
  <si>
    <t>63.4922</t>
  </si>
  <si>
    <t>61.7356</t>
  </si>
  <si>
    <t>60.5284</t>
  </si>
  <si>
    <t>61.3711</t>
  </si>
  <si>
    <t>65.1171</t>
  </si>
  <si>
    <t>64.2827</t>
  </si>
  <si>
    <t>64.0599</t>
  </si>
  <si>
    <t>63.9532</t>
  </si>
  <si>
    <t>63.4806</t>
  </si>
  <si>
    <t>64.3436</t>
  </si>
  <si>
    <t>66.1811</t>
  </si>
  <si>
    <t>65.3014</t>
  </si>
  <si>
    <t>66.1017</t>
  </si>
  <si>
    <t>66.6984</t>
  </si>
  <si>
    <t>68.1744</t>
  </si>
  <si>
    <t>66.9651</t>
  </si>
  <si>
    <t>67.363</t>
  </si>
  <si>
    <t>66.7539</t>
  </si>
  <si>
    <t>66.4211</t>
  </si>
  <si>
    <t>65.7317</t>
  </si>
  <si>
    <t>66.6947</t>
  </si>
  <si>
    <t>67.7113</t>
  </si>
  <si>
    <t>67.1633</t>
  </si>
  <si>
    <t>70.122</t>
  </si>
  <si>
    <t>71.8744</t>
  </si>
  <si>
    <t>68.6746</t>
  </si>
  <si>
    <t>67.3466</t>
  </si>
  <si>
    <t>67.3307</t>
  </si>
  <si>
    <t>64.1457</t>
  </si>
  <si>
    <t>62.8685</t>
  </si>
  <si>
    <t>63.3426</t>
  </si>
  <si>
    <t>63.5369</t>
  </si>
  <si>
    <t>64.3429</t>
  </si>
  <si>
    <t>59.6528</t>
  </si>
  <si>
    <t>60.9087</t>
  </si>
  <si>
    <t>58.8493</t>
  </si>
  <si>
    <t>60.26</t>
  </si>
  <si>
    <t>59.6836</t>
  </si>
  <si>
    <t>62.1574</t>
  </si>
  <si>
    <t>61.3063</t>
  </si>
  <si>
    <t>62.7288</t>
  </si>
  <si>
    <t>62.6493</t>
  </si>
  <si>
    <t>63.3513</t>
  </si>
  <si>
    <t>55.186</t>
  </si>
  <si>
    <t>56.3143</t>
  </si>
  <si>
    <t>57.7534</t>
  </si>
  <si>
    <t>60.2479</t>
  </si>
  <si>
    <t>59.7978</t>
  </si>
  <si>
    <t>61.4996</t>
  </si>
  <si>
    <t>63.1091</t>
  </si>
  <si>
    <t>63.6495</t>
  </si>
  <si>
    <t>65.4045</t>
  </si>
  <si>
    <t>65.8659</t>
  </si>
  <si>
    <t>65.2079</t>
  </si>
  <si>
    <t>64.9129</t>
  </si>
  <si>
    <t>65.5134</t>
  </si>
  <si>
    <t>64.5001</t>
  </si>
  <si>
    <t>64.8573</t>
  </si>
  <si>
    <t>65.815</t>
  </si>
  <si>
    <t>67.4612</t>
  </si>
  <si>
    <t>67.7452</t>
  </si>
  <si>
    <t>66.9584</t>
  </si>
  <si>
    <t>67.4212</t>
  </si>
  <si>
    <t>69.2148</t>
  </si>
  <si>
    <t>67.5252</t>
  </si>
  <si>
    <t>65.9401</t>
  </si>
  <si>
    <t>65.781</t>
  </si>
  <si>
    <t>63.3745</t>
  </si>
  <si>
    <t>61.7909</t>
  </si>
  <si>
    <t>65.5011</t>
  </si>
  <si>
    <t>63.3238</t>
  </si>
  <si>
    <t>64.9921</t>
  </si>
  <si>
    <t>64.7862</t>
  </si>
  <si>
    <t>66.778</t>
  </si>
  <si>
    <t>67.494</t>
  </si>
  <si>
    <t>70.2143</t>
  </si>
  <si>
    <t>72.0476</t>
  </si>
  <si>
    <t>68.778</t>
  </si>
  <si>
    <t>72.8192</t>
  </si>
  <si>
    <t>75.7079</t>
  </si>
  <si>
    <t>77.6292</t>
  </si>
  <si>
    <t>79.1136</t>
  </si>
  <si>
    <t>81.4399</t>
  </si>
  <si>
    <t>81.6211</t>
  </si>
  <si>
    <t>86.0349</t>
  </si>
  <si>
    <t>87.8283</t>
  </si>
  <si>
    <t>87.4668</t>
  </si>
  <si>
    <t>91.1188</t>
  </si>
  <si>
    <t>88.6434</t>
  </si>
  <si>
    <t>93.7539</t>
  </si>
  <si>
    <t>91.0386</t>
  </si>
  <si>
    <t>93.4974</t>
  </si>
  <si>
    <t>95.9476</t>
  </si>
  <si>
    <t>97.1345</t>
  </si>
  <si>
    <t>99.1576</t>
  </si>
  <si>
    <t>96.7799</t>
  </si>
  <si>
    <t>96.2161</t>
  </si>
  <si>
    <t>97.6342</t>
  </si>
  <si>
    <t>99.04</t>
  </si>
  <si>
    <t>98.9141</t>
  </si>
  <si>
    <t>100.4232</t>
  </si>
  <si>
    <t>101.6642</t>
  </si>
  <si>
    <t>101.5765</t>
  </si>
  <si>
    <t>102.5794</t>
  </si>
  <si>
    <t>102.952</t>
  </si>
  <si>
    <t>101.9709</t>
  </si>
  <si>
    <t>95.5437</t>
  </si>
  <si>
    <t>97.0945</t>
  </si>
  <si>
    <t>95.8143</t>
  </si>
  <si>
    <t>95.0056</t>
  </si>
  <si>
    <t>94.5475</t>
  </si>
  <si>
    <t>94.4372</t>
  </si>
  <si>
    <t>92.9649</t>
  </si>
  <si>
    <t>94.1968</t>
  </si>
  <si>
    <t>96.3145</t>
  </si>
  <si>
    <t>94.419</t>
  </si>
  <si>
    <t>92.4912</t>
  </si>
  <si>
    <t>94.322</t>
  </si>
  <si>
    <t>96.5764</t>
  </si>
  <si>
    <t>101.3879</t>
  </si>
  <si>
    <t>103.3582</t>
  </si>
  <si>
    <t>103.8733</t>
  </si>
  <si>
    <t>107.0819</t>
  </si>
  <si>
    <t>106.1034</t>
  </si>
  <si>
    <t>104.9425</t>
  </si>
  <si>
    <t>100.3136</t>
  </si>
  <si>
    <t>104.7838</t>
  </si>
  <si>
    <t>105.7268</t>
  </si>
  <si>
    <t>104.2195</t>
  </si>
  <si>
    <t>99.5692</t>
  </si>
  <si>
    <t>104.8028</t>
  </si>
  <si>
    <t>105.688</t>
  </si>
  <si>
    <t>104.0129</t>
  </si>
  <si>
    <t>108.6852</t>
  </si>
  <si>
    <t>109.0529</t>
  </si>
  <si>
    <t>113.1141</t>
  </si>
  <si>
    <t>116.7505</t>
  </si>
  <si>
    <t>116.4362</t>
  </si>
  <si>
    <t>117.8103</t>
  </si>
  <si>
    <t>122.5986</t>
  </si>
  <si>
    <t>115.4397</t>
  </si>
  <si>
    <t>116.0011</t>
  </si>
  <si>
    <t>105.6407</t>
  </si>
  <si>
    <t>107.2554</t>
  </si>
  <si>
    <t>104.7531</t>
  </si>
  <si>
    <t>102.9156</t>
  </si>
  <si>
    <t>108.4081</t>
  </si>
  <si>
    <t>109.7619</t>
  </si>
  <si>
    <t>111.7841</t>
  </si>
  <si>
    <t>110.3626</t>
  </si>
  <si>
    <t>111.4843</t>
  </si>
  <si>
    <t>107.9058</t>
  </si>
  <si>
    <t>113.4636</t>
  </si>
  <si>
    <t>113.3772</t>
  </si>
  <si>
    <t>112.8883</t>
  </si>
  <si>
    <t>109.0546</t>
  </si>
  <si>
    <t>110.8036</t>
  </si>
  <si>
    <t>111.0479</t>
  </si>
  <si>
    <t>109.3209</t>
  </si>
  <si>
    <t>113.662</t>
  </si>
  <si>
    <t>111.7172</t>
  </si>
  <si>
    <t>113.9533</t>
  </si>
  <si>
    <t>112.9397</t>
  </si>
  <si>
    <t>114.3472</t>
  </si>
  <si>
    <t>113.6588</t>
  </si>
  <si>
    <t>113.2419</t>
  </si>
  <si>
    <t>109.416</t>
  </si>
  <si>
    <t>104.0019</t>
  </si>
  <si>
    <t>104.3883</t>
  </si>
  <si>
    <t>103.1061</t>
  </si>
  <si>
    <t>108.0543</t>
  </si>
  <si>
    <t>102.7741</t>
  </si>
  <si>
    <t>107.023</t>
  </si>
  <si>
    <t>108.6016</t>
  </si>
  <si>
    <t>104.9044</t>
  </si>
  <si>
    <t>105.1812</t>
  </si>
  <si>
    <t>99.868</t>
  </si>
  <si>
    <t>99.3181</t>
  </si>
  <si>
    <t>98.9508</t>
  </si>
  <si>
    <t>100.8167</t>
  </si>
  <si>
    <t>97.4027</t>
  </si>
  <si>
    <t>98.2081</t>
  </si>
  <si>
    <t>99.1382</t>
  </si>
  <si>
    <t>95.0303</t>
  </si>
  <si>
    <t>92.6297</t>
  </si>
  <si>
    <t>92.764</t>
  </si>
  <si>
    <t>89.0733</t>
  </si>
  <si>
    <t>89.9246</t>
  </si>
  <si>
    <t>90.7464</t>
  </si>
  <si>
    <t>90.8605</t>
  </si>
  <si>
    <t>91.8377</t>
  </si>
  <si>
    <t>92.627</t>
  </si>
  <si>
    <t>89.4735</t>
  </si>
  <si>
    <t>88.5352</t>
  </si>
  <si>
    <t>88.0802</t>
  </si>
  <si>
    <t>90.6196</t>
  </si>
  <si>
    <t>88.0502</t>
  </si>
  <si>
    <t>84.6861</t>
  </si>
  <si>
    <t>81.7143</t>
  </si>
  <si>
    <t>83.2956</t>
  </si>
  <si>
    <t>91.4127</t>
  </si>
  <si>
    <t>90.8726</t>
  </si>
  <si>
    <t>89.087</t>
  </si>
  <si>
    <t>87.8555</t>
  </si>
  <si>
    <t>84.4316</t>
  </si>
  <si>
    <t>83.6532</t>
  </si>
  <si>
    <t>79.7413</t>
  </si>
  <si>
    <t>79.6223</t>
  </si>
  <si>
    <t>72.0915</t>
  </si>
  <si>
    <t>75.4387</t>
  </si>
  <si>
    <t>70.333</t>
  </si>
  <si>
    <t>67.0303</t>
  </si>
  <si>
    <t>65.7848</t>
  </si>
  <si>
    <t>66.2118</t>
  </si>
  <si>
    <t>64.4709</t>
  </si>
  <si>
    <t>66.359</t>
  </si>
  <si>
    <t>65.2496</t>
  </si>
  <si>
    <t>67.0667</t>
  </si>
  <si>
    <t>66.5993</t>
  </si>
  <si>
    <t>67.0019</t>
  </si>
  <si>
    <t>68.5476</t>
  </si>
  <si>
    <t>74.0941</t>
  </si>
  <si>
    <t>73.7881</t>
  </si>
  <si>
    <t>73.0466</t>
  </si>
  <si>
    <t>76.3575</t>
  </si>
  <si>
    <t>74.4006</t>
  </si>
  <si>
    <t>76.0227</t>
  </si>
  <si>
    <t>77.5011</t>
  </si>
  <si>
    <t>81.1524</t>
  </si>
  <si>
    <t>75.2781</t>
  </si>
  <si>
    <t>71.821</t>
  </si>
  <si>
    <t>72.854</t>
  </si>
  <si>
    <t>75.7242</t>
  </si>
  <si>
    <t>78.135</t>
  </si>
  <si>
    <t>83.1419</t>
  </si>
  <si>
    <t>85.0687</t>
  </si>
  <si>
    <t>85.309</t>
  </si>
  <si>
    <t>84.6764</t>
  </si>
  <si>
    <t>88.0213</t>
  </si>
  <si>
    <t>85.6253</t>
  </si>
  <si>
    <t>88.4371</t>
  </si>
  <si>
    <t>87.0032</t>
  </si>
  <si>
    <t>87.0837</t>
  </si>
  <si>
    <t>88.2457</t>
  </si>
  <si>
    <t>89.9</t>
  </si>
  <si>
    <t>88.9041</t>
  </si>
  <si>
    <t>87.2196</t>
  </si>
  <si>
    <t>87.4912</t>
  </si>
  <si>
    <t>85.767</t>
  </si>
  <si>
    <t>84.4504</t>
  </si>
  <si>
    <t>84.5719</t>
  </si>
  <si>
    <t>84.021</t>
  </si>
  <si>
    <t>78.9149</t>
  </si>
  <si>
    <t>63.3785</t>
  </si>
  <si>
    <t>64.3796</t>
  </si>
  <si>
    <t>65.9242</t>
  </si>
  <si>
    <t>69.3398</t>
  </si>
  <si>
    <t>69.0416</t>
  </si>
  <si>
    <t>69.7946</t>
  </si>
  <si>
    <t>68.4245</t>
  </si>
  <si>
    <t>68.4238</t>
  </si>
  <si>
    <t>69.5513</t>
  </si>
  <si>
    <t>67.6995</t>
  </si>
  <si>
    <t>70.7182</t>
  </si>
  <si>
    <t>70.2273</t>
  </si>
  <si>
    <t>68.3678</t>
  </si>
  <si>
    <t>66.5542</t>
  </si>
  <si>
    <t>62.6461</t>
  </si>
  <si>
    <t>66.5941</t>
  </si>
  <si>
    <t>67.3579</t>
  </si>
  <si>
    <t>67.706</t>
  </si>
  <si>
    <t>67.9596</t>
  </si>
  <si>
    <t>69.1407</t>
  </si>
  <si>
    <t>72.0848</t>
  </si>
  <si>
    <t>72.2267</t>
  </si>
  <si>
    <t>74.0643</t>
  </si>
  <si>
    <t>75.4251</t>
  </si>
  <si>
    <t>74.6467</t>
  </si>
  <si>
    <t>74.638</t>
  </si>
  <si>
    <t>74.438</t>
  </si>
  <si>
    <t>74.6261</t>
  </si>
  <si>
    <t>77.3613</t>
  </si>
  <si>
    <t>79.2744</t>
  </si>
  <si>
    <t>79.4441</t>
  </si>
  <si>
    <t>80.8588</t>
  </si>
  <si>
    <t>82.4442</t>
  </si>
  <si>
    <t>83.1943</t>
  </si>
  <si>
    <t>80.806</t>
  </si>
  <si>
    <t>78.8548</t>
  </si>
  <si>
    <t>76.9871</t>
  </si>
  <si>
    <t>73.6247</t>
  </si>
  <si>
    <t>73.5514</t>
  </si>
  <si>
    <t>75.8786</t>
  </si>
  <si>
    <t>75.5836</t>
  </si>
  <si>
    <t>71.5804</t>
  </si>
  <si>
    <t>68.6939</t>
  </si>
  <si>
    <t>74.7805</t>
  </si>
  <si>
    <t>77.9409</t>
  </si>
  <si>
    <t>76.3334</t>
  </si>
  <si>
    <t>73.9091</t>
  </si>
  <si>
    <t>75.1597</t>
  </si>
  <si>
    <t>72.7443</t>
  </si>
  <si>
    <t>70.7201</t>
  </si>
  <si>
    <t>68.9871</t>
  </si>
  <si>
    <t>68.5857</t>
  </si>
  <si>
    <t>70.6694</t>
  </si>
  <si>
    <t>69.4535</t>
  </si>
  <si>
    <t>70.4851</t>
  </si>
  <si>
    <t>66.9917</t>
  </si>
  <si>
    <t>65.5821</t>
  </si>
  <si>
    <t>65.8859</t>
  </si>
  <si>
    <t>69.2462</t>
  </si>
  <si>
    <t>71.1571</t>
  </si>
  <si>
    <t>70.3213</t>
  </si>
  <si>
    <t>73.7619</t>
  </si>
  <si>
    <t>69.4704</t>
  </si>
  <si>
    <t>71.6715</t>
  </si>
  <si>
    <t>70.2191</t>
  </si>
  <si>
    <t>73.5189</t>
  </si>
  <si>
    <t>75.8682</t>
  </si>
  <si>
    <t>76.1349</t>
  </si>
  <si>
    <t>75.4339</t>
  </si>
  <si>
    <t>77.9429</t>
  </si>
  <si>
    <t>76.2297</t>
  </si>
  <si>
    <t>77.3124</t>
  </si>
  <si>
    <t>81.1546</t>
  </si>
  <si>
    <t>82.0384</t>
  </si>
  <si>
    <t>83.5785</t>
  </si>
  <si>
    <t>83.3846</t>
  </si>
  <si>
    <t>82.5716</t>
  </si>
  <si>
    <t>84.0611</t>
  </si>
  <si>
    <t>79.359</t>
  </si>
  <si>
    <t>76.1745</t>
  </si>
  <si>
    <t>77.2519</t>
  </si>
  <si>
    <t>75.5223</t>
  </si>
  <si>
    <t>75.7445</t>
  </si>
  <si>
    <t>75.2533</t>
  </si>
  <si>
    <t>71.1112</t>
  </si>
  <si>
    <t>71.7601</t>
  </si>
  <si>
    <t>70.1373</t>
  </si>
  <si>
    <t>68.5184</t>
  </si>
  <si>
    <t>71.5033</t>
  </si>
  <si>
    <t>75.4159</t>
  </si>
  <si>
    <t>75.9214</t>
  </si>
  <si>
    <t>77.1903</t>
  </si>
  <si>
    <t>74.9434</t>
  </si>
  <si>
    <t>74.9346</t>
  </si>
  <si>
    <t>73.4089</t>
  </si>
  <si>
    <t>74.2744</t>
  </si>
  <si>
    <t>71.9875</t>
  </si>
  <si>
    <t>66.139</t>
  </si>
  <si>
    <t>66.8669</t>
  </si>
  <si>
    <t>68.3346</t>
  </si>
  <si>
    <t>67.9384</t>
  </si>
  <si>
    <t>65.8716</t>
  </si>
  <si>
    <t>66.1466</t>
  </si>
  <si>
    <t>67.0917</t>
  </si>
  <si>
    <t>66.1224</t>
  </si>
  <si>
    <t>64.6555</t>
  </si>
  <si>
    <t>63.7118</t>
  </si>
  <si>
    <t>64.2087</t>
  </si>
  <si>
    <t>65.4413</t>
  </si>
  <si>
    <t>65.5737</t>
  </si>
  <si>
    <t>66.5552</t>
  </si>
  <si>
    <t>67.7329</t>
  </si>
  <si>
    <t>66.8401</t>
  </si>
  <si>
    <t>68.2606</t>
  </si>
  <si>
    <t>67.8492</t>
  </si>
  <si>
    <t>70.7643</t>
  </si>
  <si>
    <t>69.6137</t>
  </si>
  <si>
    <t>67.0691</t>
  </si>
  <si>
    <t>67.8369</t>
  </si>
  <si>
    <t>65.8579</t>
  </si>
  <si>
    <t>67.9159</t>
  </si>
  <si>
    <t>66.8154</t>
  </si>
  <si>
    <t>66.0719</t>
  </si>
  <si>
    <t>68.9799</t>
  </si>
  <si>
    <t>65.1073</t>
  </si>
  <si>
    <t>62.3081</t>
  </si>
  <si>
    <t>63.6391</t>
  </si>
  <si>
    <t>61.3647</t>
  </si>
  <si>
    <t>58.3859</t>
  </si>
  <si>
    <t>58.8668</t>
  </si>
  <si>
    <t>60.2198</t>
  </si>
  <si>
    <t>62.2092</t>
  </si>
  <si>
    <t>61.7837</t>
  </si>
  <si>
    <t>63.6081</t>
  </si>
  <si>
    <t>62.2175</t>
  </si>
  <si>
    <t>63.2321</t>
  </si>
  <si>
    <t>62.88</t>
  </si>
  <si>
    <t>62.6448</t>
  </si>
  <si>
    <t>64.3346</t>
  </si>
  <si>
    <t>63.5889</t>
  </si>
  <si>
    <t>61.1569</t>
  </si>
  <si>
    <t>57.8467</t>
  </si>
  <si>
    <t>57.9325</t>
  </si>
  <si>
    <t>57.4734</t>
  </si>
  <si>
    <t>55.9376</t>
  </si>
  <si>
    <t>57.3859</t>
  </si>
  <si>
    <t>56.7366</t>
  </si>
  <si>
    <t>60.9502</t>
  </si>
  <si>
    <t>62.0686</t>
  </si>
  <si>
    <t>62.1176</t>
  </si>
  <si>
    <t>61.6421</t>
  </si>
  <si>
    <t>58.8918</t>
  </si>
  <si>
    <t>57.986</t>
  </si>
  <si>
    <t>57.507</t>
  </si>
  <si>
    <t>56.3817</t>
  </si>
  <si>
    <t>56.2789</t>
  </si>
  <si>
    <t>55.7377</t>
  </si>
  <si>
    <t>55.6502</t>
  </si>
  <si>
    <t>57.1808</t>
  </si>
  <si>
    <t>56.9378</t>
  </si>
  <si>
    <t>60.9396</t>
  </si>
  <si>
    <t>62.1794</t>
  </si>
  <si>
    <t>60.3937</t>
  </si>
  <si>
    <t>60.1213</t>
  </si>
  <si>
    <t>59.4619</t>
  </si>
  <si>
    <t>60.145</t>
  </si>
  <si>
    <t>58.4833</t>
  </si>
  <si>
    <t>58.2539</t>
  </si>
  <si>
    <t>60.5106</t>
  </si>
  <si>
    <t>60.7423</t>
  </si>
  <si>
    <t>60.8514</t>
  </si>
  <si>
    <t>58.4869</t>
  </si>
  <si>
    <t>58.6623</t>
  </si>
  <si>
    <t>58.7271</t>
  </si>
  <si>
    <t>56.9154</t>
  </si>
  <si>
    <t>56.6325</t>
  </si>
  <si>
    <t>58.1485</t>
  </si>
  <si>
    <t>58.3248</t>
  </si>
  <si>
    <t>58.2309</t>
  </si>
  <si>
    <t>57.7278</t>
  </si>
  <si>
    <t>56.7432</t>
  </si>
  <si>
    <t>55.9043</t>
  </si>
  <si>
    <t>53.8382</t>
  </si>
  <si>
    <t>51.1727</t>
  </si>
  <si>
    <t>49.0496</t>
  </si>
  <si>
    <t>47.6399</t>
  </si>
  <si>
    <t>49.1454</t>
  </si>
  <si>
    <t>49.3079</t>
  </si>
  <si>
    <t>48.14</t>
  </si>
  <si>
    <t>49.2609</t>
  </si>
  <si>
    <t>48.4478</t>
  </si>
  <si>
    <t>48.6207</t>
  </si>
  <si>
    <t>47.4805</t>
  </si>
  <si>
    <t>46.7075</t>
  </si>
  <si>
    <t>47.3973</t>
  </si>
  <si>
    <t>48.6465</t>
  </si>
  <si>
    <t>48.9823</t>
  </si>
  <si>
    <t>49.8044</t>
  </si>
  <si>
    <t>50.2778</t>
  </si>
  <si>
    <t>49.8846</t>
  </si>
  <si>
    <t>50.1078</t>
  </si>
  <si>
    <t>50.4432</t>
  </si>
  <si>
    <t>50.5905</t>
  </si>
  <si>
    <t>52.0966</t>
  </si>
  <si>
    <t>53.2551</t>
  </si>
  <si>
    <t>52.3549</t>
  </si>
  <si>
    <t>52.1006</t>
  </si>
  <si>
    <t>50.6238</t>
  </si>
  <si>
    <t>50.2046</t>
  </si>
  <si>
    <t>51.1732</t>
  </si>
  <si>
    <t>51.9808</t>
  </si>
  <si>
    <t>51.4563</t>
  </si>
  <si>
    <t>50.2026</t>
  </si>
  <si>
    <t>49.4689</t>
  </si>
  <si>
    <t>49.1775</t>
  </si>
  <si>
    <t>48.3315</t>
  </si>
  <si>
    <t>47.4647</t>
  </si>
  <si>
    <t>48.3329</t>
  </si>
  <si>
    <t>49.2747</t>
  </si>
  <si>
    <t>51.5621</t>
  </si>
  <si>
    <t>52.8545</t>
  </si>
  <si>
    <t>51.2286</t>
  </si>
  <si>
    <t>53.0925</t>
  </si>
  <si>
    <t>50.0938</t>
  </si>
  <si>
    <t>47.6168</t>
  </si>
  <si>
    <t>47.6146</t>
  </si>
  <si>
    <t>47.8427</t>
  </si>
  <si>
    <t>46.3102</t>
  </si>
  <si>
    <t>45.963</t>
  </si>
  <si>
    <t>47.9564</t>
  </si>
  <si>
    <t>48.6759</t>
  </si>
  <si>
    <t>50.1216</t>
  </si>
  <si>
    <t>50.3074</t>
  </si>
  <si>
    <t>49.2122</t>
  </si>
  <si>
    <t>50.4146</t>
  </si>
  <si>
    <t>49.513</t>
  </si>
  <si>
    <t>48.7438</t>
  </si>
  <si>
    <t>49.1012</t>
  </si>
  <si>
    <t>49.4654</t>
  </si>
  <si>
    <t>49.3426</t>
  </si>
  <si>
    <t>48.9362</t>
  </si>
  <si>
    <t>48.763</t>
  </si>
  <si>
    <t>47.2621</t>
  </si>
  <si>
    <t>47.8086</t>
  </si>
  <si>
    <t>46.7818</t>
  </si>
  <si>
    <t>44.8043</t>
  </si>
  <si>
    <t>45.5249</t>
  </si>
  <si>
    <t>46.0399</t>
  </si>
  <si>
    <t>45.7502</t>
  </si>
  <si>
    <t>45.2186</t>
  </si>
  <si>
    <t>44.8176</t>
  </si>
  <si>
    <t>42.9651</t>
  </si>
  <si>
    <t>42.1692</t>
  </si>
  <si>
    <t>41.5256</t>
  </si>
  <si>
    <t>41.0218</t>
  </si>
  <si>
    <t>40.1407</t>
  </si>
  <si>
    <t>40.8204</t>
  </si>
  <si>
    <t>39.5612</t>
  </si>
  <si>
    <t>40.4896</t>
  </si>
  <si>
    <t>40.032</t>
  </si>
  <si>
    <t>39.3717</t>
  </si>
  <si>
    <t>39.5441</t>
  </si>
  <si>
    <t>39.6672</t>
  </si>
  <si>
    <t>39.9136</t>
  </si>
  <si>
    <t>40.2129</t>
  </si>
  <si>
    <t>43.064</t>
  </si>
  <si>
    <t>42.3805</t>
  </si>
  <si>
    <t>42.9716</t>
  </si>
  <si>
    <t>44.2193</t>
  </si>
  <si>
    <t>44.0306</t>
  </si>
  <si>
    <t>43.3338</t>
  </si>
  <si>
    <t>45.5177</t>
  </si>
  <si>
    <t>42.8107</t>
  </si>
  <si>
    <t>42.7471</t>
  </si>
  <si>
    <t>42.5547</t>
  </si>
  <si>
    <t>41.9147</t>
  </si>
  <si>
    <t>41.1456</t>
  </si>
  <si>
    <t>40.5368</t>
  </si>
  <si>
    <t>41.3535</t>
  </si>
  <si>
    <t>42.6105</t>
  </si>
  <si>
    <t>42.1205</t>
  </si>
  <si>
    <t>44.3515</t>
  </si>
  <si>
    <t>46.4279</t>
  </si>
  <si>
    <t>43.8084</t>
  </si>
  <si>
    <t>42.9469</t>
  </si>
  <si>
    <t>42.5231</t>
  </si>
  <si>
    <t>43.0457</t>
  </si>
  <si>
    <t>43.633</t>
  </si>
  <si>
    <t>42.2248</t>
  </si>
  <si>
    <t>41.3118</t>
  </si>
  <si>
    <t>41.0745</t>
  </si>
  <si>
    <t>41.7922</t>
  </si>
  <si>
    <t>38.5587</t>
  </si>
  <si>
    <t>39.1709</t>
  </si>
  <si>
    <t>37.7691</t>
  </si>
  <si>
    <t>39.3184</t>
  </si>
  <si>
    <t>41.461</t>
  </si>
  <si>
    <t>41.5077</t>
  </si>
  <si>
    <t>41.4208</t>
  </si>
  <si>
    <t>42.8351</t>
  </si>
  <si>
    <t>42.7986</t>
  </si>
  <si>
    <t>42.8442</t>
  </si>
  <si>
    <t>42.8202</t>
  </si>
  <si>
    <t>42.1608</t>
  </si>
  <si>
    <t>41.9455</t>
  </si>
  <si>
    <t>41.8234</t>
  </si>
  <si>
    <t>42.7501</t>
  </si>
  <si>
    <t>43.4869</t>
  </si>
  <si>
    <t>43.3549</t>
  </si>
  <si>
    <t>46.7314</t>
  </si>
  <si>
    <t>47.2151</t>
  </si>
  <si>
    <t>48.0707</t>
  </si>
  <si>
    <t>49.532</t>
  </si>
  <si>
    <t>50.6565</t>
  </si>
  <si>
    <t>49.9175</t>
  </si>
  <si>
    <t>50.4375</t>
  </si>
  <si>
    <t>52.3823</t>
  </si>
  <si>
    <t>52.0981</t>
  </si>
  <si>
    <t>51.6837</t>
  </si>
  <si>
    <t>51.3272</t>
  </si>
  <si>
    <t>50.8974</t>
  </si>
  <si>
    <t>50.2542</t>
  </si>
  <si>
    <t>50.9502</t>
  </si>
  <si>
    <t>50.4608</t>
  </si>
  <si>
    <t>50.3101</t>
  </si>
  <si>
    <t>51.44</t>
  </si>
  <si>
    <t>49.889</t>
  </si>
  <si>
    <t>50.4891</t>
  </si>
  <si>
    <t>50.5453</t>
  </si>
  <si>
    <t>50.8682</t>
  </si>
  <si>
    <t>50.8257</t>
  </si>
  <si>
    <t>50.1416</t>
  </si>
  <si>
    <t>49.6287</t>
  </si>
  <si>
    <t>51.3363</t>
  </si>
  <si>
    <t>50.4687</t>
  </si>
  <si>
    <t>50.8018</t>
  </si>
  <si>
    <t>50.1349</t>
  </si>
  <si>
    <t>49.3125</t>
  </si>
  <si>
    <t>48.8891</t>
  </si>
  <si>
    <t>48.8929</t>
  </si>
  <si>
    <t>48.6705</t>
  </si>
  <si>
    <t>48.8072</t>
  </si>
  <si>
    <t>48.4759</t>
  </si>
  <si>
    <t>48.3507</t>
  </si>
  <si>
    <t>49.3682</t>
  </si>
  <si>
    <t>49.7695</t>
  </si>
  <si>
    <t>50.8834</t>
  </si>
  <si>
    <t>48.1053</t>
  </si>
  <si>
    <t>45.1561</t>
  </si>
  <si>
    <t>44.8879</t>
  </si>
  <si>
    <t>45.1285</t>
  </si>
  <si>
    <t>48.3743</t>
  </si>
  <si>
    <t>48.895</t>
  </si>
  <si>
    <t>50.7032</t>
  </si>
  <si>
    <t>50.9513</t>
  </si>
  <si>
    <t>50.1067</t>
  </si>
  <si>
    <t>51.401</t>
  </si>
  <si>
    <t>51.1864</t>
  </si>
  <si>
    <t>50.2076</t>
  </si>
  <si>
    <t>49.7508</t>
  </si>
  <si>
    <t>47.8882</t>
  </si>
  <si>
    <t>48.5483</t>
  </si>
  <si>
    <t>46.786</t>
  </si>
  <si>
    <t>47.2284</t>
  </si>
  <si>
    <t>47.0579</t>
  </si>
  <si>
    <t>45.4729</t>
  </si>
  <si>
    <t>45.0609</t>
  </si>
  <si>
    <t>45.6461</t>
  </si>
  <si>
    <t>48.0786</t>
  </si>
  <si>
    <t>48.7991</t>
  </si>
  <si>
    <t>48.9444</t>
  </si>
  <si>
    <t>47.8856</t>
  </si>
  <si>
    <t>46.2546</t>
  </si>
  <si>
    <t>47.2712</t>
  </si>
  <si>
    <t>48.8843</t>
  </si>
  <si>
    <t>49.0392</t>
  </si>
  <si>
    <t>48.4496</t>
  </si>
  <si>
    <t>48.2239</t>
  </si>
  <si>
    <t>47.6386</t>
  </si>
  <si>
    <t>45.5145</t>
  </si>
  <si>
    <t>44.9073</t>
  </si>
  <si>
    <t>42.1938</t>
  </si>
  <si>
    <t>41.6932</t>
  </si>
  <si>
    <t>40.8787</t>
  </si>
  <si>
    <t>37.7765</t>
  </si>
  <si>
    <t>37.806</t>
  </si>
  <si>
    <t>37.0402</t>
  </si>
  <si>
    <t>37.0766</t>
  </si>
  <si>
    <t>36.4657</t>
  </si>
  <si>
    <t>35.9499</t>
  </si>
  <si>
    <t>33.9524</t>
  </si>
  <si>
    <t>31.4988</t>
  </si>
  <si>
    <t>30.3553</t>
  </si>
  <si>
    <t>30.6169</t>
  </si>
  <si>
    <t>26.7196</t>
  </si>
  <si>
    <t>29.5653</t>
  </si>
  <si>
    <t>27.4196</t>
  </si>
  <si>
    <t>25.1263</t>
  </si>
  <si>
    <t>26.1217</t>
  </si>
  <si>
    <t>25.7751</t>
  </si>
  <si>
    <t>25.5689</t>
  </si>
  <si>
    <t>23.4295</t>
  </si>
  <si>
    <t>23.7809</t>
  </si>
  <si>
    <t>25.8752</t>
  </si>
  <si>
    <t>27.1938</t>
  </si>
  <si>
    <t>26.5764</t>
  </si>
  <si>
    <t>25.7964</t>
  </si>
  <si>
    <t>27.0788</t>
  </si>
  <si>
    <t>26.7624</t>
  </si>
  <si>
    <t>25.6152</t>
  </si>
  <si>
    <t>25.6345</t>
  </si>
  <si>
    <t>25.234</t>
  </si>
  <si>
    <t>26.3165</t>
  </si>
  <si>
    <t>26.4211</t>
  </si>
  <si>
    <t>25.7893</t>
  </si>
  <si>
    <t>27.0467</t>
  </si>
  <si>
    <t>28.5966</t>
  </si>
  <si>
    <t>27.4221</t>
  </si>
  <si>
    <t>26.6587</t>
  </si>
  <si>
    <t>27.9306</t>
  </si>
  <si>
    <t>28.1687</t>
  </si>
  <si>
    <t>27.9319</t>
  </si>
  <si>
    <t>26.8028</t>
  </si>
  <si>
    <t>26.6705</t>
  </si>
  <si>
    <t>28.222</t>
  </si>
  <si>
    <t>27.7497</t>
  </si>
  <si>
    <t>27.7275</t>
  </si>
  <si>
    <t>28.3487</t>
  </si>
  <si>
    <t>27.3458</t>
  </si>
  <si>
    <t>27.2776</t>
  </si>
  <si>
    <t>27.5048</t>
  </si>
  <si>
    <t>26.656</t>
  </si>
  <si>
    <t>27.2021</t>
  </si>
  <si>
    <t>27.466</t>
  </si>
  <si>
    <t>27.5153</t>
  </si>
  <si>
    <t>27.642</t>
  </si>
  <si>
    <t>27.0614</t>
  </si>
  <si>
    <t>27.126</t>
  </si>
  <si>
    <t>28.258</t>
  </si>
  <si>
    <t>28.4863</t>
  </si>
  <si>
    <t>29.5525</t>
  </si>
  <si>
    <t>29.6037</t>
  </si>
  <si>
    <t>33.3406</t>
  </si>
  <si>
    <t>33.921</t>
  </si>
  <si>
    <t>32.8122</t>
  </si>
  <si>
    <t>33.6178</t>
  </si>
  <si>
    <t>33.4369</t>
  </si>
  <si>
    <t>34.2798</t>
  </si>
  <si>
    <t>33.9613</t>
  </si>
  <si>
    <t>35.0284</t>
  </si>
  <si>
    <t>34.2378</t>
  </si>
  <si>
    <t>33.8135</t>
  </si>
  <si>
    <t>33.861</t>
  </si>
  <si>
    <t>33.1581</t>
  </si>
  <si>
    <t>33.4983</t>
  </si>
  <si>
    <t>33.3827</t>
  </si>
  <si>
    <t>33.2133</t>
  </si>
  <si>
    <t>32.8096</t>
  </si>
  <si>
    <t>33.0476</t>
  </si>
  <si>
    <t>32.5987</t>
  </si>
  <si>
    <t>32.6345</t>
  </si>
  <si>
    <t>32.1931</t>
  </si>
  <si>
    <t>31.8853</t>
  </si>
  <si>
    <t>31.9249</t>
  </si>
  <si>
    <t>31.9319</t>
  </si>
  <si>
    <t>31.9008</t>
  </si>
  <si>
    <t>31.7591</t>
  </si>
  <si>
    <t>31.458</t>
  </si>
  <si>
    <t>31.2243</t>
  </si>
  <si>
    <t>30.1744</t>
  </si>
  <si>
    <t>29.2681</t>
  </si>
  <si>
    <t>28.298</t>
  </si>
  <si>
    <t>28.9388</t>
  </si>
  <si>
    <t>29.7375</t>
  </si>
  <si>
    <t>29.9946</t>
  </si>
  <si>
    <t>29.6191</t>
  </si>
  <si>
    <t>30.1539</t>
  </si>
  <si>
    <t>29.9066</t>
  </si>
  <si>
    <t>29.6477</t>
  </si>
  <si>
    <t>28.8443</t>
  </si>
  <si>
    <t>28.6203</t>
  </si>
  <si>
    <t>28.4514</t>
  </si>
  <si>
    <t>28.1317</t>
  </si>
  <si>
    <t>27.3139</t>
  </si>
  <si>
    <t>25.7611</t>
  </si>
  <si>
    <t>24.8508</t>
  </si>
  <si>
    <t>24.5581</t>
  </si>
  <si>
    <t>24.5628</t>
  </si>
  <si>
    <t>23.9894</t>
  </si>
  <si>
    <t>21.98</t>
  </si>
  <si>
    <t>22.9429</t>
  </si>
  <si>
    <t>22.2057</t>
  </si>
  <si>
    <t>25.4981</t>
  </si>
  <si>
    <t>25.6119</t>
  </si>
  <si>
    <t>24.2814</t>
  </si>
  <si>
    <t>24.3751</t>
  </si>
  <si>
    <t>23.3146</t>
  </si>
  <si>
    <t>23.3765</t>
  </si>
  <si>
    <t>24.2996</t>
  </si>
  <si>
    <t>24.752</t>
  </si>
  <si>
    <t>24.3932</t>
  </si>
  <si>
    <t>24.5418</t>
  </si>
  <si>
    <t>24.648</t>
  </si>
  <si>
    <t>23.9108</t>
  </si>
  <si>
    <t>24.4487</t>
  </si>
  <si>
    <t>23.6642</t>
  </si>
  <si>
    <t>22.8758</t>
  </si>
  <si>
    <t>22.9116</t>
  </si>
  <si>
    <t>22.9846</t>
  </si>
  <si>
    <t>22.7249</t>
  </si>
  <si>
    <t>22.8715</t>
  </si>
  <si>
    <t>23.284</t>
  </si>
  <si>
    <t>23.1812</t>
  </si>
  <si>
    <t>22.9296</t>
  </si>
  <si>
    <t>23.5507</t>
  </si>
  <si>
    <t>23.246</t>
  </si>
  <si>
    <t>22.7965</t>
  </si>
  <si>
    <t>22.5334</t>
  </si>
  <si>
    <t>22.8101</t>
  </si>
  <si>
    <t>22.4494</t>
  </si>
  <si>
    <t>22.383</t>
  </si>
  <si>
    <t>22.7131</t>
  </si>
  <si>
    <t>22.9659</t>
  </si>
  <si>
    <t>22.7276</t>
  </si>
  <si>
    <t>23.0621</t>
  </si>
  <si>
    <t>22.489</t>
  </si>
  <si>
    <t>21.8424</t>
  </si>
  <si>
    <t>22.1085</t>
  </si>
  <si>
    <t>22.356</t>
  </si>
  <si>
    <t>22.4684</t>
  </si>
  <si>
    <t>22.4506</t>
  </si>
  <si>
    <t>22.4118</t>
  </si>
  <si>
    <t>22.5591</t>
  </si>
  <si>
    <t>22.3627</t>
  </si>
  <si>
    <t>21.9786</t>
  </si>
  <si>
    <t>22.272</t>
  </si>
  <si>
    <t>22.1816</t>
  </si>
  <si>
    <t>22.0167</t>
  </si>
  <si>
    <t>21.725</t>
  </si>
  <si>
    <t>21.8085</t>
  </si>
  <si>
    <t>21.9193</t>
  </si>
  <si>
    <t>21.8595</t>
  </si>
  <si>
    <t>21.5535</t>
  </si>
  <si>
    <t>21.75</t>
  </si>
  <si>
    <t>21.3546</t>
  </si>
  <si>
    <t>20.0711</t>
  </si>
  <si>
    <t>19.0336</t>
  </si>
  <si>
    <t>18.5353</t>
  </si>
  <si>
    <t>18.009</t>
  </si>
  <si>
    <t>18.5319</t>
  </si>
  <si>
    <t>18.3774</t>
  </si>
  <si>
    <t>19.0609</t>
  </si>
  <si>
    <t>18.3939</t>
  </si>
  <si>
    <t>18.3905</t>
  </si>
  <si>
    <t>21.2437</t>
  </si>
  <si>
    <t>23.5041</t>
  </si>
  <si>
    <t>24.2049</t>
  </si>
  <si>
    <t>24.9905</t>
  </si>
  <si>
    <t>24.7143</t>
  </si>
  <si>
    <t>25.521</t>
  </si>
  <si>
    <t>24.5801</t>
  </si>
  <si>
    <t>25.3311</t>
  </si>
  <si>
    <t>25.4672</t>
  </si>
  <si>
    <t>26.2598</t>
  </si>
  <si>
    <t>26.1066</t>
  </si>
  <si>
    <t>25.8926</t>
  </si>
  <si>
    <t>25.7928</t>
  </si>
  <si>
    <t>26.5458</t>
  </si>
  <si>
    <t>25.6335</t>
  </si>
  <si>
    <t>27.3534</t>
  </si>
  <si>
    <t>26.7833</t>
  </si>
  <si>
    <t>26.2939</t>
  </si>
  <si>
    <t>26.5192</t>
  </si>
  <si>
    <t>26.3182</t>
  </si>
  <si>
    <t>26.0792</t>
  </si>
  <si>
    <t>26.6801</t>
  </si>
  <si>
    <t>26.4938</t>
  </si>
  <si>
    <t>26.3676</t>
  </si>
  <si>
    <t>27.1986</t>
  </si>
  <si>
    <t>27.0694</t>
  </si>
  <si>
    <t>27.2639</t>
  </si>
  <si>
    <t>27.5509</t>
  </si>
  <si>
    <t>27.856</t>
  </si>
  <si>
    <t>26.3231</t>
  </si>
  <si>
    <t>27.1207</t>
  </si>
  <si>
    <t>26.9532</t>
  </si>
  <si>
    <t>27.7008</t>
  </si>
  <si>
    <t>27.6462</t>
  </si>
  <si>
    <t>28.6705</t>
  </si>
  <si>
    <t>28.7612</t>
  </si>
  <si>
    <t>29.0108</t>
  </si>
  <si>
    <t>27.2827</t>
  </si>
  <si>
    <t>26.9999</t>
  </si>
  <si>
    <t>28.0105</t>
  </si>
  <si>
    <t>28.2531</t>
  </si>
  <si>
    <t>29.72</t>
  </si>
  <si>
    <t>29.0266</t>
  </si>
  <si>
    <t>29.0253</t>
  </si>
  <si>
    <t>29.8784</t>
  </si>
  <si>
    <t>30.0995</t>
  </si>
  <si>
    <t>30.6538</t>
  </si>
  <si>
    <t>30.514</t>
  </si>
  <si>
    <t>29.6046</t>
  </si>
  <si>
    <t>29.3192</t>
  </si>
  <si>
    <t>29.4229</t>
  </si>
  <si>
    <t>28.7092</t>
  </si>
  <si>
    <t>28.6553</t>
  </si>
  <si>
    <t>27.4206</t>
  </si>
  <si>
    <t>28.2276</t>
  </si>
  <si>
    <t>27.7574</t>
  </si>
  <si>
    <t>27.5841</t>
  </si>
  <si>
    <t>28.5204</t>
  </si>
  <si>
    <t>28.6765</t>
  </si>
  <si>
    <t>29.6399</t>
  </si>
  <si>
    <t>29.2808</t>
  </si>
  <si>
    <t>29.2328</t>
  </si>
  <si>
    <t>29.1523</t>
  </si>
  <si>
    <t>29.209</t>
  </si>
  <si>
    <t>29.3508</t>
  </si>
  <si>
    <t>29.1715</t>
  </si>
  <si>
    <t>30.3001</t>
  </si>
  <si>
    <t>30.6847</t>
  </si>
  <si>
    <t>30.9056</t>
  </si>
  <si>
    <t>30.9288</t>
  </si>
  <si>
    <t>31.1694</t>
  </si>
  <si>
    <t>32.0162</t>
  </si>
  <si>
    <t>31.2864</t>
  </si>
  <si>
    <t>32.7638</t>
  </si>
  <si>
    <t>33.1556</t>
  </si>
  <si>
    <t>33.6147</t>
  </si>
  <si>
    <t>36.5632</t>
  </si>
  <si>
    <t>36.8338</t>
  </si>
  <si>
    <t>36.1136</t>
  </si>
  <si>
    <t>36.0553</t>
  </si>
  <si>
    <t>36.1762</t>
  </si>
  <si>
    <t>35.0902</t>
  </si>
  <si>
    <t>35.3911</t>
  </si>
  <si>
    <t>35.5654</t>
  </si>
  <si>
    <t>35.088</t>
  </si>
  <si>
    <t>34.9759</t>
  </si>
  <si>
    <t>35.1782</t>
  </si>
  <si>
    <t>34.9988</t>
  </si>
  <si>
    <t>33.3997</t>
  </si>
  <si>
    <t>33.6473</t>
  </si>
  <si>
    <t>27.4595</t>
  </si>
  <si>
    <t>28.1388</t>
  </si>
  <si>
    <t>29.4113</t>
  </si>
  <si>
    <t>28.8781</t>
  </si>
  <si>
    <t>28.6014</t>
  </si>
  <si>
    <t>27.9277</t>
  </si>
  <si>
    <t>28.4792</t>
  </si>
  <si>
    <t>27.7965</t>
  </si>
  <si>
    <t>28.4158</t>
  </si>
  <si>
    <t>28.7405</t>
  </si>
  <si>
    <t>28.0888</t>
  </si>
  <si>
    <t>28.2002</t>
  </si>
  <si>
    <t>27.24</t>
  </si>
  <si>
    <t>26.2045</t>
  </si>
  <si>
    <t>26.3197</t>
  </si>
  <si>
    <t>26.059</t>
  </si>
  <si>
    <t>26.3821</t>
  </si>
  <si>
    <t>25.9469</t>
  </si>
  <si>
    <t>25.3693</t>
  </si>
  <si>
    <t>25.2484</t>
  </si>
  <si>
    <t>24.1403</t>
  </si>
  <si>
    <t>23.343</t>
  </si>
  <si>
    <t>24.0288</t>
  </si>
  <si>
    <t>24.3941</t>
  </si>
  <si>
    <t>25.1737</t>
  </si>
  <si>
    <t>25.6724</t>
  </si>
  <si>
    <t>25.7482</t>
  </si>
  <si>
    <t>26.2974</t>
  </si>
  <si>
    <t>27.1103</t>
  </si>
  <si>
    <t>26.7638</t>
  </si>
  <si>
    <t>26.4043</t>
  </si>
  <si>
    <t>26.5961</t>
  </si>
  <si>
    <t>26.6592</t>
  </si>
  <si>
    <t>27.4721</t>
  </si>
  <si>
    <t>27.344</t>
  </si>
  <si>
    <t>27.5658</t>
  </si>
  <si>
    <t>26.3482</t>
  </si>
  <si>
    <t>26.7779</t>
  </si>
  <si>
    <t>26.6875</t>
  </si>
  <si>
    <t>26.7139</t>
  </si>
  <si>
    <t>26.4141</t>
  </si>
  <si>
    <t>25.2314</t>
  </si>
  <si>
    <t>25.2577</t>
  </si>
  <si>
    <t>25.3356</t>
  </si>
  <si>
    <t>25.0175</t>
  </si>
  <si>
    <t>25.9783</t>
  </si>
  <si>
    <t>25.8758</t>
  </si>
  <si>
    <t>27.1016</t>
  </si>
  <si>
    <t>26.5401</t>
  </si>
  <si>
    <t>26.9989</t>
  </si>
  <si>
    <t>27.6857</t>
  </si>
  <si>
    <t>27.8158</t>
  </si>
  <si>
    <t>27.6087</t>
  </si>
  <si>
    <t>28.6898</t>
  </si>
  <si>
    <t>29.1169</t>
  </si>
  <si>
    <t>28.7408</t>
  </si>
  <si>
    <t>27.9956</t>
  </si>
  <si>
    <t>29.8216</t>
  </si>
  <si>
    <t>29.358</t>
  </si>
  <si>
    <t>29.0928</t>
  </si>
  <si>
    <t>29.4391</t>
  </si>
  <si>
    <t>29.4123</t>
  </si>
  <si>
    <t>28.7451</t>
  </si>
  <si>
    <t>27.6934</t>
  </si>
  <si>
    <t>27.209</t>
  </si>
  <si>
    <t>26.9126</t>
  </si>
  <si>
    <t>27.6656</t>
  </si>
  <si>
    <t>27.669</t>
  </si>
  <si>
    <t>27.7958</t>
  </si>
  <si>
    <t>27.548</t>
  </si>
  <si>
    <t>27.2044</t>
  </si>
  <si>
    <t>26.8594</t>
  </si>
  <si>
    <t>26.3553</t>
  </si>
  <si>
    <t>26.0873</t>
  </si>
  <si>
    <t>25.8734</t>
  </si>
  <si>
    <t>26.191</t>
  </si>
  <si>
    <t>25.6576</t>
  </si>
  <si>
    <t>24.9038</t>
  </si>
  <si>
    <t>25.3575</t>
  </si>
  <si>
    <t>25.373</t>
  </si>
  <si>
    <t>25.3848</t>
  </si>
  <si>
    <t>25.8442</t>
  </si>
  <si>
    <t>26.0975</t>
  </si>
  <si>
    <t>25.9917</t>
  </si>
  <si>
    <t>25.8269</t>
  </si>
  <si>
    <t>25.9414</t>
  </si>
  <si>
    <t>26.5949</t>
  </si>
  <si>
    <t>26.754</t>
  </si>
  <si>
    <t>26.2726</t>
  </si>
  <si>
    <t>25.2319</t>
  </si>
  <si>
    <t>25.6277</t>
  </si>
  <si>
    <t>25.4185</t>
  </si>
  <si>
    <t>25.7859</t>
  </si>
  <si>
    <t>25.6385</t>
  </si>
  <si>
    <t>25.2757</t>
  </si>
  <si>
    <t>25.1945</t>
  </si>
  <si>
    <t>25.0984</t>
  </si>
  <si>
    <t>25.3734</t>
  </si>
  <si>
    <t>26.1872</t>
  </si>
  <si>
    <t>25.8472</t>
  </si>
  <si>
    <t>26.509</t>
  </si>
  <si>
    <t>25.9186</t>
  </si>
  <si>
    <t>25.9697</t>
  </si>
  <si>
    <t>26.6479</t>
  </si>
  <si>
    <t>26.7796</t>
  </si>
  <si>
    <t>26.4273</t>
  </si>
  <si>
    <t>26.4701</t>
  </si>
  <si>
    <t>25.8519</t>
  </si>
  <si>
    <t>25.7971</t>
  </si>
  <si>
    <t>25.5542</t>
  </si>
  <si>
    <t>25.482</t>
  </si>
  <si>
    <t>25.4568</t>
  </si>
  <si>
    <t>25.235</t>
  </si>
  <si>
    <t>26.2353</t>
  </si>
  <si>
    <t>26.516</t>
  </si>
  <si>
    <t>26.1896</t>
  </si>
  <si>
    <t>26.3659</t>
  </si>
  <si>
    <t>26.7863</t>
  </si>
  <si>
    <t>27.4057</t>
  </si>
  <si>
    <t>27.65</t>
  </si>
  <si>
    <t>27.1458</t>
  </si>
  <si>
    <t>28.014</t>
  </si>
  <si>
    <t>28.0789</t>
  </si>
  <si>
    <t>27.724</t>
  </si>
  <si>
    <t>27.9934</t>
  </si>
  <si>
    <t>27.5915</t>
  </si>
  <si>
    <t>28.0518</t>
  </si>
  <si>
    <t>27.3326</t>
  </si>
  <si>
    <t>28.1786</t>
  </si>
  <si>
    <t>28.129</t>
  </si>
  <si>
    <t>28.1095</t>
  </si>
  <si>
    <t>27.5327</t>
  </si>
  <si>
    <t>27.3594</t>
  </si>
  <si>
    <t>27.0642</t>
  </si>
  <si>
    <t>28.0378</t>
  </si>
  <si>
    <t>27.8</t>
  </si>
  <si>
    <t>26.9493</t>
  </si>
  <si>
    <t>25.8544</t>
  </si>
  <si>
    <t>26.4728</t>
  </si>
  <si>
    <t>25.6997</t>
  </si>
  <si>
    <t>25.4212</t>
  </si>
  <si>
    <t>26.6042</t>
  </si>
  <si>
    <t>26.96</t>
  </si>
  <si>
    <t>27.1887</t>
  </si>
  <si>
    <t>27.6278</t>
  </si>
  <si>
    <t>28.2344</t>
  </si>
  <si>
    <t>28.62</t>
  </si>
  <si>
    <t>30.5388</t>
  </si>
  <si>
    <t>31.1773</t>
  </si>
  <si>
    <t>31.7125</t>
  </si>
  <si>
    <t>31.872</t>
  </si>
  <si>
    <t>31.377</t>
  </si>
  <si>
    <t>30.0526</t>
  </si>
  <si>
    <t>29.9097</t>
  </si>
  <si>
    <t>29.2651</t>
  </si>
  <si>
    <t>29.4641</t>
  </si>
  <si>
    <t>28.9371</t>
  </si>
  <si>
    <t>28.0352</t>
  </si>
  <si>
    <t>26.0161</t>
  </si>
  <si>
    <t>27.3405</t>
  </si>
  <si>
    <t>28.6223</t>
  </si>
  <si>
    <t>25.7992</t>
  </si>
  <si>
    <t>24.699</t>
  </si>
  <si>
    <t>24.5157</t>
  </si>
  <si>
    <t>23.7803</t>
  </si>
  <si>
    <t>23.805</t>
  </si>
  <si>
    <t>23.9819</t>
  </si>
  <si>
    <t>23.5784</t>
  </si>
  <si>
    <t>23.991</t>
  </si>
  <si>
    <t>24.3057</t>
  </si>
  <si>
    <t>26.2889</t>
  </si>
  <si>
    <t>28.1812</t>
  </si>
  <si>
    <t>28.1695</t>
  </si>
  <si>
    <t>28.453</t>
  </si>
  <si>
    <t>28.7395</t>
  </si>
  <si>
    <t>28.8178</t>
  </si>
  <si>
    <t>29.3564</t>
  </si>
  <si>
    <t>24.9058</t>
  </si>
  <si>
    <t>23.115</t>
  </si>
  <si>
    <t>25.7286</t>
  </si>
  <si>
    <t>26.5634</t>
  </si>
  <si>
    <t>27.4171</t>
  </si>
  <si>
    <t>33.0769</t>
  </si>
  <si>
    <t>30.5436</t>
  </si>
  <si>
    <t>30.7738</t>
  </si>
  <si>
    <t>27.3392</t>
  </si>
  <si>
    <t>25.6374</t>
  </si>
  <si>
    <t>28.2643</t>
  </si>
  <si>
    <t>29.93</t>
  </si>
  <si>
    <t>30.3782</t>
  </si>
  <si>
    <t>31.5815</t>
  </si>
  <si>
    <t>31.3215</t>
  </si>
  <si>
    <t>33.5855</t>
  </si>
  <si>
    <t>33.3167</t>
  </si>
  <si>
    <t>33.252</t>
  </si>
  <si>
    <t>37.1144</t>
  </si>
  <si>
    <t>35.575</t>
  </si>
  <si>
    <t>34.2978</t>
  </si>
  <si>
    <t>34.1812</t>
  </si>
  <si>
    <t>35.3378</t>
  </si>
  <si>
    <t>34.9639</t>
  </si>
  <si>
    <t>32.7093</t>
  </si>
  <si>
    <t>32.6398</t>
  </si>
  <si>
    <t>34.3305</t>
  </si>
  <si>
    <t>36.5866</t>
  </si>
  <si>
    <t>36.0352</t>
  </si>
  <si>
    <t>36.9125</t>
  </si>
  <si>
    <t>36.7996</t>
  </si>
  <si>
    <t>35.7998</t>
  </si>
  <si>
    <t>34.6157</t>
  </si>
  <si>
    <t>33.8337</t>
  </si>
  <si>
    <t>35.6135</t>
  </si>
  <si>
    <t>36.1131</t>
  </si>
  <si>
    <t>37.249</t>
  </si>
  <si>
    <t>37.2831</t>
  </si>
  <si>
    <t>37.0834</t>
  </si>
  <si>
    <t>35.2607</t>
  </si>
  <si>
    <t>36.9666</t>
  </si>
  <si>
    <t>36.1886</t>
  </si>
  <si>
    <t>34.5924</t>
  </si>
  <si>
    <t>35.6175</t>
  </si>
  <si>
    <t>34.4602</t>
  </si>
  <si>
    <t>33.2403</t>
  </si>
  <si>
    <t>29.5535</t>
  </si>
  <si>
    <t>32.0292</t>
  </si>
  <si>
    <t>29.9054</t>
  </si>
  <si>
    <t>29.3297</t>
  </si>
  <si>
    <t>30.4059</t>
  </si>
  <si>
    <t>29.8286</t>
  </si>
  <si>
    <t>28.3733</t>
  </si>
  <si>
    <t>28.3731</t>
  </si>
  <si>
    <t>26.8256</t>
  </si>
  <si>
    <t>28.2521</t>
  </si>
  <si>
    <t>27.3334</t>
  </si>
  <si>
    <t>27.9325</t>
  </si>
  <si>
    <t>28.6456</t>
  </si>
  <si>
    <t>30.1938</t>
  </si>
  <si>
    <t>30.7164</t>
  </si>
  <si>
    <t>30.6491</t>
  </si>
  <si>
    <t>30.4113</t>
  </si>
  <si>
    <t>30.4102</t>
  </si>
  <si>
    <t>31.1602</t>
  </si>
  <si>
    <t>30.4563</t>
  </si>
  <si>
    <t>30.0725</t>
  </si>
  <si>
    <t>30.2166</t>
  </si>
  <si>
    <t>31.4284</t>
  </si>
  <si>
    <t>34.7271</t>
  </si>
  <si>
    <t>35.5315</t>
  </si>
  <si>
    <t>35.1358</t>
  </si>
  <si>
    <t>36.2246</t>
  </si>
  <si>
    <t>36.7628</t>
  </si>
  <si>
    <t>37.9844</t>
  </si>
  <si>
    <t>38.1374</t>
  </si>
  <si>
    <t>38.975</t>
  </si>
  <si>
    <t>38.3503</t>
  </si>
  <si>
    <t>39.2438</t>
  </si>
  <si>
    <t>40.0516</t>
  </si>
  <si>
    <t>39.8189</t>
  </si>
  <si>
    <t>40.409</t>
  </si>
  <si>
    <t>40.3792</t>
  </si>
  <si>
    <t>42.104</t>
  </si>
  <si>
    <t>42.2541</t>
  </si>
  <si>
    <t>43.8113</t>
  </si>
  <si>
    <t>43.5331</t>
  </si>
  <si>
    <t>44.1165</t>
  </si>
  <si>
    <t>43.2988</t>
  </si>
  <si>
    <t>45.1328</t>
  </si>
  <si>
    <t>45.0352</t>
  </si>
  <si>
    <t>45.4495</t>
  </si>
  <si>
    <t>48.0591</t>
  </si>
  <si>
    <t>47.1377</t>
  </si>
  <si>
    <t>47.4198</t>
  </si>
  <si>
    <t>47.8093</t>
  </si>
  <si>
    <t>46.2303</t>
  </si>
  <si>
    <t>46.704</t>
  </si>
  <si>
    <t>47.449</t>
  </si>
  <si>
    <t>47.3311</t>
  </si>
  <si>
    <t>46.1435</t>
  </si>
  <si>
    <t>45.6413</t>
  </si>
  <si>
    <t>45.3947</t>
  </si>
  <si>
    <t>44.1273</t>
  </si>
  <si>
    <t>44.6471</t>
  </si>
  <si>
    <t>45.7882</t>
  </si>
  <si>
    <t>46.2313</t>
  </si>
  <si>
    <t>51.4101</t>
  </si>
  <si>
    <t>50.7521</t>
  </si>
  <si>
    <t>50.2647</t>
  </si>
  <si>
    <t>49.0602</t>
  </si>
  <si>
    <t>49.0275</t>
  </si>
  <si>
    <t>49.1641</t>
  </si>
  <si>
    <t>46.6044</t>
  </si>
  <si>
    <t>47.3455</t>
  </si>
  <si>
    <t>45.0204</t>
  </si>
  <si>
    <t>46.4031</t>
  </si>
  <si>
    <t>46.6427</t>
  </si>
  <si>
    <t>48.1109</t>
  </si>
  <si>
    <t>46.2839</t>
  </si>
  <si>
    <t>47.1995</t>
  </si>
  <si>
    <t>50.8815</t>
  </si>
  <si>
    <t>49.6577</t>
  </si>
  <si>
    <t>49.332</t>
  </si>
  <si>
    <t>51.0323</t>
  </si>
  <si>
    <t>49.6338</t>
  </si>
  <si>
    <t>47.6375</t>
  </si>
  <si>
    <t>48.5232</t>
  </si>
  <si>
    <t>51.0674</t>
  </si>
  <si>
    <t>49.4537</t>
  </si>
  <si>
    <t>51.0593</t>
  </si>
  <si>
    <t>51.1571</t>
  </si>
  <si>
    <t>51.2924</t>
  </si>
  <si>
    <t>51.0645</t>
  </si>
  <si>
    <t>50.2437</t>
  </si>
  <si>
    <t>52.4534</t>
  </si>
  <si>
    <t>53.231</t>
  </si>
  <si>
    <t>53.5759</t>
  </si>
  <si>
    <t>53.2584</t>
  </si>
  <si>
    <t>50.8652</t>
  </si>
  <si>
    <t>50.4792</t>
  </si>
  <si>
    <t>49.7652</t>
  </si>
  <si>
    <t>50.3143</t>
  </si>
  <si>
    <t>49.4301</t>
  </si>
  <si>
    <t>49.5523</t>
  </si>
  <si>
    <t>50.5231</t>
  </si>
  <si>
    <t>51.3792</t>
  </si>
  <si>
    <t>54.232</t>
  </si>
  <si>
    <t>53.635</t>
  </si>
  <si>
    <t>56.9095</t>
  </si>
  <si>
    <t>57.0576</t>
  </si>
  <si>
    <t>56.639</t>
  </si>
  <si>
    <t>58.13</t>
  </si>
  <si>
    <t>59.7132</t>
  </si>
  <si>
    <t>60.1197</t>
  </si>
  <si>
    <t>61.8988</t>
  </si>
  <si>
    <t>66.2967</t>
  </si>
  <si>
    <t>67.7914</t>
  </si>
  <si>
    <t>68.7796</t>
  </si>
  <si>
    <t>67.4433</t>
  </si>
  <si>
    <t>67.1868</t>
  </si>
  <si>
    <t>66.7319</t>
  </si>
  <si>
    <t>67.4184</t>
  </si>
  <si>
    <t>68.5474</t>
  </si>
  <si>
    <t>68.7405</t>
  </si>
  <si>
    <t>69.4536</t>
  </si>
  <si>
    <t>73.137</t>
  </si>
  <si>
    <t>71.6615</t>
  </si>
  <si>
    <t>71.7377</t>
  </si>
  <si>
    <t>73.9643</t>
  </si>
  <si>
    <t>74.3179</t>
  </si>
  <si>
    <t>72.957</t>
  </si>
  <si>
    <t>72.9363</t>
  </si>
  <si>
    <t>74.0338</t>
  </si>
  <si>
    <t>71.1781</t>
  </si>
  <si>
    <t>74.6564</t>
  </si>
  <si>
    <t>75.9692</t>
  </si>
  <si>
    <t>75.2964</t>
  </si>
  <si>
    <t>70.3056</t>
  </si>
  <si>
    <t>74.2225</t>
  </si>
  <si>
    <t>71.1768</t>
  </si>
  <si>
    <t>72.4715</t>
  </si>
  <si>
    <t>73.0385</t>
  </si>
  <si>
    <t>72.1416</t>
  </si>
  <si>
    <t>73.5827</t>
  </si>
  <si>
    <t>70.0328</t>
  </si>
  <si>
    <t>69.4544</t>
  </si>
  <si>
    <t>71.411</t>
  </si>
  <si>
    <t>77.0491</t>
  </si>
  <si>
    <t>78.8291</t>
  </si>
  <si>
    <t>82.9944</t>
  </si>
  <si>
    <t>82.9774</t>
  </si>
  <si>
    <t>82.9104</t>
  </si>
  <si>
    <t>86.5071</t>
  </si>
  <si>
    <t>84.2509</t>
  </si>
  <si>
    <t>85.2713</t>
  </si>
  <si>
    <t>88.5465</t>
  </si>
  <si>
    <t>91.9065</t>
  </si>
  <si>
    <t>99.425</t>
  </si>
  <si>
    <t>98.8917</t>
  </si>
  <si>
    <t>100.1853</t>
  </si>
  <si>
    <t>101.6041</t>
  </si>
  <si>
    <t>99.2859</t>
  </si>
  <si>
    <t>101.1685</t>
  </si>
  <si>
    <t>101.7319</t>
  </si>
  <si>
    <t>99.2524</t>
  </si>
  <si>
    <t>100.1419</t>
  </si>
  <si>
    <t>98.8322</t>
  </si>
  <si>
    <t>103.7004</t>
  </si>
  <si>
    <t>102.4014</t>
  </si>
  <si>
    <t>104.5265</t>
  </si>
  <si>
    <t>104.1317</t>
  </si>
  <si>
    <t>106.9266</t>
  </si>
  <si>
    <t>111.3021</t>
  </si>
  <si>
    <t>109.4789</t>
  </si>
  <si>
    <t>108.4292</t>
  </si>
  <si>
    <t>106.2501</t>
  </si>
  <si>
    <t>104.0364</t>
  </si>
  <si>
    <t>102.8078</t>
  </si>
  <si>
    <t>98.6142</t>
  </si>
  <si>
    <t>101.7877</t>
  </si>
  <si>
    <t>101.7567</t>
  </si>
  <si>
    <t>102.8326</t>
  </si>
  <si>
    <t>106.9701</t>
  </si>
  <si>
    <t>107.7447</t>
  </si>
  <si>
    <t>108.382</t>
  </si>
  <si>
    <t>110.6344</t>
  </si>
  <si>
    <t>113.6071</t>
  </si>
  <si>
    <t>114.684</t>
  </si>
  <si>
    <t>115.3132</t>
  </si>
  <si>
    <t>119.256</t>
  </si>
  <si>
    <t>130.9208</t>
  </si>
  <si>
    <t>127.9913</t>
  </si>
  <si>
    <t>125.9747</t>
  </si>
  <si>
    <t>126.4003</t>
  </si>
  <si>
    <t>130.8588</t>
  </si>
  <si>
    <t>136.7662</t>
  </si>
  <si>
    <t>132.6257</t>
  </si>
  <si>
    <t>126.5466</t>
  </si>
  <si>
    <t>131.7701</t>
  </si>
  <si>
    <t>129.7306</t>
  </si>
  <si>
    <t>133.8793</t>
  </si>
  <si>
    <t>134.0311</t>
  </si>
  <si>
    <t>131.3352</t>
  </si>
  <si>
    <t>132.5831</t>
  </si>
  <si>
    <t>131.543</t>
  </si>
  <si>
    <t>131.4568</t>
  </si>
  <si>
    <t>129.1907</t>
  </si>
  <si>
    <t>130.127</t>
  </si>
  <si>
    <t>128.7684</t>
  </si>
  <si>
    <t>132.9578</t>
  </si>
  <si>
    <t>129.6724</t>
  </si>
  <si>
    <t>128.2983</t>
  </si>
  <si>
    <t>126.6911</t>
  </si>
  <si>
    <t>122.4751</t>
  </si>
  <si>
    <t>116.2337</t>
  </si>
  <si>
    <t>118.6977</t>
  </si>
  <si>
    <t>116.298</t>
  </si>
  <si>
    <t>128.0077</t>
  </si>
  <si>
    <t>129.8574</t>
  </si>
  <si>
    <t>133.3337</t>
  </si>
  <si>
    <t>131.3654</t>
  </si>
  <si>
    <t>129.8532</t>
  </si>
  <si>
    <t>128.6201</t>
  </si>
  <si>
    <t>129.4086</t>
  </si>
  <si>
    <t>128.7876</t>
  </si>
  <si>
    <t>128.4336</t>
  </si>
  <si>
    <t>124.5936</t>
  </si>
  <si>
    <t>117.9343</t>
  </si>
  <si>
    <t>112.2289</t>
  </si>
  <si>
    <t>116.1612</t>
  </si>
  <si>
    <t>126.6965</t>
  </si>
  <si>
    <t>123.8587</t>
  </si>
  <si>
    <t>112.2614</t>
  </si>
  <si>
    <t>101.1726</t>
  </si>
  <si>
    <t>125.895</t>
  </si>
  <si>
    <t>125.4086</t>
  </si>
  <si>
    <t>126.6534</t>
  </si>
  <si>
    <t>123.6879</t>
  </si>
  <si>
    <t>122.7706</t>
  </si>
  <si>
    <t>123.8154</t>
  </si>
  <si>
    <t>123.0668</t>
  </si>
  <si>
    <t>130.0035</t>
  </si>
  <si>
    <t>129.3228</t>
  </si>
  <si>
    <t>132.2116</t>
  </si>
  <si>
    <t>127.5665</t>
  </si>
  <si>
    <t>123.6292</t>
  </si>
  <si>
    <t>126.9059</t>
  </si>
  <si>
    <t>128.1285</t>
  </si>
  <si>
    <t>127.0703</t>
  </si>
  <si>
    <t>126.1253</t>
  </si>
  <si>
    <t>122.2512</t>
  </si>
  <si>
    <t>116.525</t>
  </si>
  <si>
    <t>113.7917</t>
  </si>
  <si>
    <t>111.3725</t>
  </si>
  <si>
    <t>112.852</t>
  </si>
  <si>
    <t>105.1183</t>
  </si>
  <si>
    <t>104.256</t>
  </si>
  <si>
    <t>104.6097</t>
  </si>
  <si>
    <t>107.361</t>
  </si>
  <si>
    <t>106</t>
  </si>
  <si>
    <t>105.7279</t>
  </si>
  <si>
    <t>104.6185</t>
  </si>
  <si>
    <t>98.6175</t>
  </si>
  <si>
    <t>103.0903</t>
  </si>
  <si>
    <t>99.9963</t>
  </si>
  <si>
    <t>97.6182</t>
  </si>
  <si>
    <t>98.674</t>
  </si>
  <si>
    <t>102.5946</t>
  </si>
  <si>
    <t>100.3529</t>
  </si>
  <si>
    <t>102.1544</t>
  </si>
  <si>
    <t>108.4693</t>
  </si>
  <si>
    <t>107.1061</t>
  </si>
  <si>
    <t>106.9594</t>
  </si>
  <si>
    <t>108.1896</t>
  </si>
  <si>
    <t>107.9828</t>
  </si>
  <si>
    <t>109.2206</t>
  </si>
  <si>
    <t>108.8629</t>
  </si>
  <si>
    <t>108.2425</t>
  </si>
  <si>
    <t>107.0226</t>
  </si>
  <si>
    <t>109.8325</t>
  </si>
  <si>
    <t>107.4864</t>
  </si>
  <si>
    <t>104.8668</t>
  </si>
  <si>
    <t>105.2609</t>
  </si>
  <si>
    <t>102.7708</t>
  </si>
  <si>
    <t>100.2589</t>
  </si>
  <si>
    <t>101.7256</t>
  </si>
  <si>
    <t>99.5853</t>
  </si>
  <si>
    <t>99.2914</t>
  </si>
  <si>
    <t>104.5421</t>
  </si>
  <si>
    <t>100.8853</t>
  </si>
  <si>
    <t>99.5052</t>
  </si>
  <si>
    <t>107.6904</t>
  </si>
  <si>
    <t>104.6376</t>
  </si>
  <si>
    <t>97.686</t>
  </si>
  <si>
    <t>108.0206</t>
  </si>
  <si>
    <t>109.112</t>
  </si>
  <si>
    <t>106.657</t>
  </si>
  <si>
    <t>107.699</t>
  </si>
  <si>
    <t>106.8003</t>
  </si>
  <si>
    <t>105.9415</t>
  </si>
  <si>
    <t>107.8288</t>
  </si>
  <si>
    <t>113.9782</t>
  </si>
  <si>
    <t>116.0201</t>
  </si>
  <si>
    <t>110.4936</t>
  </si>
  <si>
    <t>111.2042</t>
  </si>
  <si>
    <t>114.4665</t>
  </si>
  <si>
    <t>123.9612</t>
  </si>
  <si>
    <t>123.0593</t>
  </si>
  <si>
    <t>125.9119</t>
  </si>
  <si>
    <t>116.6812</t>
  </si>
  <si>
    <t>119.3301</t>
  </si>
  <si>
    <t>123.3107</t>
  </si>
  <si>
    <t>120.1971</t>
  </si>
  <si>
    <t>123.0806</t>
  </si>
  <si>
    <t>123.3559</t>
  </si>
  <si>
    <t>121.3445</t>
  </si>
  <si>
    <t>116.7044</t>
  </si>
  <si>
    <t>115.6179</t>
  </si>
  <si>
    <t>124.474</t>
  </si>
  <si>
    <t>120.2927</t>
  </si>
  <si>
    <t>121.9774</t>
  </si>
  <si>
    <t>121.2522</t>
  </si>
  <si>
    <t>134.0168</t>
  </si>
  <si>
    <t>135.0358</t>
  </si>
  <si>
    <t>135.3098</t>
  </si>
  <si>
    <t>132.9885</t>
  </si>
  <si>
    <t>132.6598</t>
  </si>
  <si>
    <t>133.1709</t>
  </si>
  <si>
    <t>128.4298</t>
  </si>
  <si>
    <t>126.9462</t>
  </si>
  <si>
    <t>130.0173</t>
  </si>
  <si>
    <t>132.7879</t>
  </si>
  <si>
    <t>127.6032</t>
  </si>
  <si>
    <t>130.5092</t>
  </si>
  <si>
    <t>132.6843</t>
  </si>
  <si>
    <t>131.8624</t>
  </si>
  <si>
    <t>130.5742</t>
  </si>
  <si>
    <t>127.7252</t>
  </si>
  <si>
    <t>131.491</t>
  </si>
  <si>
    <t>135.8325</t>
  </si>
  <si>
    <t>138.3216</t>
  </si>
  <si>
    <t>137.7895</t>
  </si>
  <si>
    <t>137.4964</t>
  </si>
  <si>
    <t>140.7615</t>
  </si>
  <si>
    <t>140.3179</t>
  </si>
  <si>
    <t>147.9703</t>
  </si>
  <si>
    <t>159.0529</t>
  </si>
  <si>
    <t>156.7114</t>
  </si>
  <si>
    <t>156.8067</t>
  </si>
  <si>
    <t>155.8571</t>
  </si>
  <si>
    <t>159.7063</t>
  </si>
  <si>
    <t>156.9569</t>
  </si>
  <si>
    <t>156.9288</t>
  </si>
  <si>
    <t>154.3485</t>
  </si>
  <si>
    <t>159.8179</t>
  </si>
  <si>
    <t>152.8411</t>
  </si>
  <si>
    <t>156.7853</t>
  </si>
  <si>
    <t>153.6712</t>
  </si>
  <si>
    <t>142.8461</t>
  </si>
  <si>
    <t>137.4431</t>
  </si>
  <si>
    <t>149.5246</t>
  </si>
  <si>
    <t>157.5367</t>
  </si>
  <si>
    <t>151.3407</t>
  </si>
  <si>
    <t>147.3567</t>
  </si>
  <si>
    <t>152.606</t>
  </si>
  <si>
    <t>151.999</t>
  </si>
  <si>
    <t>148.3487</t>
  </si>
  <si>
    <t>147.9545</t>
  </si>
  <si>
    <t>146.8713</t>
  </si>
  <si>
    <t>142.2204</t>
  </si>
  <si>
    <t>142.9471</t>
  </si>
  <si>
    <t>140.2311</t>
  </si>
  <si>
    <t>144.4595</t>
  </si>
  <si>
    <t>136.2764</t>
  </si>
  <si>
    <t>131.1179</t>
  </si>
  <si>
    <t>130.4036</t>
  </si>
  <si>
    <t>132.1254</t>
  </si>
  <si>
    <t>139.4981</t>
  </si>
  <si>
    <t>134.7544</t>
  </si>
  <si>
    <t>138.8295</t>
  </si>
  <si>
    <t>136.8544</t>
  </si>
  <si>
    <t>140.0347</t>
  </si>
  <si>
    <t>148.7587</t>
  </si>
  <si>
    <t>148.632</t>
  </si>
  <si>
    <t>156.7223</t>
  </si>
  <si>
    <t>153.7572</t>
  </si>
  <si>
    <t>148.189</t>
  </si>
  <si>
    <t>150.0628</t>
  </si>
  <si>
    <t>146.8865</t>
  </si>
  <si>
    <t>137.8746</t>
  </si>
  <si>
    <t>143.5601</t>
  </si>
  <si>
    <t>137.8237</t>
  </si>
  <si>
    <t>135.1236</t>
  </si>
  <si>
    <t>128.7883</t>
  </si>
  <si>
    <t>130.3124</t>
  </si>
  <si>
    <t>130.6571</t>
  </si>
  <si>
    <t>123.1671</t>
  </si>
  <si>
    <t>120.4581</t>
  </si>
  <si>
    <t>115.9422</t>
  </si>
  <si>
    <t>119.9029</t>
  </si>
  <si>
    <t>122.2574</t>
  </si>
  <si>
    <t>113.1587</t>
  </si>
  <si>
    <t>119.1068</t>
  </si>
  <si>
    <t>120.6107</t>
  </si>
  <si>
    <t>120.9367</t>
  </si>
  <si>
    <t>120.485</t>
  </si>
  <si>
    <t>121.1267</t>
  </si>
  <si>
    <t>123.3337</t>
  </si>
  <si>
    <t>124.3</t>
  </si>
  <si>
    <t>125.0908</t>
  </si>
  <si>
    <t>125.6354</t>
  </si>
  <si>
    <t>127.8631</t>
  </si>
  <si>
    <t>127.8263</t>
  </si>
  <si>
    <t>129.2571</t>
  </si>
  <si>
    <t>130.1929</t>
  </si>
  <si>
    <t>131.4097</t>
  </si>
  <si>
    <t>130.5314</t>
  </si>
  <si>
    <t>133.5483</t>
  </si>
  <si>
    <t>139.0412</t>
  </si>
  <si>
    <t>139.8529</t>
  </si>
  <si>
    <t>145.1502</t>
  </si>
  <si>
    <t>142.1184</t>
  </si>
  <si>
    <t>139.9109</t>
  </si>
  <si>
    <t>139.6363</t>
  </si>
  <si>
    <t>137.6716</t>
  </si>
  <si>
    <t>133.9779</t>
  </si>
  <si>
    <t>132.3565</t>
  </si>
  <si>
    <t>135.5689</t>
  </si>
  <si>
    <t>139.3278</t>
  </si>
  <si>
    <t>138.0114</t>
  </si>
  <si>
    <t>133.1048</t>
  </si>
  <si>
    <t>137.6475</t>
  </si>
  <si>
    <t>136.7488</t>
  </si>
  <si>
    <t>134.1247</t>
  </si>
  <si>
    <t>135.2107</t>
  </si>
  <si>
    <t>130.4348</t>
  </si>
  <si>
    <t>133.2989</t>
  </si>
  <si>
    <t>134.5004</t>
  </si>
  <si>
    <t>130.7703</t>
  </si>
  <si>
    <t>128.8963</t>
  </si>
  <si>
    <t>127.1343</t>
  </si>
  <si>
    <t>128.3109</t>
  </si>
  <si>
    <t>121.0497</t>
  </si>
  <si>
    <t>117.3946</t>
  </si>
  <si>
    <t>113.2761</t>
  </si>
  <si>
    <t>116.8661</t>
  </si>
  <si>
    <t>116.7883</t>
  </si>
  <si>
    <t>121.0317</t>
  </si>
  <si>
    <t>118.2825</t>
  </si>
  <si>
    <t>119.3145</t>
  </si>
  <si>
    <t>122.0725</t>
  </si>
  <si>
    <t>125.01</t>
  </si>
  <si>
    <t>124.6346</t>
  </si>
  <si>
    <t>128.319</t>
  </si>
  <si>
    <t>127.5994</t>
  </si>
  <si>
    <t>126.8898</t>
  </si>
  <si>
    <t>127.5228</t>
  </si>
  <si>
    <t>130.2114</t>
  </si>
  <si>
    <t>128.2</t>
  </si>
  <si>
    <t>127.3789</t>
  </si>
  <si>
    <t>127.6416</t>
  </si>
  <si>
    <t>126.3752</t>
  </si>
  <si>
    <t>128.0255</t>
  </si>
  <si>
    <t>128.6055</t>
  </si>
  <si>
    <t>132.3475</t>
  </si>
  <si>
    <t>138.7701</t>
  </si>
  <si>
    <t>137.2379</t>
  </si>
  <si>
    <t>136.4207</t>
  </si>
  <si>
    <t>136.9821</t>
  </si>
  <si>
    <t>141.2541</t>
  </si>
  <si>
    <t>146.5722</t>
  </si>
  <si>
    <t>145.6871</t>
  </si>
  <si>
    <t>143.1144</t>
  </si>
  <si>
    <t>143.4648</t>
  </si>
  <si>
    <t>147.7446</t>
  </si>
  <si>
    <t>145.9519</t>
  </si>
  <si>
    <t>142.9208</t>
  </si>
  <si>
    <t>143.6968</t>
  </si>
  <si>
    <t>143.4813</t>
  </si>
  <si>
    <t>141.7573</t>
  </si>
  <si>
    <t>139.7764</t>
  </si>
  <si>
    <t>138.9727</t>
  </si>
  <si>
    <t>141.5059</t>
  </si>
  <si>
    <t>140.6733</t>
  </si>
  <si>
    <t>140.7914</t>
  </si>
  <si>
    <t>137.7295</t>
  </si>
  <si>
    <t>135.5756</t>
  </si>
  <si>
    <t>137.263</t>
  </si>
  <si>
    <t>132.3437</t>
  </si>
  <si>
    <t>126.5656</t>
  </si>
  <si>
    <t>122.484</t>
  </si>
  <si>
    <t>119.1391</t>
  </si>
  <si>
    <t>123.6324</t>
  </si>
  <si>
    <t>124.8483</t>
  </si>
  <si>
    <t>125.0473</t>
  </si>
  <si>
    <t>123.8054</t>
  </si>
  <si>
    <t>121.1764</t>
  </si>
  <si>
    <t>121.6653</t>
  </si>
  <si>
    <t>121.0325</t>
  </si>
  <si>
    <t>119.7079</t>
  </si>
  <si>
    <t>124.1324</t>
  </si>
  <si>
    <t>123.8869</t>
  </si>
  <si>
    <t>125.5167</t>
  </si>
  <si>
    <t>130.5374</t>
  </si>
  <si>
    <t>127.3708</t>
  </si>
  <si>
    <t>126.7752</t>
  </si>
  <si>
    <t>124.646</t>
  </si>
  <si>
    <t>129.3059</t>
  </si>
  <si>
    <t>130.2861</t>
  </si>
  <si>
    <t>126.6393</t>
  </si>
  <si>
    <t>126.8834</t>
  </si>
  <si>
    <t>123.3651</t>
  </si>
  <si>
    <t>128.6307</t>
  </si>
  <si>
    <t>129.1948</t>
  </si>
  <si>
    <t>121.1357</t>
  </si>
  <si>
    <t>119.2294</t>
  </si>
  <si>
    <t>119.0978</t>
  </si>
  <si>
    <t>119.1167</t>
  </si>
  <si>
    <t>120.4716</t>
  </si>
  <si>
    <t>123.8413</t>
  </si>
  <si>
    <t>127.4874</t>
  </si>
  <si>
    <t>128.4126</t>
  </si>
  <si>
    <t>129.7968</t>
  </si>
  <si>
    <t>132.8954</t>
  </si>
  <si>
    <t>136.705</t>
  </si>
  <si>
    <t>136.336</t>
  </si>
  <si>
    <t>135.6952</t>
  </si>
  <si>
    <t>135.2087</t>
  </si>
  <si>
    <t>137.3302</t>
  </si>
  <si>
    <t>136.5999</t>
  </si>
  <si>
    <t>134.0989</t>
  </si>
  <si>
    <t>129.4219</t>
  </si>
  <si>
    <t>130.0141</t>
  </si>
  <si>
    <t>127.1372</t>
  </si>
  <si>
    <t>123.2279</t>
  </si>
  <si>
    <t>124.7521</t>
  </si>
  <si>
    <t>129.2906</t>
  </si>
  <si>
    <t>128.2583</t>
  </si>
  <si>
    <t>128.5877</t>
  </si>
  <si>
    <t>130.0183</t>
  </si>
  <si>
    <t>131.5444</t>
  </si>
  <si>
    <t>131.7054</t>
  </si>
  <si>
    <t>128.3284</t>
  </si>
  <si>
    <t>126.1398</t>
  </si>
  <si>
    <t>125.9248</t>
  </si>
  <si>
    <t>125.7236</t>
  </si>
  <si>
    <t>128.2881</t>
  </si>
  <si>
    <t>127.1883</t>
  </si>
  <si>
    <t>126.421</t>
  </si>
  <si>
    <t>124.2107</t>
  </si>
  <si>
    <t>126.4079</t>
  </si>
  <si>
    <t>124.6701</t>
  </si>
  <si>
    <t>125.9153</t>
  </si>
  <si>
    <t>125.4764</t>
  </si>
  <si>
    <t>129.4542</t>
  </si>
  <si>
    <t>128.0112</t>
  </si>
  <si>
    <t>129.2464</t>
  </si>
  <si>
    <t>126.1662</t>
  </si>
  <si>
    <t>124.6959</t>
  </si>
  <si>
    <t>123.599</t>
  </si>
  <si>
    <t>124.5842</t>
  </si>
  <si>
    <t>125.4453</t>
  </si>
  <si>
    <t>120.5987</t>
  </si>
  <si>
    <t>122.1104</t>
  </si>
  <si>
    <t>122.8201</t>
  </si>
  <si>
    <t>122.8885</t>
  </si>
  <si>
    <t>123.6781</t>
  </si>
  <si>
    <t>125.1735</t>
  </si>
  <si>
    <t>121.4383</t>
  </si>
  <si>
    <t>121.4296</t>
  </si>
  <si>
    <t>120.1493</t>
  </si>
  <si>
    <t>117.6391</t>
  </si>
  <si>
    <t>118.5922</t>
  </si>
  <si>
    <t>121.3775</t>
  </si>
  <si>
    <t>123.8056</t>
  </si>
  <si>
    <t>122.0601</t>
  </si>
  <si>
    <t>120.2116</t>
  </si>
  <si>
    <t>119.6969</t>
  </si>
  <si>
    <t>120.8523</t>
  </si>
  <si>
    <t>118.9803</t>
  </si>
  <si>
    <t>116.4777</t>
  </si>
  <si>
    <t>114.8308</t>
  </si>
  <si>
    <t>112.0196</t>
  </si>
  <si>
    <t>114.5442</t>
  </si>
  <si>
    <t>112.7211</t>
  </si>
  <si>
    <t>107.9053</t>
  </si>
  <si>
    <t>108.9647</t>
  </si>
  <si>
    <t>115.3319</t>
  </si>
  <si>
    <t>115.7182</t>
  </si>
  <si>
    <t>115.082</t>
  </si>
  <si>
    <t>113.1331</t>
  </si>
  <si>
    <t>112.2274</t>
  </si>
  <si>
    <t>111.0118</t>
  </si>
  <si>
    <t>108.8935</t>
  </si>
  <si>
    <t>108.6146</t>
  </si>
  <si>
    <t>109.6066</t>
  </si>
  <si>
    <t>109.9722</t>
  </si>
  <si>
    <t>108.9138</t>
  </si>
  <si>
    <t>108.922</t>
  </si>
  <si>
    <t>107.7206</t>
  </si>
  <si>
    <t>104.8485</t>
  </si>
  <si>
    <t>108.1804</t>
  </si>
  <si>
    <t>110.5002</t>
  </si>
  <si>
    <t>108.3967</t>
  </si>
  <si>
    <t>111.5168</t>
  </si>
  <si>
    <t>110.4423</t>
  </si>
  <si>
    <t>107.9783</t>
  </si>
  <si>
    <t>108.0013</t>
  </si>
  <si>
    <t>105.6866</t>
  </si>
  <si>
    <t>103.1232</t>
  </si>
  <si>
    <t>101.8321</t>
  </si>
  <si>
    <t>102.6459</t>
  </si>
  <si>
    <t>103.6504</t>
  </si>
  <si>
    <t>101.616</t>
  </si>
  <si>
    <t>103.6979</t>
  </si>
  <si>
    <t>103.5227</t>
  </si>
  <si>
    <t>106.1767</t>
  </si>
  <si>
    <t>104.333</t>
  </si>
  <si>
    <t>102.9279</t>
  </si>
  <si>
    <t>101.7743</t>
  </si>
  <si>
    <t>99.865</t>
  </si>
  <si>
    <t>99.3238</t>
  </si>
  <si>
    <t>100.5864</t>
  </si>
  <si>
    <t>98.4722</t>
  </si>
  <si>
    <t>94.6923</t>
  </si>
  <si>
    <t>93.3164</t>
  </si>
  <si>
    <t>91.9042</t>
  </si>
  <si>
    <t>94.0243</t>
  </si>
  <si>
    <t>92.9446</t>
  </si>
  <si>
    <t>94.0372</t>
  </si>
  <si>
    <t>94.1388</t>
  </si>
  <si>
    <t>92.335</t>
  </si>
  <si>
    <t>90.4618</t>
  </si>
  <si>
    <t>88.3344</t>
  </si>
  <si>
    <t>91.4421</t>
  </si>
  <si>
    <t>91.5891</t>
  </si>
  <si>
    <t>92.5287</t>
  </si>
  <si>
    <t>89.837</t>
  </si>
  <si>
    <t>89.8076</t>
  </si>
  <si>
    <t>90.9338</t>
  </si>
  <si>
    <t>89.5705</t>
  </si>
  <si>
    <t>90.8507</t>
  </si>
  <si>
    <t>91.3454</t>
  </si>
  <si>
    <t>91.952</t>
  </si>
  <si>
    <t>90.3081</t>
  </si>
  <si>
    <t>90.2845</t>
  </si>
  <si>
    <t>90.4124</t>
  </si>
  <si>
    <t>88.9142</t>
  </si>
  <si>
    <t>89.9611</t>
  </si>
  <si>
    <t>94.2261</t>
  </si>
  <si>
    <t>95.2945</t>
  </si>
  <si>
    <t>97.8211</t>
  </si>
  <si>
    <t>99.8666</t>
  </si>
  <si>
    <t>99.8458</t>
  </si>
  <si>
    <t>99.495</t>
  </si>
  <si>
    <t>101.0274</t>
  </si>
  <si>
    <t>102.4176</t>
  </si>
  <si>
    <t>100.1552</t>
  </si>
  <si>
    <t>95.546</t>
  </si>
  <si>
    <t>92.2609</t>
  </si>
  <si>
    <t>94.4702</t>
  </si>
  <si>
    <t>92.9133</t>
  </si>
  <si>
    <t>102.3024</t>
  </si>
  <si>
    <t>100.8696</t>
  </si>
  <si>
    <t>99.4488</t>
  </si>
  <si>
    <t>96.2897</t>
  </si>
  <si>
    <t>97.1414</t>
  </si>
  <si>
    <t>97.1373</t>
  </si>
  <si>
    <t>97.4797</t>
  </si>
  <si>
    <t>100.0547</t>
  </si>
  <si>
    <t>101.8862</t>
  </si>
  <si>
    <t>100.8457</t>
  </si>
  <si>
    <t>99.0929</t>
  </si>
  <si>
    <t>98.3621</t>
  </si>
  <si>
    <t>99.0876</t>
  </si>
  <si>
    <t>100.2791</t>
  </si>
  <si>
    <t>99.1842</t>
  </si>
  <si>
    <t>100.1855</t>
  </si>
  <si>
    <t>97.8913</t>
  </si>
  <si>
    <t>99.1091</t>
  </si>
  <si>
    <t>97.5651</t>
  </si>
  <si>
    <t>96.9304</t>
  </si>
  <si>
    <t>96.2015</t>
  </si>
  <si>
    <t>97.3313</t>
  </si>
  <si>
    <t>98.0678</t>
  </si>
  <si>
    <t>95.8075</t>
  </si>
  <si>
    <t>94.157</t>
  </si>
  <si>
    <t>95.0738</t>
  </si>
  <si>
    <t>99.013</t>
  </si>
  <si>
    <t>99.2161</t>
  </si>
  <si>
    <t>97.2186</t>
  </si>
  <si>
    <t>96.8318</t>
  </si>
  <si>
    <t>96.6331</t>
  </si>
  <si>
    <t>95.2628</t>
  </si>
  <si>
    <t>95.2487</t>
  </si>
  <si>
    <t>96.0844</t>
  </si>
  <si>
    <t>95.3691</t>
  </si>
  <si>
    <t>95.0606</t>
  </si>
  <si>
    <t>96.7708</t>
  </si>
  <si>
    <t>95.5889</t>
  </si>
  <si>
    <t>96.2689</t>
  </si>
  <si>
    <t>97.8203</t>
  </si>
  <si>
    <t>97.004</t>
  </si>
  <si>
    <t>97.8394</t>
  </si>
  <si>
    <t>98.0244</t>
  </si>
  <si>
    <t>98.4715</t>
  </si>
  <si>
    <t>96.3493</t>
  </si>
  <si>
    <t>97.78</t>
  </si>
  <si>
    <t>95.9964</t>
  </si>
  <si>
    <t>91.9685</t>
  </si>
  <si>
    <t>91.4676</t>
  </si>
  <si>
    <t>95.0757</t>
  </si>
  <si>
    <t>97.2216</t>
  </si>
  <si>
    <t>95.208</t>
  </si>
  <si>
    <t>94.7983</t>
  </si>
  <si>
    <t>94.1643</t>
  </si>
  <si>
    <t>93.9682</t>
  </si>
  <si>
    <t>94.3901</t>
  </si>
  <si>
    <t>95.1657</t>
  </si>
  <si>
    <t>93.4251</t>
  </si>
  <si>
    <t>92.0052</t>
  </si>
  <si>
    <t>89.9904</t>
  </si>
  <si>
    <t>89.5974</t>
  </si>
  <si>
    <t>89.5225</t>
  </si>
  <si>
    <t>90.1516</t>
  </si>
  <si>
    <t>93.4261</t>
  </si>
  <si>
    <t>92.5506</t>
  </si>
  <si>
    <t>92.71</t>
  </si>
  <si>
    <t>93.0752</t>
  </si>
  <si>
    <t>95.5405</t>
  </si>
  <si>
    <t>98.4086</t>
  </si>
  <si>
    <t>98.532</t>
  </si>
  <si>
    <t>98.1931</t>
  </si>
  <si>
    <t>96.497</t>
  </si>
  <si>
    <t>96.4395</t>
  </si>
  <si>
    <t>96.1994</t>
  </si>
  <si>
    <t>95.4312</t>
  </si>
  <si>
    <t>94.5124</t>
  </si>
  <si>
    <t>91.4794</t>
  </si>
  <si>
    <t>84.1075</t>
  </si>
  <si>
    <t>82.9432</t>
  </si>
  <si>
    <t>77.6037</t>
  </si>
  <si>
    <t>82.3609</t>
  </si>
  <si>
    <t>84.7961</t>
  </si>
  <si>
    <t>83.9551</t>
  </si>
  <si>
    <t>82.4667</t>
  </si>
  <si>
    <t>82.4674</t>
  </si>
  <si>
    <t>79.5905</t>
  </si>
  <si>
    <t>80.4621</t>
  </si>
  <si>
    <t>82.8036</t>
  </si>
  <si>
    <t>85.9733</t>
  </si>
  <si>
    <t>84.9868</t>
  </si>
  <si>
    <t>81.9278</t>
  </si>
  <si>
    <t>79.4592</t>
  </si>
  <si>
    <t>78.6735</t>
  </si>
  <si>
    <t>80.0361</t>
  </si>
  <si>
    <t>81.2936</t>
  </si>
  <si>
    <t>78.3232</t>
  </si>
  <si>
    <t>79.7272</t>
  </si>
  <si>
    <t>76.5434</t>
  </si>
  <si>
    <t>78.388</t>
  </si>
  <si>
    <t>78.3795</t>
  </si>
  <si>
    <t>75.9686</t>
  </si>
  <si>
    <t>72.5903</t>
  </si>
  <si>
    <t>69.4839</t>
  </si>
  <si>
    <t>73.0683</t>
  </si>
  <si>
    <t>71.596</t>
  </si>
  <si>
    <t>68.8941</t>
  </si>
  <si>
    <t>66.3698</t>
  </si>
  <si>
    <t>69.5832</t>
  </si>
  <si>
    <t>77.1707</t>
  </si>
  <si>
    <t>75.3516</t>
  </si>
  <si>
    <t>75.4215</t>
  </si>
  <si>
    <t>73.1757</t>
  </si>
  <si>
    <t>73.7463</t>
  </si>
  <si>
    <t>69.9925</t>
  </si>
  <si>
    <t>67.7043</t>
  </si>
  <si>
    <t>69.1579</t>
  </si>
  <si>
    <t>66.2734</t>
  </si>
  <si>
    <t>66.489</t>
  </si>
  <si>
    <t>66.8508</t>
  </si>
  <si>
    <t>66.7979</t>
  </si>
  <si>
    <t>65.9081</t>
  </si>
  <si>
    <t>64.823</t>
  </si>
  <si>
    <t>67.2969</t>
  </si>
  <si>
    <t>67.5987</t>
  </si>
  <si>
    <t>69.3527</t>
  </si>
  <si>
    <t>69.4081</t>
  </si>
  <si>
    <t>65.5371</t>
  </si>
  <si>
    <t>60.6887</t>
  </si>
  <si>
    <t>61.7025</t>
  </si>
  <si>
    <t>61.0341</t>
  </si>
  <si>
    <t>59.726</t>
  </si>
  <si>
    <t>59.778</t>
  </si>
  <si>
    <t>58.6535</t>
  </si>
  <si>
    <t>64.876</t>
  </si>
  <si>
    <t>64.0545</t>
  </si>
  <si>
    <t>62.2491</t>
  </si>
  <si>
    <t>63.83</t>
  </si>
  <si>
    <t>67.0989</t>
  </si>
  <si>
    <t>67.9931</t>
  </si>
  <si>
    <t>67.8595</t>
  </si>
  <si>
    <t>68.1979</t>
  </si>
  <si>
    <t>68.6164</t>
  </si>
  <si>
    <t>67.172</t>
  </si>
  <si>
    <t>65.9498</t>
  </si>
  <si>
    <t>67.2813</t>
  </si>
  <si>
    <t>68.1306</t>
  </si>
  <si>
    <t>67.6193</t>
  </si>
  <si>
    <t>67.1886</t>
  </si>
  <si>
    <t>65.686</t>
  </si>
  <si>
    <t>66.9357</t>
  </si>
  <si>
    <t>66.4631</t>
  </si>
  <si>
    <t>66.5446</t>
  </si>
  <si>
    <t>66.5342</t>
  </si>
  <si>
    <t>66.7457</t>
  </si>
  <si>
    <t>67.5168</t>
  </si>
  <si>
    <t>67.4327</t>
  </si>
  <si>
    <t>67.2953</t>
  </si>
  <si>
    <t>65.8167</t>
  </si>
  <si>
    <t>66.8162</t>
  </si>
  <si>
    <t>67.0188</t>
  </si>
  <si>
    <t>65.9762</t>
  </si>
  <si>
    <t>66.733</t>
  </si>
  <si>
    <t>66.8159</t>
  </si>
  <si>
    <t>69.8046</t>
  </si>
  <si>
    <t>69.5168</t>
  </si>
  <si>
    <t>69.9061</t>
  </si>
  <si>
    <t>71.8799</t>
  </si>
  <si>
    <t>72.8942</t>
  </si>
  <si>
    <t>73.6779</t>
  </si>
  <si>
    <t>74.5483</t>
  </si>
  <si>
    <t>75.5531</t>
  </si>
  <si>
    <t>76.2392</t>
  </si>
  <si>
    <t>77.7231</t>
  </si>
  <si>
    <t>77.1081</t>
  </si>
  <si>
    <t>76.7799</t>
  </si>
  <si>
    <t>75.8616</t>
  </si>
  <si>
    <t>76.1315</t>
  </si>
  <si>
    <t>76.8944</t>
  </si>
  <si>
    <t>75.4122</t>
  </si>
  <si>
    <t>75.0642</t>
  </si>
  <si>
    <t>72.9109</t>
  </si>
  <si>
    <t>69.7543</t>
  </si>
  <si>
    <t>69.233</t>
  </si>
  <si>
    <t>68.3473</t>
  </si>
  <si>
    <t>66.6792</t>
  </si>
  <si>
    <t>64.0339</t>
  </si>
  <si>
    <t>66.7279</t>
  </si>
  <si>
    <t>65.4747</t>
  </si>
  <si>
    <t>64.7318</t>
  </si>
  <si>
    <t>67.8878</t>
  </si>
  <si>
    <t>66.7466</t>
  </si>
  <si>
    <t>65.7511</t>
  </si>
  <si>
    <t>65.6736</t>
  </si>
  <si>
    <t>65.4343</t>
  </si>
  <si>
    <t>65.4622</t>
  </si>
  <si>
    <t>64.5479</t>
  </si>
  <si>
    <t>65.1935</t>
  </si>
  <si>
    <t>65.8829</t>
  </si>
  <si>
    <t>63.3798</t>
  </si>
  <si>
    <t>62.5299</t>
  </si>
  <si>
    <t>61.3549</t>
  </si>
  <si>
    <t>61.0674</t>
  </si>
  <si>
    <t>61.3466</t>
  </si>
  <si>
    <t>59.8575</t>
  </si>
  <si>
    <t>57.7264</t>
  </si>
  <si>
    <t>58.8444</t>
  </si>
  <si>
    <t>57.2095</t>
  </si>
  <si>
    <t>59.0218</t>
  </si>
  <si>
    <t>58.6878</t>
  </si>
  <si>
    <t>55.9452</t>
  </si>
  <si>
    <t>54.281</t>
  </si>
  <si>
    <t>53.5532</t>
  </si>
  <si>
    <t>51.396</t>
  </si>
  <si>
    <t>51.7384</t>
  </si>
  <si>
    <t>50.9334</t>
  </si>
  <si>
    <t>53.4444</t>
  </si>
  <si>
    <t>52.7749</t>
  </si>
  <si>
    <t>51.0538</t>
  </si>
  <si>
    <t>53.3662</t>
  </si>
  <si>
    <t>54.6005</t>
  </si>
  <si>
    <t>54.5743</t>
  </si>
  <si>
    <t>53.8043</t>
  </si>
  <si>
    <t>54.1749</t>
  </si>
  <si>
    <t>54.3757</t>
  </si>
  <si>
    <t>54.1247</t>
  </si>
  <si>
    <t>53.864</t>
  </si>
  <si>
    <t>54.2832</t>
  </si>
  <si>
    <t>53.3966</t>
  </si>
  <si>
    <t>49.8412</t>
  </si>
  <si>
    <t>48.9559</t>
  </si>
  <si>
    <t>46.9394</t>
  </si>
  <si>
    <t>47.6514</t>
  </si>
  <si>
    <t>48.4066</t>
  </si>
  <si>
    <t>48.5151</t>
  </si>
  <si>
    <t>48.4102</t>
  </si>
  <si>
    <t>50.0081</t>
  </si>
  <si>
    <t>50.0241</t>
  </si>
  <si>
    <t>49.0796</t>
  </si>
  <si>
    <t>48.4538</t>
  </si>
  <si>
    <t>48.3785</t>
  </si>
  <si>
    <t>48.23</t>
  </si>
  <si>
    <t>47.3369</t>
  </si>
  <si>
    <t>47.7676</t>
  </si>
  <si>
    <t>48.8654</t>
  </si>
  <si>
    <t>48.0677</t>
  </si>
  <si>
    <t>46.9741</t>
  </si>
  <si>
    <t>46.9466</t>
  </si>
  <si>
    <t>47.5676</t>
  </si>
  <si>
    <t>47.1735</t>
  </si>
  <si>
    <t>47.1201</t>
  </si>
  <si>
    <t>45.9027</t>
  </si>
  <si>
    <t>46.1912</t>
  </si>
  <si>
    <t>46.405</t>
  </si>
  <si>
    <t>46.2467</t>
  </si>
  <si>
    <t>45.9003</t>
  </si>
  <si>
    <t>46.0451</t>
  </si>
  <si>
    <t>46.2126</t>
  </si>
  <si>
    <t>44.4664</t>
  </si>
  <si>
    <t>43.8352</t>
  </si>
  <si>
    <t>43.9453</t>
  </si>
  <si>
    <t>42.9473</t>
  </si>
  <si>
    <t>44.3343</t>
  </si>
  <si>
    <t>44.3842</t>
  </si>
  <si>
    <t>44.9494</t>
  </si>
  <si>
    <t>45.9862</t>
  </si>
  <si>
    <t>45.2691</t>
  </si>
  <si>
    <t>46.5157</t>
  </si>
  <si>
    <t>47.2236</t>
  </si>
  <si>
    <t>47.8328</t>
  </si>
  <si>
    <t>46.8171</t>
  </si>
  <si>
    <t>45.6828</t>
  </si>
  <si>
    <t>45.0875</t>
  </si>
  <si>
    <t>43.6633</t>
  </si>
  <si>
    <t>44.911</t>
  </si>
  <si>
    <t>45.7427</t>
  </si>
  <si>
    <t>44.0934</t>
  </si>
  <si>
    <t>44.1647</t>
  </si>
  <si>
    <t>43.7582</t>
  </si>
  <si>
    <t>43.41</t>
  </si>
  <si>
    <t>42.233</t>
  </si>
  <si>
    <t>41.5301</t>
  </si>
  <si>
    <t>40.2701</t>
  </si>
  <si>
    <t>40.7223</t>
  </si>
  <si>
    <t>46.1596</t>
  </si>
  <si>
    <t>47.314</t>
  </si>
  <si>
    <t>46.5047</t>
  </si>
  <si>
    <t>46.5841</t>
  </si>
  <si>
    <t>46.604</t>
  </si>
  <si>
    <t>46.4568</t>
  </si>
  <si>
    <t>46.6787</t>
  </si>
  <si>
    <t>47.4926</t>
  </si>
  <si>
    <t>46.5299</t>
  </si>
  <si>
    <t>48.7867</t>
  </si>
  <si>
    <t>49.2537</t>
  </si>
  <si>
    <t>50.2623</t>
  </si>
  <si>
    <t>46.816</t>
  </si>
  <si>
    <t>44.6345</t>
  </si>
  <si>
    <t>44.9462</t>
  </si>
  <si>
    <t>43.0726</t>
  </si>
  <si>
    <t>42.4456</t>
  </si>
  <si>
    <t>41.8209</t>
  </si>
  <si>
    <t>42.669</t>
  </si>
  <si>
    <t>41.6005</t>
  </si>
  <si>
    <t>39.7543</t>
  </si>
  <si>
    <t>39.7739</t>
  </si>
  <si>
    <t>39.7234</t>
  </si>
  <si>
    <t>37.9871</t>
  </si>
  <si>
    <t>39.0787</t>
  </si>
  <si>
    <t>40.0728</t>
  </si>
  <si>
    <t>40.2408</t>
  </si>
  <si>
    <t>40.3617</t>
  </si>
  <si>
    <t>40.7173</t>
  </si>
  <si>
    <t>40.8904</t>
  </si>
  <si>
    <t>41.4903</t>
  </si>
  <si>
    <t>41.8269</t>
  </si>
  <si>
    <t>44.1615</t>
  </si>
  <si>
    <t>47.1169</t>
  </si>
  <si>
    <t>46.402</t>
  </si>
  <si>
    <t>45.406</t>
  </si>
  <si>
    <t>47.0382</t>
  </si>
  <si>
    <t>45.7921</t>
  </si>
  <si>
    <t>44.647</t>
  </si>
  <si>
    <t>44.2784</t>
  </si>
  <si>
    <t>43.59</t>
  </si>
  <si>
    <t>45.0555</t>
  </si>
  <si>
    <t>44.5311</t>
  </si>
  <si>
    <t>43.7212</t>
  </si>
  <si>
    <t>46.5799</t>
  </si>
  <si>
    <t>46.6159</t>
  </si>
  <si>
    <t>47.3001</t>
  </si>
  <si>
    <t>46.4755</t>
  </si>
  <si>
    <t>46.7219</t>
  </si>
  <si>
    <t>46.247</t>
  </si>
  <si>
    <t>46.1015</t>
  </si>
  <si>
    <t>46.9716</t>
  </si>
  <si>
    <t>47.3558</t>
  </si>
  <si>
    <t>48.2282</t>
  </si>
  <si>
    <t>47.3327</t>
  </si>
  <si>
    <t>47.5949</t>
  </si>
  <si>
    <t>47.3677</t>
  </si>
  <si>
    <t>47.5005</t>
  </si>
  <si>
    <t>47.7616</t>
  </si>
  <si>
    <t>45.9999</t>
  </si>
  <si>
    <t>45.8065</t>
  </si>
  <si>
    <t>45.45</t>
  </si>
  <si>
    <t>45.4963</t>
  </si>
  <si>
    <t>45.7271</t>
  </si>
  <si>
    <t>45.3132</t>
  </si>
  <si>
    <t>44.8374</t>
  </si>
  <si>
    <t>44.7958</t>
  </si>
  <si>
    <t>44.7465</t>
  </si>
  <si>
    <t>44.9732</t>
  </si>
  <si>
    <t>44.2289</t>
  </si>
  <si>
    <t>44.4215</t>
  </si>
  <si>
    <t>41.1757</t>
  </si>
  <si>
    <t>43.3431</t>
  </si>
  <si>
    <t>44.6848</t>
  </si>
  <si>
    <t>45.22</t>
  </si>
  <si>
    <t>44.7003</t>
  </si>
  <si>
    <t>44.1014</t>
  </si>
  <si>
    <t>44.1412</t>
  </si>
  <si>
    <t>45.2604</t>
  </si>
  <si>
    <t>45.3176</t>
  </si>
  <si>
    <t>45.3093</t>
  </si>
  <si>
    <t>46.2382</t>
  </si>
  <si>
    <t>46.2631</t>
  </si>
  <si>
    <t>46.9924</t>
  </si>
  <si>
    <t>48.5094</t>
  </si>
  <si>
    <t>48.3183</t>
  </si>
  <si>
    <t>49.1116</t>
  </si>
  <si>
    <t>50.601</t>
  </si>
  <si>
    <t>50.6617</t>
  </si>
  <si>
    <t>49.5815</t>
  </si>
  <si>
    <t>52.0856</t>
  </si>
  <si>
    <t>51.9971</t>
  </si>
  <si>
    <t>52.676</t>
  </si>
  <si>
    <t>54.4718</t>
  </si>
  <si>
    <t>54.5106</t>
  </si>
  <si>
    <t>54.1495</t>
  </si>
  <si>
    <t>54.575</t>
  </si>
  <si>
    <t>54.0409</t>
  </si>
  <si>
    <t>53.8315</t>
  </si>
  <si>
    <t>53.9943</t>
  </si>
  <si>
    <t>55.4933</t>
  </si>
  <si>
    <t>55.8119</t>
  </si>
  <si>
    <t>54.1414</t>
  </si>
  <si>
    <t>54.3446</t>
  </si>
  <si>
    <t>55.6117</t>
  </si>
  <si>
    <t>55.2329</t>
  </si>
  <si>
    <t>53.0978</t>
  </si>
  <si>
    <t>54.7512</t>
  </si>
  <si>
    <t>54.2235</t>
  </si>
  <si>
    <t>53.9643</t>
  </si>
  <si>
    <t>51.4136</t>
  </si>
  <si>
    <t>51.0117</t>
  </si>
  <si>
    <t>50.9167</t>
  </si>
  <si>
    <t>50.4209</t>
  </si>
  <si>
    <t>51.2664</t>
  </si>
  <si>
    <t>51.9106</t>
  </si>
  <si>
    <t>50.9639</t>
  </si>
  <si>
    <t>49.3646</t>
  </si>
  <si>
    <t>50.7778</t>
  </si>
  <si>
    <t>51.4233</t>
  </si>
  <si>
    <t>51.7206</t>
  </si>
  <si>
    <t>48.3574</t>
  </si>
  <si>
    <t>47.9945</t>
  </si>
  <si>
    <t>46.044</t>
  </si>
  <si>
    <t>45.3049</t>
  </si>
  <si>
    <t>44.7583</t>
  </si>
  <si>
    <t>45.6153</t>
  </si>
  <si>
    <t>45.9694</t>
  </si>
  <si>
    <t>45.2689</t>
  </si>
  <si>
    <t>44.2813</t>
  </si>
  <si>
    <t>44.6894</t>
  </si>
  <si>
    <t>43.5633</t>
  </si>
  <si>
    <t>43.2724</t>
  </si>
  <si>
    <t>42.1427</t>
  </si>
  <si>
    <t>41.9188</t>
  </si>
  <si>
    <t>42.195</t>
  </si>
  <si>
    <t>43.3745</t>
  </si>
  <si>
    <t>43.0716</t>
  </si>
  <si>
    <t>44.5013</t>
  </si>
  <si>
    <t>43.9739</t>
  </si>
  <si>
    <t>44.684</t>
  </si>
  <si>
    <t>43.0081</t>
  </si>
  <si>
    <t>41.3829</t>
  </si>
  <si>
    <t>y</t>
  </si>
  <si>
    <t>=</t>
  </si>
  <si>
    <t>x</t>
  </si>
  <si>
    <t>-</t>
  </si>
  <si>
    <t>derece</t>
  </si>
  <si>
    <t>y = 0.0045x - 130.68</t>
  </si>
  <si>
    <t>y = 0.0066x + 51.078</t>
  </si>
  <si>
    <t>+</t>
  </si>
  <si>
    <t>y = 0.0056x + 38.916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</si>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</sst>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627855580111725"/>
                  <c:y val="-6.06084381801029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Sheet2!$D$2:$D$4123</c:f>
              <c:numCache>
                <c:formatCode>m/d/yyyy</c:formatCode>
                <c:ptCount val="4122"/>
                <c:pt idx="0">
                  <c:v>40182</c:v>
                </c:pt>
                <c:pt idx="1">
                  <c:v>40183</c:v>
                </c:pt>
                <c:pt idx="2">
                  <c:v>40184</c:v>
                </c:pt>
                <c:pt idx="3">
                  <c:v>40185</c:v>
                </c:pt>
                <c:pt idx="4">
                  <c:v>40186</c:v>
                </c:pt>
                <c:pt idx="5">
                  <c:v>40189</c:v>
                </c:pt>
                <c:pt idx="6">
                  <c:v>40190</c:v>
                </c:pt>
                <c:pt idx="7">
                  <c:v>40191</c:v>
                </c:pt>
                <c:pt idx="8">
                  <c:v>40192</c:v>
                </c:pt>
                <c:pt idx="9">
                  <c:v>40193</c:v>
                </c:pt>
                <c:pt idx="10">
                  <c:v>40197</c:v>
                </c:pt>
                <c:pt idx="11">
                  <c:v>40198</c:v>
                </c:pt>
                <c:pt idx="12">
                  <c:v>40199</c:v>
                </c:pt>
                <c:pt idx="13">
                  <c:v>40200</c:v>
                </c:pt>
                <c:pt idx="14">
                  <c:v>40203</c:v>
                </c:pt>
                <c:pt idx="15">
                  <c:v>40204</c:v>
                </c:pt>
                <c:pt idx="16">
                  <c:v>40205</c:v>
                </c:pt>
                <c:pt idx="17">
                  <c:v>40206</c:v>
                </c:pt>
                <c:pt idx="18">
                  <c:v>40207</c:v>
                </c:pt>
                <c:pt idx="19">
                  <c:v>40210</c:v>
                </c:pt>
                <c:pt idx="20">
                  <c:v>40211</c:v>
                </c:pt>
                <c:pt idx="21">
                  <c:v>40212</c:v>
                </c:pt>
                <c:pt idx="22">
                  <c:v>40213</c:v>
                </c:pt>
                <c:pt idx="23">
                  <c:v>40214</c:v>
                </c:pt>
                <c:pt idx="24">
                  <c:v>40217</c:v>
                </c:pt>
                <c:pt idx="25">
                  <c:v>40218</c:v>
                </c:pt>
                <c:pt idx="26">
                  <c:v>40219</c:v>
                </c:pt>
                <c:pt idx="27">
                  <c:v>40220</c:v>
                </c:pt>
                <c:pt idx="28">
                  <c:v>40221</c:v>
                </c:pt>
                <c:pt idx="29">
                  <c:v>40225</c:v>
                </c:pt>
                <c:pt idx="30">
                  <c:v>40226</c:v>
                </c:pt>
                <c:pt idx="31">
                  <c:v>40227</c:v>
                </c:pt>
                <c:pt idx="32">
                  <c:v>40228</c:v>
                </c:pt>
                <c:pt idx="33">
                  <c:v>40231</c:v>
                </c:pt>
                <c:pt idx="34">
                  <c:v>40232</c:v>
                </c:pt>
                <c:pt idx="35">
                  <c:v>40233</c:v>
                </c:pt>
                <c:pt idx="36">
                  <c:v>40234</c:v>
                </c:pt>
                <c:pt idx="37">
                  <c:v>40235</c:v>
                </c:pt>
                <c:pt idx="38">
                  <c:v>40238</c:v>
                </c:pt>
                <c:pt idx="39">
                  <c:v>40239</c:v>
                </c:pt>
                <c:pt idx="40">
                  <c:v>40240</c:v>
                </c:pt>
                <c:pt idx="41">
                  <c:v>40241</c:v>
                </c:pt>
                <c:pt idx="42">
                  <c:v>40242</c:v>
                </c:pt>
                <c:pt idx="43">
                  <c:v>40245</c:v>
                </c:pt>
                <c:pt idx="44">
                  <c:v>40246</c:v>
                </c:pt>
                <c:pt idx="45">
                  <c:v>40247</c:v>
                </c:pt>
                <c:pt idx="46">
                  <c:v>40248</c:v>
                </c:pt>
                <c:pt idx="47">
                  <c:v>40249</c:v>
                </c:pt>
                <c:pt idx="48">
                  <c:v>40252</c:v>
                </c:pt>
                <c:pt idx="49">
                  <c:v>40253</c:v>
                </c:pt>
                <c:pt idx="50">
                  <c:v>40254</c:v>
                </c:pt>
                <c:pt idx="51">
                  <c:v>40255</c:v>
                </c:pt>
                <c:pt idx="52">
                  <c:v>40256</c:v>
                </c:pt>
                <c:pt idx="53">
                  <c:v>40259</c:v>
                </c:pt>
                <c:pt idx="54">
                  <c:v>40260</c:v>
                </c:pt>
                <c:pt idx="55">
                  <c:v>40261</c:v>
                </c:pt>
                <c:pt idx="56">
                  <c:v>40262</c:v>
                </c:pt>
                <c:pt idx="57">
                  <c:v>40263</c:v>
                </c:pt>
                <c:pt idx="58">
                  <c:v>40266</c:v>
                </c:pt>
                <c:pt idx="59">
                  <c:v>40267</c:v>
                </c:pt>
                <c:pt idx="60">
                  <c:v>40268</c:v>
                </c:pt>
                <c:pt idx="61">
                  <c:v>40269</c:v>
                </c:pt>
                <c:pt idx="62">
                  <c:v>40273</c:v>
                </c:pt>
                <c:pt idx="63">
                  <c:v>40274</c:v>
                </c:pt>
                <c:pt idx="64">
                  <c:v>40275</c:v>
                </c:pt>
                <c:pt idx="65">
                  <c:v>40276</c:v>
                </c:pt>
                <c:pt idx="66">
                  <c:v>40277</c:v>
                </c:pt>
                <c:pt idx="67">
                  <c:v>40280</c:v>
                </c:pt>
                <c:pt idx="68">
                  <c:v>40281</c:v>
                </c:pt>
                <c:pt idx="69">
                  <c:v>40282</c:v>
                </c:pt>
                <c:pt idx="70">
                  <c:v>40283</c:v>
                </c:pt>
                <c:pt idx="71">
                  <c:v>40284</c:v>
                </c:pt>
                <c:pt idx="72">
                  <c:v>40287</c:v>
                </c:pt>
                <c:pt idx="73">
                  <c:v>40288</c:v>
                </c:pt>
                <c:pt idx="74">
                  <c:v>40289</c:v>
                </c:pt>
                <c:pt idx="75">
                  <c:v>40290</c:v>
                </c:pt>
                <c:pt idx="76">
                  <c:v>40291</c:v>
                </c:pt>
                <c:pt idx="77">
                  <c:v>40294</c:v>
                </c:pt>
                <c:pt idx="78">
                  <c:v>40295</c:v>
                </c:pt>
                <c:pt idx="79">
                  <c:v>40296</c:v>
                </c:pt>
                <c:pt idx="80">
                  <c:v>40297</c:v>
                </c:pt>
                <c:pt idx="81">
                  <c:v>40298</c:v>
                </c:pt>
                <c:pt idx="82">
                  <c:v>40301</c:v>
                </c:pt>
                <c:pt idx="83">
                  <c:v>40302</c:v>
                </c:pt>
                <c:pt idx="84">
                  <c:v>40303</c:v>
                </c:pt>
                <c:pt idx="85">
                  <c:v>40304</c:v>
                </c:pt>
                <c:pt idx="86">
                  <c:v>40305</c:v>
                </c:pt>
                <c:pt idx="87">
                  <c:v>40308</c:v>
                </c:pt>
                <c:pt idx="88">
                  <c:v>40309</c:v>
                </c:pt>
                <c:pt idx="89">
                  <c:v>40310</c:v>
                </c:pt>
                <c:pt idx="90">
                  <c:v>40311</c:v>
                </c:pt>
                <c:pt idx="91">
                  <c:v>40312</c:v>
                </c:pt>
                <c:pt idx="92">
                  <c:v>40315</c:v>
                </c:pt>
                <c:pt idx="93">
                  <c:v>40316</c:v>
                </c:pt>
                <c:pt idx="94">
                  <c:v>40317</c:v>
                </c:pt>
                <c:pt idx="95">
                  <c:v>40318</c:v>
                </c:pt>
                <c:pt idx="96">
                  <c:v>40319</c:v>
                </c:pt>
                <c:pt idx="97">
                  <c:v>40322</c:v>
                </c:pt>
                <c:pt idx="98">
                  <c:v>40323</c:v>
                </c:pt>
                <c:pt idx="99">
                  <c:v>40324</c:v>
                </c:pt>
                <c:pt idx="100">
                  <c:v>40325</c:v>
                </c:pt>
                <c:pt idx="101">
                  <c:v>40326</c:v>
                </c:pt>
                <c:pt idx="102">
                  <c:v>40330</c:v>
                </c:pt>
                <c:pt idx="103">
                  <c:v>40331</c:v>
                </c:pt>
                <c:pt idx="104">
                  <c:v>40332</c:v>
                </c:pt>
                <c:pt idx="105">
                  <c:v>40333</c:v>
                </c:pt>
                <c:pt idx="106">
                  <c:v>40336</c:v>
                </c:pt>
                <c:pt idx="107">
                  <c:v>40337</c:v>
                </c:pt>
                <c:pt idx="108">
                  <c:v>40338</c:v>
                </c:pt>
                <c:pt idx="109">
                  <c:v>40339</c:v>
                </c:pt>
                <c:pt idx="110">
                  <c:v>40340</c:v>
                </c:pt>
                <c:pt idx="111">
                  <c:v>40343</c:v>
                </c:pt>
                <c:pt idx="112">
                  <c:v>40344</c:v>
                </c:pt>
                <c:pt idx="113">
                  <c:v>40345</c:v>
                </c:pt>
                <c:pt idx="114">
                  <c:v>40346</c:v>
                </c:pt>
                <c:pt idx="115">
                  <c:v>40347</c:v>
                </c:pt>
                <c:pt idx="116">
                  <c:v>40350</c:v>
                </c:pt>
                <c:pt idx="117">
                  <c:v>40351</c:v>
                </c:pt>
                <c:pt idx="118">
                  <c:v>40352</c:v>
                </c:pt>
                <c:pt idx="119">
                  <c:v>40353</c:v>
                </c:pt>
                <c:pt idx="120">
                  <c:v>40354</c:v>
                </c:pt>
                <c:pt idx="121">
                  <c:v>40357</c:v>
                </c:pt>
                <c:pt idx="122">
                  <c:v>40358</c:v>
                </c:pt>
                <c:pt idx="123">
                  <c:v>40359</c:v>
                </c:pt>
                <c:pt idx="124">
                  <c:v>40360</c:v>
                </c:pt>
                <c:pt idx="125">
                  <c:v>40361</c:v>
                </c:pt>
                <c:pt idx="126">
                  <c:v>40365</c:v>
                </c:pt>
                <c:pt idx="127">
                  <c:v>40366</c:v>
                </c:pt>
                <c:pt idx="128">
                  <c:v>40367</c:v>
                </c:pt>
                <c:pt idx="129">
                  <c:v>40368</c:v>
                </c:pt>
                <c:pt idx="130">
                  <c:v>40371</c:v>
                </c:pt>
                <c:pt idx="131">
                  <c:v>40372</c:v>
                </c:pt>
                <c:pt idx="132">
                  <c:v>40373</c:v>
                </c:pt>
                <c:pt idx="133">
                  <c:v>40374</c:v>
                </c:pt>
                <c:pt idx="134">
                  <c:v>40375</c:v>
                </c:pt>
                <c:pt idx="135">
                  <c:v>40378</c:v>
                </c:pt>
                <c:pt idx="136">
                  <c:v>40379</c:v>
                </c:pt>
                <c:pt idx="137">
                  <c:v>40380</c:v>
                </c:pt>
                <c:pt idx="138">
                  <c:v>40381</c:v>
                </c:pt>
                <c:pt idx="139">
                  <c:v>40382</c:v>
                </c:pt>
                <c:pt idx="140">
                  <c:v>40385</c:v>
                </c:pt>
                <c:pt idx="141">
                  <c:v>40386</c:v>
                </c:pt>
                <c:pt idx="142">
                  <c:v>40387</c:v>
                </c:pt>
                <c:pt idx="143">
                  <c:v>40388</c:v>
                </c:pt>
                <c:pt idx="144">
                  <c:v>40389</c:v>
                </c:pt>
                <c:pt idx="145">
                  <c:v>40392</c:v>
                </c:pt>
                <c:pt idx="146">
                  <c:v>40393</c:v>
                </c:pt>
                <c:pt idx="147">
                  <c:v>40394</c:v>
                </c:pt>
                <c:pt idx="148">
                  <c:v>40395</c:v>
                </c:pt>
                <c:pt idx="149">
                  <c:v>40396</c:v>
                </c:pt>
                <c:pt idx="150">
                  <c:v>40399</c:v>
                </c:pt>
                <c:pt idx="151">
                  <c:v>40400</c:v>
                </c:pt>
                <c:pt idx="152">
                  <c:v>40401</c:v>
                </c:pt>
                <c:pt idx="153">
                  <c:v>40402</c:v>
                </c:pt>
                <c:pt idx="154">
                  <c:v>40403</c:v>
                </c:pt>
                <c:pt idx="155">
                  <c:v>40406</c:v>
                </c:pt>
                <c:pt idx="156">
                  <c:v>40407</c:v>
                </c:pt>
                <c:pt idx="157">
                  <c:v>40408</c:v>
                </c:pt>
                <c:pt idx="158">
                  <c:v>40409</c:v>
                </c:pt>
                <c:pt idx="159">
                  <c:v>40410</c:v>
                </c:pt>
                <c:pt idx="160">
                  <c:v>40413</c:v>
                </c:pt>
                <c:pt idx="161">
                  <c:v>40414</c:v>
                </c:pt>
                <c:pt idx="162">
                  <c:v>40415</c:v>
                </c:pt>
                <c:pt idx="163">
                  <c:v>40416</c:v>
                </c:pt>
                <c:pt idx="164">
                  <c:v>40417</c:v>
                </c:pt>
                <c:pt idx="165">
                  <c:v>40420</c:v>
                </c:pt>
                <c:pt idx="166">
                  <c:v>40421</c:v>
                </c:pt>
                <c:pt idx="167">
                  <c:v>40422</c:v>
                </c:pt>
                <c:pt idx="168">
                  <c:v>40423</c:v>
                </c:pt>
                <c:pt idx="169">
                  <c:v>40424</c:v>
                </c:pt>
                <c:pt idx="170">
                  <c:v>40428</c:v>
                </c:pt>
                <c:pt idx="171">
                  <c:v>40429</c:v>
                </c:pt>
                <c:pt idx="172">
                  <c:v>40430</c:v>
                </c:pt>
                <c:pt idx="173">
                  <c:v>40431</c:v>
                </c:pt>
                <c:pt idx="174">
                  <c:v>40434</c:v>
                </c:pt>
                <c:pt idx="175">
                  <c:v>40435</c:v>
                </c:pt>
                <c:pt idx="176">
                  <c:v>40436</c:v>
                </c:pt>
                <c:pt idx="177">
                  <c:v>40437</c:v>
                </c:pt>
                <c:pt idx="178">
                  <c:v>40438</c:v>
                </c:pt>
                <c:pt idx="179">
                  <c:v>40441</c:v>
                </c:pt>
                <c:pt idx="180">
                  <c:v>40442</c:v>
                </c:pt>
                <c:pt idx="181">
                  <c:v>40443</c:v>
                </c:pt>
                <c:pt idx="182">
                  <c:v>40444</c:v>
                </c:pt>
                <c:pt idx="183">
                  <c:v>40445</c:v>
                </c:pt>
                <c:pt idx="184">
                  <c:v>40448</c:v>
                </c:pt>
                <c:pt idx="185">
                  <c:v>40449</c:v>
                </c:pt>
                <c:pt idx="186">
                  <c:v>40450</c:v>
                </c:pt>
                <c:pt idx="187">
                  <c:v>40451</c:v>
                </c:pt>
                <c:pt idx="188">
                  <c:v>40452</c:v>
                </c:pt>
                <c:pt idx="189">
                  <c:v>40455</c:v>
                </c:pt>
                <c:pt idx="190">
                  <c:v>40456</c:v>
                </c:pt>
                <c:pt idx="191">
                  <c:v>40457</c:v>
                </c:pt>
                <c:pt idx="192">
                  <c:v>40458</c:v>
                </c:pt>
                <c:pt idx="193">
                  <c:v>40459</c:v>
                </c:pt>
                <c:pt idx="194">
                  <c:v>40462</c:v>
                </c:pt>
                <c:pt idx="195">
                  <c:v>40463</c:v>
                </c:pt>
                <c:pt idx="196">
                  <c:v>40464</c:v>
                </c:pt>
                <c:pt idx="197">
                  <c:v>40465</c:v>
                </c:pt>
                <c:pt idx="198">
                  <c:v>40466</c:v>
                </c:pt>
                <c:pt idx="199">
                  <c:v>40469</c:v>
                </c:pt>
                <c:pt idx="200">
                  <c:v>40470</c:v>
                </c:pt>
                <c:pt idx="201">
                  <c:v>40471</c:v>
                </c:pt>
                <c:pt idx="202">
                  <c:v>40472</c:v>
                </c:pt>
                <c:pt idx="203">
                  <c:v>40473</c:v>
                </c:pt>
                <c:pt idx="204">
                  <c:v>40476</c:v>
                </c:pt>
                <c:pt idx="205">
                  <c:v>40477</c:v>
                </c:pt>
                <c:pt idx="206">
                  <c:v>40478</c:v>
                </c:pt>
                <c:pt idx="207">
                  <c:v>40479</c:v>
                </c:pt>
                <c:pt idx="208">
                  <c:v>40480</c:v>
                </c:pt>
                <c:pt idx="209">
                  <c:v>40483</c:v>
                </c:pt>
                <c:pt idx="210">
                  <c:v>40484</c:v>
                </c:pt>
                <c:pt idx="211">
                  <c:v>40485</c:v>
                </c:pt>
                <c:pt idx="212">
                  <c:v>40486</c:v>
                </c:pt>
                <c:pt idx="213">
                  <c:v>40487</c:v>
                </c:pt>
                <c:pt idx="214">
                  <c:v>40490</c:v>
                </c:pt>
                <c:pt idx="215">
                  <c:v>40491</c:v>
                </c:pt>
                <c:pt idx="216">
                  <c:v>40492</c:v>
                </c:pt>
                <c:pt idx="217">
                  <c:v>40493</c:v>
                </c:pt>
                <c:pt idx="218">
                  <c:v>40494</c:v>
                </c:pt>
                <c:pt idx="219">
                  <c:v>40497</c:v>
                </c:pt>
                <c:pt idx="220">
                  <c:v>40498</c:v>
                </c:pt>
                <c:pt idx="221">
                  <c:v>40499</c:v>
                </c:pt>
                <c:pt idx="222">
                  <c:v>40500</c:v>
                </c:pt>
                <c:pt idx="223">
                  <c:v>40501</c:v>
                </c:pt>
                <c:pt idx="224">
                  <c:v>40504</c:v>
                </c:pt>
                <c:pt idx="225">
                  <c:v>40505</c:v>
                </c:pt>
                <c:pt idx="226">
                  <c:v>40506</c:v>
                </c:pt>
                <c:pt idx="227">
                  <c:v>40508</c:v>
                </c:pt>
                <c:pt idx="228">
                  <c:v>40511</c:v>
                </c:pt>
                <c:pt idx="229">
                  <c:v>40512</c:v>
                </c:pt>
                <c:pt idx="230">
                  <c:v>40513</c:v>
                </c:pt>
                <c:pt idx="231">
                  <c:v>40514</c:v>
                </c:pt>
                <c:pt idx="232">
                  <c:v>40515</c:v>
                </c:pt>
                <c:pt idx="233">
                  <c:v>40518</c:v>
                </c:pt>
                <c:pt idx="234">
                  <c:v>40519</c:v>
                </c:pt>
                <c:pt idx="235">
                  <c:v>40520</c:v>
                </c:pt>
                <c:pt idx="236">
                  <c:v>40521</c:v>
                </c:pt>
                <c:pt idx="237">
                  <c:v>40522</c:v>
                </c:pt>
                <c:pt idx="238">
                  <c:v>40525</c:v>
                </c:pt>
                <c:pt idx="239">
                  <c:v>40526</c:v>
                </c:pt>
                <c:pt idx="240">
                  <c:v>40527</c:v>
                </c:pt>
                <c:pt idx="241">
                  <c:v>40528</c:v>
                </c:pt>
                <c:pt idx="242">
                  <c:v>40529</c:v>
                </c:pt>
                <c:pt idx="243">
                  <c:v>40532</c:v>
                </c:pt>
                <c:pt idx="244">
                  <c:v>40533</c:v>
                </c:pt>
                <c:pt idx="245">
                  <c:v>40534</c:v>
                </c:pt>
                <c:pt idx="246">
                  <c:v>40535</c:v>
                </c:pt>
                <c:pt idx="247">
                  <c:v>40539</c:v>
                </c:pt>
                <c:pt idx="248">
                  <c:v>40540</c:v>
                </c:pt>
                <c:pt idx="249">
                  <c:v>40541</c:v>
                </c:pt>
                <c:pt idx="250">
                  <c:v>40542</c:v>
                </c:pt>
                <c:pt idx="251">
                  <c:v>40543</c:v>
                </c:pt>
                <c:pt idx="252">
                  <c:v>40546</c:v>
                </c:pt>
                <c:pt idx="253">
                  <c:v>40547</c:v>
                </c:pt>
                <c:pt idx="254">
                  <c:v>40548</c:v>
                </c:pt>
                <c:pt idx="255">
                  <c:v>40549</c:v>
                </c:pt>
                <c:pt idx="256">
                  <c:v>40550</c:v>
                </c:pt>
                <c:pt idx="257">
                  <c:v>40553</c:v>
                </c:pt>
                <c:pt idx="258">
                  <c:v>40554</c:v>
                </c:pt>
                <c:pt idx="259">
                  <c:v>40555</c:v>
                </c:pt>
                <c:pt idx="260">
                  <c:v>40556</c:v>
                </c:pt>
                <c:pt idx="261">
                  <c:v>40557</c:v>
                </c:pt>
                <c:pt idx="262">
                  <c:v>40561</c:v>
                </c:pt>
                <c:pt idx="263">
                  <c:v>40562</c:v>
                </c:pt>
                <c:pt idx="264">
                  <c:v>40563</c:v>
                </c:pt>
                <c:pt idx="265">
                  <c:v>40564</c:v>
                </c:pt>
                <c:pt idx="266">
                  <c:v>40567</c:v>
                </c:pt>
                <c:pt idx="267">
                  <c:v>40568</c:v>
                </c:pt>
                <c:pt idx="268">
                  <c:v>40569</c:v>
                </c:pt>
                <c:pt idx="269">
                  <c:v>40570</c:v>
                </c:pt>
                <c:pt idx="270">
                  <c:v>40571</c:v>
                </c:pt>
                <c:pt idx="271">
                  <c:v>40574</c:v>
                </c:pt>
                <c:pt idx="272">
                  <c:v>40575</c:v>
                </c:pt>
                <c:pt idx="273">
                  <c:v>40576</c:v>
                </c:pt>
                <c:pt idx="274">
                  <c:v>40577</c:v>
                </c:pt>
                <c:pt idx="275">
                  <c:v>40578</c:v>
                </c:pt>
                <c:pt idx="276">
                  <c:v>40581</c:v>
                </c:pt>
                <c:pt idx="277">
                  <c:v>40582</c:v>
                </c:pt>
                <c:pt idx="278">
                  <c:v>40583</c:v>
                </c:pt>
                <c:pt idx="279">
                  <c:v>40584</c:v>
                </c:pt>
                <c:pt idx="280">
                  <c:v>40585</c:v>
                </c:pt>
                <c:pt idx="281">
                  <c:v>40588</c:v>
                </c:pt>
                <c:pt idx="282">
                  <c:v>40589</c:v>
                </c:pt>
                <c:pt idx="283">
                  <c:v>40590</c:v>
                </c:pt>
                <c:pt idx="284">
                  <c:v>40591</c:v>
                </c:pt>
                <c:pt idx="285">
                  <c:v>40592</c:v>
                </c:pt>
                <c:pt idx="286">
                  <c:v>40596</c:v>
                </c:pt>
                <c:pt idx="287">
                  <c:v>40597</c:v>
                </c:pt>
                <c:pt idx="288">
                  <c:v>40598</c:v>
                </c:pt>
                <c:pt idx="289">
                  <c:v>40599</c:v>
                </c:pt>
                <c:pt idx="290">
                  <c:v>40602</c:v>
                </c:pt>
                <c:pt idx="291">
                  <c:v>40603</c:v>
                </c:pt>
                <c:pt idx="292">
                  <c:v>40604</c:v>
                </c:pt>
                <c:pt idx="293">
                  <c:v>40605</c:v>
                </c:pt>
                <c:pt idx="294">
                  <c:v>40606</c:v>
                </c:pt>
                <c:pt idx="295">
                  <c:v>40609</c:v>
                </c:pt>
                <c:pt idx="296">
                  <c:v>40610</c:v>
                </c:pt>
                <c:pt idx="297">
                  <c:v>40611</c:v>
                </c:pt>
                <c:pt idx="298">
                  <c:v>40612</c:v>
                </c:pt>
                <c:pt idx="299">
                  <c:v>40613</c:v>
                </c:pt>
                <c:pt idx="300">
                  <c:v>40616</c:v>
                </c:pt>
                <c:pt idx="301">
                  <c:v>40617</c:v>
                </c:pt>
                <c:pt idx="302">
                  <c:v>40618</c:v>
                </c:pt>
                <c:pt idx="303">
                  <c:v>40619</c:v>
                </c:pt>
                <c:pt idx="304">
                  <c:v>40620</c:v>
                </c:pt>
                <c:pt idx="305">
                  <c:v>40623</c:v>
                </c:pt>
                <c:pt idx="306">
                  <c:v>40624</c:v>
                </c:pt>
                <c:pt idx="307">
                  <c:v>40625</c:v>
                </c:pt>
                <c:pt idx="308">
                  <c:v>40626</c:v>
                </c:pt>
                <c:pt idx="309">
                  <c:v>40627</c:v>
                </c:pt>
                <c:pt idx="310">
                  <c:v>40630</c:v>
                </c:pt>
                <c:pt idx="311">
                  <c:v>40631</c:v>
                </c:pt>
                <c:pt idx="312">
                  <c:v>40632</c:v>
                </c:pt>
                <c:pt idx="313">
                  <c:v>40633</c:v>
                </c:pt>
                <c:pt idx="314">
                  <c:v>40634</c:v>
                </c:pt>
                <c:pt idx="315">
                  <c:v>40637</c:v>
                </c:pt>
                <c:pt idx="316">
                  <c:v>40638</c:v>
                </c:pt>
                <c:pt idx="317">
                  <c:v>40639</c:v>
                </c:pt>
                <c:pt idx="318">
                  <c:v>40640</c:v>
                </c:pt>
                <c:pt idx="319">
                  <c:v>40641</c:v>
                </c:pt>
                <c:pt idx="320">
                  <c:v>40644</c:v>
                </c:pt>
                <c:pt idx="321">
                  <c:v>40645</c:v>
                </c:pt>
                <c:pt idx="322">
                  <c:v>40646</c:v>
                </c:pt>
                <c:pt idx="323">
                  <c:v>40647</c:v>
                </c:pt>
                <c:pt idx="324">
                  <c:v>40651</c:v>
                </c:pt>
                <c:pt idx="325">
                  <c:v>40652</c:v>
                </c:pt>
                <c:pt idx="326">
                  <c:v>40653</c:v>
                </c:pt>
                <c:pt idx="327">
                  <c:v>40654</c:v>
                </c:pt>
                <c:pt idx="328">
                  <c:v>40658</c:v>
                </c:pt>
                <c:pt idx="329">
                  <c:v>40659</c:v>
                </c:pt>
                <c:pt idx="330">
                  <c:v>40660</c:v>
                </c:pt>
                <c:pt idx="331">
                  <c:v>40661</c:v>
                </c:pt>
                <c:pt idx="332">
                  <c:v>40662</c:v>
                </c:pt>
                <c:pt idx="333">
                  <c:v>40665</c:v>
                </c:pt>
                <c:pt idx="334">
                  <c:v>40666</c:v>
                </c:pt>
                <c:pt idx="335">
                  <c:v>40667</c:v>
                </c:pt>
                <c:pt idx="336">
                  <c:v>40668</c:v>
                </c:pt>
                <c:pt idx="337">
                  <c:v>40669</c:v>
                </c:pt>
                <c:pt idx="338">
                  <c:v>40672</c:v>
                </c:pt>
                <c:pt idx="339">
                  <c:v>40673</c:v>
                </c:pt>
                <c:pt idx="340">
                  <c:v>40674</c:v>
                </c:pt>
                <c:pt idx="341">
                  <c:v>40675</c:v>
                </c:pt>
                <c:pt idx="342">
                  <c:v>40676</c:v>
                </c:pt>
                <c:pt idx="343">
                  <c:v>40679</c:v>
                </c:pt>
                <c:pt idx="344">
                  <c:v>40680</c:v>
                </c:pt>
                <c:pt idx="345">
                  <c:v>40681</c:v>
                </c:pt>
                <c:pt idx="346">
                  <c:v>40682</c:v>
                </c:pt>
                <c:pt idx="347">
                  <c:v>40683</c:v>
                </c:pt>
                <c:pt idx="348">
                  <c:v>40686</c:v>
                </c:pt>
                <c:pt idx="349">
                  <c:v>40687</c:v>
                </c:pt>
                <c:pt idx="350">
                  <c:v>40688</c:v>
                </c:pt>
                <c:pt idx="351">
                  <c:v>40689</c:v>
                </c:pt>
                <c:pt idx="352">
                  <c:v>40690</c:v>
                </c:pt>
                <c:pt idx="353">
                  <c:v>40694</c:v>
                </c:pt>
                <c:pt idx="354">
                  <c:v>40695</c:v>
                </c:pt>
                <c:pt idx="355">
                  <c:v>40696</c:v>
                </c:pt>
                <c:pt idx="356">
                  <c:v>40697</c:v>
                </c:pt>
                <c:pt idx="357">
                  <c:v>40700</c:v>
                </c:pt>
                <c:pt idx="358">
                  <c:v>40701</c:v>
                </c:pt>
                <c:pt idx="359">
                  <c:v>40702</c:v>
                </c:pt>
                <c:pt idx="360">
                  <c:v>40703</c:v>
                </c:pt>
                <c:pt idx="361">
                  <c:v>40704</c:v>
                </c:pt>
                <c:pt idx="362">
                  <c:v>40707</c:v>
                </c:pt>
                <c:pt idx="363">
                  <c:v>40708</c:v>
                </c:pt>
                <c:pt idx="364">
                  <c:v>40709</c:v>
                </c:pt>
                <c:pt idx="365">
                  <c:v>40710</c:v>
                </c:pt>
                <c:pt idx="366">
                  <c:v>40711</c:v>
                </c:pt>
                <c:pt idx="367">
                  <c:v>40714</c:v>
                </c:pt>
                <c:pt idx="368">
                  <c:v>40715</c:v>
                </c:pt>
                <c:pt idx="369">
                  <c:v>40716</c:v>
                </c:pt>
                <c:pt idx="370">
                  <c:v>40717</c:v>
                </c:pt>
                <c:pt idx="371">
                  <c:v>40718</c:v>
                </c:pt>
                <c:pt idx="372">
                  <c:v>40721</c:v>
                </c:pt>
                <c:pt idx="373">
                  <c:v>40722</c:v>
                </c:pt>
                <c:pt idx="374">
                  <c:v>40723</c:v>
                </c:pt>
                <c:pt idx="375">
                  <c:v>40724</c:v>
                </c:pt>
                <c:pt idx="376">
                  <c:v>40725</c:v>
                </c:pt>
                <c:pt idx="377">
                  <c:v>40729</c:v>
                </c:pt>
                <c:pt idx="378">
                  <c:v>40730</c:v>
                </c:pt>
                <c:pt idx="379">
                  <c:v>40731</c:v>
                </c:pt>
                <c:pt idx="380">
                  <c:v>40732</c:v>
                </c:pt>
                <c:pt idx="381">
                  <c:v>40735</c:v>
                </c:pt>
                <c:pt idx="382">
                  <c:v>40736</c:v>
                </c:pt>
                <c:pt idx="383">
                  <c:v>40737</c:v>
                </c:pt>
                <c:pt idx="384">
                  <c:v>40738</c:v>
                </c:pt>
                <c:pt idx="385">
                  <c:v>40739</c:v>
                </c:pt>
                <c:pt idx="386">
                  <c:v>40742</c:v>
                </c:pt>
                <c:pt idx="387">
                  <c:v>40743</c:v>
                </c:pt>
                <c:pt idx="388">
                  <c:v>40744</c:v>
                </c:pt>
                <c:pt idx="389">
                  <c:v>40745</c:v>
                </c:pt>
                <c:pt idx="390">
                  <c:v>40746</c:v>
                </c:pt>
                <c:pt idx="391">
                  <c:v>40749</c:v>
                </c:pt>
                <c:pt idx="392">
                  <c:v>40750</c:v>
                </c:pt>
                <c:pt idx="393">
                  <c:v>40751</c:v>
                </c:pt>
                <c:pt idx="394">
                  <c:v>40752</c:v>
                </c:pt>
                <c:pt idx="395">
                  <c:v>40753</c:v>
                </c:pt>
                <c:pt idx="396">
                  <c:v>40756</c:v>
                </c:pt>
                <c:pt idx="397">
                  <c:v>40757</c:v>
                </c:pt>
                <c:pt idx="398">
                  <c:v>40758</c:v>
                </c:pt>
                <c:pt idx="399">
                  <c:v>40759</c:v>
                </c:pt>
                <c:pt idx="400">
                  <c:v>40760</c:v>
                </c:pt>
                <c:pt idx="401">
                  <c:v>40763</c:v>
                </c:pt>
                <c:pt idx="402">
                  <c:v>40764</c:v>
                </c:pt>
                <c:pt idx="403">
                  <c:v>40765</c:v>
                </c:pt>
                <c:pt idx="404">
                  <c:v>40766</c:v>
                </c:pt>
                <c:pt idx="405">
                  <c:v>40767</c:v>
                </c:pt>
                <c:pt idx="406">
                  <c:v>40770</c:v>
                </c:pt>
                <c:pt idx="407">
                  <c:v>40771</c:v>
                </c:pt>
                <c:pt idx="408">
                  <c:v>40772</c:v>
                </c:pt>
                <c:pt idx="409">
                  <c:v>40773</c:v>
                </c:pt>
                <c:pt idx="410">
                  <c:v>40774</c:v>
                </c:pt>
                <c:pt idx="411">
                  <c:v>40777</c:v>
                </c:pt>
                <c:pt idx="412">
                  <c:v>40778</c:v>
                </c:pt>
                <c:pt idx="413">
                  <c:v>40779</c:v>
                </c:pt>
                <c:pt idx="414">
                  <c:v>40780</c:v>
                </c:pt>
                <c:pt idx="415">
                  <c:v>40781</c:v>
                </c:pt>
                <c:pt idx="416">
                  <c:v>40784</c:v>
                </c:pt>
                <c:pt idx="417">
                  <c:v>40785</c:v>
                </c:pt>
                <c:pt idx="418">
                  <c:v>40786</c:v>
                </c:pt>
                <c:pt idx="419">
                  <c:v>40787</c:v>
                </c:pt>
                <c:pt idx="420">
                  <c:v>40788</c:v>
                </c:pt>
                <c:pt idx="421">
                  <c:v>40792</c:v>
                </c:pt>
                <c:pt idx="422">
                  <c:v>40793</c:v>
                </c:pt>
                <c:pt idx="423">
                  <c:v>40794</c:v>
                </c:pt>
                <c:pt idx="424">
                  <c:v>40795</c:v>
                </c:pt>
                <c:pt idx="425">
                  <c:v>40798</c:v>
                </c:pt>
                <c:pt idx="426">
                  <c:v>40799</c:v>
                </c:pt>
                <c:pt idx="427">
                  <c:v>40800</c:v>
                </c:pt>
                <c:pt idx="428">
                  <c:v>40801</c:v>
                </c:pt>
                <c:pt idx="429">
                  <c:v>40802</c:v>
                </c:pt>
                <c:pt idx="430">
                  <c:v>40805</c:v>
                </c:pt>
                <c:pt idx="431">
                  <c:v>40806</c:v>
                </c:pt>
                <c:pt idx="432">
                  <c:v>40807</c:v>
                </c:pt>
                <c:pt idx="433">
                  <c:v>40808</c:v>
                </c:pt>
                <c:pt idx="434">
                  <c:v>40809</c:v>
                </c:pt>
                <c:pt idx="435">
                  <c:v>40812</c:v>
                </c:pt>
                <c:pt idx="436">
                  <c:v>40813</c:v>
                </c:pt>
                <c:pt idx="437">
                  <c:v>40814</c:v>
                </c:pt>
                <c:pt idx="438">
                  <c:v>40815</c:v>
                </c:pt>
                <c:pt idx="439">
                  <c:v>40816</c:v>
                </c:pt>
                <c:pt idx="440">
                  <c:v>40819</c:v>
                </c:pt>
                <c:pt idx="441">
                  <c:v>40820</c:v>
                </c:pt>
                <c:pt idx="442">
                  <c:v>40821</c:v>
                </c:pt>
                <c:pt idx="443">
                  <c:v>40822</c:v>
                </c:pt>
                <c:pt idx="444">
                  <c:v>40823</c:v>
                </c:pt>
                <c:pt idx="445">
                  <c:v>40826</c:v>
                </c:pt>
                <c:pt idx="446">
                  <c:v>40827</c:v>
                </c:pt>
                <c:pt idx="447">
                  <c:v>40828</c:v>
                </c:pt>
                <c:pt idx="448">
                  <c:v>40829</c:v>
                </c:pt>
                <c:pt idx="449">
                  <c:v>40830</c:v>
                </c:pt>
                <c:pt idx="450">
                  <c:v>40833</c:v>
                </c:pt>
                <c:pt idx="451">
                  <c:v>40834</c:v>
                </c:pt>
                <c:pt idx="452">
                  <c:v>40835</c:v>
                </c:pt>
                <c:pt idx="453">
                  <c:v>40836</c:v>
                </c:pt>
                <c:pt idx="454">
                  <c:v>40837</c:v>
                </c:pt>
                <c:pt idx="455">
                  <c:v>40840</c:v>
                </c:pt>
                <c:pt idx="456">
                  <c:v>40841</c:v>
                </c:pt>
                <c:pt idx="457">
                  <c:v>40842</c:v>
                </c:pt>
                <c:pt idx="458">
                  <c:v>40843</c:v>
                </c:pt>
                <c:pt idx="459">
                  <c:v>40844</c:v>
                </c:pt>
                <c:pt idx="460">
                  <c:v>40847</c:v>
                </c:pt>
                <c:pt idx="461">
                  <c:v>40848</c:v>
                </c:pt>
                <c:pt idx="462">
                  <c:v>40849</c:v>
                </c:pt>
                <c:pt idx="463">
                  <c:v>40850</c:v>
                </c:pt>
                <c:pt idx="464">
                  <c:v>40851</c:v>
                </c:pt>
                <c:pt idx="465">
                  <c:v>40854</c:v>
                </c:pt>
                <c:pt idx="466">
                  <c:v>40855</c:v>
                </c:pt>
                <c:pt idx="467">
                  <c:v>40856</c:v>
                </c:pt>
                <c:pt idx="468">
                  <c:v>40857</c:v>
                </c:pt>
                <c:pt idx="469">
                  <c:v>40858</c:v>
                </c:pt>
                <c:pt idx="470">
                  <c:v>40861</c:v>
                </c:pt>
                <c:pt idx="471">
                  <c:v>40862</c:v>
                </c:pt>
                <c:pt idx="472">
                  <c:v>40863</c:v>
                </c:pt>
                <c:pt idx="473">
                  <c:v>40864</c:v>
                </c:pt>
                <c:pt idx="474">
                  <c:v>40865</c:v>
                </c:pt>
                <c:pt idx="475">
                  <c:v>40868</c:v>
                </c:pt>
                <c:pt idx="476">
                  <c:v>40869</c:v>
                </c:pt>
                <c:pt idx="477">
                  <c:v>40870</c:v>
                </c:pt>
                <c:pt idx="478">
                  <c:v>40872</c:v>
                </c:pt>
                <c:pt idx="479">
                  <c:v>40875</c:v>
                </c:pt>
                <c:pt idx="480">
                  <c:v>40876</c:v>
                </c:pt>
                <c:pt idx="481">
                  <c:v>40877</c:v>
                </c:pt>
                <c:pt idx="482">
                  <c:v>40878</c:v>
                </c:pt>
                <c:pt idx="483">
                  <c:v>40879</c:v>
                </c:pt>
                <c:pt idx="484">
                  <c:v>40882</c:v>
                </c:pt>
                <c:pt idx="485">
                  <c:v>40883</c:v>
                </c:pt>
                <c:pt idx="486">
                  <c:v>40884</c:v>
                </c:pt>
                <c:pt idx="487">
                  <c:v>40885</c:v>
                </c:pt>
                <c:pt idx="488">
                  <c:v>40886</c:v>
                </c:pt>
                <c:pt idx="489">
                  <c:v>40889</c:v>
                </c:pt>
                <c:pt idx="490">
                  <c:v>40890</c:v>
                </c:pt>
                <c:pt idx="491">
                  <c:v>40891</c:v>
                </c:pt>
                <c:pt idx="492">
                  <c:v>40892</c:v>
                </c:pt>
                <c:pt idx="493">
                  <c:v>40893</c:v>
                </c:pt>
                <c:pt idx="494">
                  <c:v>40896</c:v>
                </c:pt>
                <c:pt idx="495">
                  <c:v>40897</c:v>
                </c:pt>
                <c:pt idx="496">
                  <c:v>40898</c:v>
                </c:pt>
                <c:pt idx="497">
                  <c:v>40899</c:v>
                </c:pt>
                <c:pt idx="498">
                  <c:v>40900</c:v>
                </c:pt>
                <c:pt idx="499">
                  <c:v>40904</c:v>
                </c:pt>
                <c:pt idx="500">
                  <c:v>40905</c:v>
                </c:pt>
                <c:pt idx="501">
                  <c:v>40906</c:v>
                </c:pt>
                <c:pt idx="502">
                  <c:v>40907</c:v>
                </c:pt>
                <c:pt idx="503">
                  <c:v>40911</c:v>
                </c:pt>
                <c:pt idx="504">
                  <c:v>40912</c:v>
                </c:pt>
                <c:pt idx="505">
                  <c:v>40913</c:v>
                </c:pt>
                <c:pt idx="506">
                  <c:v>40914</c:v>
                </c:pt>
                <c:pt idx="507">
                  <c:v>40917</c:v>
                </c:pt>
                <c:pt idx="508">
                  <c:v>40918</c:v>
                </c:pt>
                <c:pt idx="509">
                  <c:v>40919</c:v>
                </c:pt>
                <c:pt idx="510">
                  <c:v>40920</c:v>
                </c:pt>
                <c:pt idx="511">
                  <c:v>40921</c:v>
                </c:pt>
                <c:pt idx="512">
                  <c:v>40925</c:v>
                </c:pt>
                <c:pt idx="513">
                  <c:v>40926</c:v>
                </c:pt>
                <c:pt idx="514">
                  <c:v>40927</c:v>
                </c:pt>
                <c:pt idx="515">
                  <c:v>40928</c:v>
                </c:pt>
                <c:pt idx="516">
                  <c:v>40931</c:v>
                </c:pt>
                <c:pt idx="517">
                  <c:v>40932</c:v>
                </c:pt>
                <c:pt idx="518">
                  <c:v>40933</c:v>
                </c:pt>
                <c:pt idx="519">
                  <c:v>40934</c:v>
                </c:pt>
                <c:pt idx="520">
                  <c:v>40935</c:v>
                </c:pt>
                <c:pt idx="521">
                  <c:v>40938</c:v>
                </c:pt>
                <c:pt idx="522">
                  <c:v>40939</c:v>
                </c:pt>
                <c:pt idx="523">
                  <c:v>40940</c:v>
                </c:pt>
                <c:pt idx="524">
                  <c:v>40941</c:v>
                </c:pt>
                <c:pt idx="525">
                  <c:v>40942</c:v>
                </c:pt>
                <c:pt idx="526">
                  <c:v>40945</c:v>
                </c:pt>
                <c:pt idx="527">
                  <c:v>40946</c:v>
                </c:pt>
                <c:pt idx="528">
                  <c:v>40947</c:v>
                </c:pt>
                <c:pt idx="529">
                  <c:v>40948</c:v>
                </c:pt>
                <c:pt idx="530">
                  <c:v>40949</c:v>
                </c:pt>
                <c:pt idx="531">
                  <c:v>40952</c:v>
                </c:pt>
                <c:pt idx="532">
                  <c:v>40953</c:v>
                </c:pt>
                <c:pt idx="533">
                  <c:v>40954</c:v>
                </c:pt>
                <c:pt idx="534">
                  <c:v>40955</c:v>
                </c:pt>
                <c:pt idx="535">
                  <c:v>40956</c:v>
                </c:pt>
                <c:pt idx="536">
                  <c:v>40960</c:v>
                </c:pt>
                <c:pt idx="537">
                  <c:v>40961</c:v>
                </c:pt>
                <c:pt idx="538">
                  <c:v>40962</c:v>
                </c:pt>
                <c:pt idx="539">
                  <c:v>40963</c:v>
                </c:pt>
                <c:pt idx="540">
                  <c:v>40966</c:v>
                </c:pt>
                <c:pt idx="541">
                  <c:v>40967</c:v>
                </c:pt>
                <c:pt idx="542">
                  <c:v>40968</c:v>
                </c:pt>
                <c:pt idx="543">
                  <c:v>40969</c:v>
                </c:pt>
                <c:pt idx="544">
                  <c:v>40970</c:v>
                </c:pt>
                <c:pt idx="545">
                  <c:v>40973</c:v>
                </c:pt>
                <c:pt idx="546">
                  <c:v>40974</c:v>
                </c:pt>
                <c:pt idx="547">
                  <c:v>40975</c:v>
                </c:pt>
                <c:pt idx="548">
                  <c:v>40976</c:v>
                </c:pt>
                <c:pt idx="549">
                  <c:v>40977</c:v>
                </c:pt>
                <c:pt idx="550">
                  <c:v>40980</c:v>
                </c:pt>
                <c:pt idx="551">
                  <c:v>40981</c:v>
                </c:pt>
                <c:pt idx="552">
                  <c:v>40982</c:v>
                </c:pt>
                <c:pt idx="553">
                  <c:v>40983</c:v>
                </c:pt>
                <c:pt idx="554">
                  <c:v>40984</c:v>
                </c:pt>
                <c:pt idx="555">
                  <c:v>40987</c:v>
                </c:pt>
                <c:pt idx="556">
                  <c:v>40988</c:v>
                </c:pt>
                <c:pt idx="557">
                  <c:v>40989</c:v>
                </c:pt>
                <c:pt idx="558">
                  <c:v>40990</c:v>
                </c:pt>
                <c:pt idx="559">
                  <c:v>40991</c:v>
                </c:pt>
                <c:pt idx="560">
                  <c:v>40994</c:v>
                </c:pt>
                <c:pt idx="561">
                  <c:v>40995</c:v>
                </c:pt>
                <c:pt idx="562">
                  <c:v>40996</c:v>
                </c:pt>
                <c:pt idx="563">
                  <c:v>40997</c:v>
                </c:pt>
                <c:pt idx="564">
                  <c:v>40998</c:v>
                </c:pt>
                <c:pt idx="565">
                  <c:v>41001</c:v>
                </c:pt>
                <c:pt idx="566">
                  <c:v>41002</c:v>
                </c:pt>
                <c:pt idx="567">
                  <c:v>41003</c:v>
                </c:pt>
                <c:pt idx="568">
                  <c:v>41004</c:v>
                </c:pt>
                <c:pt idx="569">
                  <c:v>41008</c:v>
                </c:pt>
                <c:pt idx="570">
                  <c:v>41009</c:v>
                </c:pt>
                <c:pt idx="571">
                  <c:v>41010</c:v>
                </c:pt>
                <c:pt idx="572">
                  <c:v>41011</c:v>
                </c:pt>
                <c:pt idx="573">
                  <c:v>41012</c:v>
                </c:pt>
                <c:pt idx="574">
                  <c:v>41015</c:v>
                </c:pt>
                <c:pt idx="575">
                  <c:v>41016</c:v>
                </c:pt>
                <c:pt idx="576">
                  <c:v>41017</c:v>
                </c:pt>
                <c:pt idx="577">
                  <c:v>41018</c:v>
                </c:pt>
                <c:pt idx="578">
                  <c:v>41019</c:v>
                </c:pt>
                <c:pt idx="579">
                  <c:v>41022</c:v>
                </c:pt>
                <c:pt idx="580">
                  <c:v>41023</c:v>
                </c:pt>
                <c:pt idx="581">
                  <c:v>41024</c:v>
                </c:pt>
                <c:pt idx="582">
                  <c:v>41025</c:v>
                </c:pt>
                <c:pt idx="583">
                  <c:v>41026</c:v>
                </c:pt>
                <c:pt idx="584">
                  <c:v>41029</c:v>
                </c:pt>
                <c:pt idx="585">
                  <c:v>41030</c:v>
                </c:pt>
                <c:pt idx="586">
                  <c:v>41031</c:v>
                </c:pt>
                <c:pt idx="587">
                  <c:v>41032</c:v>
                </c:pt>
                <c:pt idx="588">
                  <c:v>41033</c:v>
                </c:pt>
                <c:pt idx="589">
                  <c:v>41036</c:v>
                </c:pt>
                <c:pt idx="590">
                  <c:v>41037</c:v>
                </c:pt>
                <c:pt idx="591">
                  <c:v>41038</c:v>
                </c:pt>
                <c:pt idx="592">
                  <c:v>41039</c:v>
                </c:pt>
                <c:pt idx="593">
                  <c:v>41040</c:v>
                </c:pt>
                <c:pt idx="594">
                  <c:v>41043</c:v>
                </c:pt>
                <c:pt idx="595">
                  <c:v>41044</c:v>
                </c:pt>
                <c:pt idx="596">
                  <c:v>41045</c:v>
                </c:pt>
                <c:pt idx="597">
                  <c:v>41046</c:v>
                </c:pt>
                <c:pt idx="598">
                  <c:v>41047</c:v>
                </c:pt>
                <c:pt idx="599">
                  <c:v>41050</c:v>
                </c:pt>
                <c:pt idx="600">
                  <c:v>41051</c:v>
                </c:pt>
                <c:pt idx="601">
                  <c:v>41052</c:v>
                </c:pt>
                <c:pt idx="602">
                  <c:v>41053</c:v>
                </c:pt>
                <c:pt idx="603">
                  <c:v>41054</c:v>
                </c:pt>
                <c:pt idx="604">
                  <c:v>41058</c:v>
                </c:pt>
                <c:pt idx="605">
                  <c:v>41059</c:v>
                </c:pt>
                <c:pt idx="606">
                  <c:v>41060</c:v>
                </c:pt>
                <c:pt idx="607">
                  <c:v>41061</c:v>
                </c:pt>
                <c:pt idx="608">
                  <c:v>41064</c:v>
                </c:pt>
                <c:pt idx="609">
                  <c:v>41065</c:v>
                </c:pt>
                <c:pt idx="610">
                  <c:v>41066</c:v>
                </c:pt>
                <c:pt idx="611">
                  <c:v>41067</c:v>
                </c:pt>
                <c:pt idx="612">
                  <c:v>41068</c:v>
                </c:pt>
                <c:pt idx="613">
                  <c:v>41071</c:v>
                </c:pt>
                <c:pt idx="614">
                  <c:v>41072</c:v>
                </c:pt>
                <c:pt idx="615">
                  <c:v>41073</c:v>
                </c:pt>
                <c:pt idx="616">
                  <c:v>41074</c:v>
                </c:pt>
                <c:pt idx="617">
                  <c:v>41075</c:v>
                </c:pt>
                <c:pt idx="618">
                  <c:v>41078</c:v>
                </c:pt>
                <c:pt idx="619">
                  <c:v>41079</c:v>
                </c:pt>
                <c:pt idx="620">
                  <c:v>41080</c:v>
                </c:pt>
                <c:pt idx="621">
                  <c:v>41081</c:v>
                </c:pt>
                <c:pt idx="622">
                  <c:v>41082</c:v>
                </c:pt>
                <c:pt idx="623">
                  <c:v>41085</c:v>
                </c:pt>
                <c:pt idx="624">
                  <c:v>41086</c:v>
                </c:pt>
                <c:pt idx="625">
                  <c:v>41087</c:v>
                </c:pt>
                <c:pt idx="626">
                  <c:v>41088</c:v>
                </c:pt>
                <c:pt idx="627">
                  <c:v>41089</c:v>
                </c:pt>
                <c:pt idx="628">
                  <c:v>41092</c:v>
                </c:pt>
                <c:pt idx="629">
                  <c:v>41093</c:v>
                </c:pt>
                <c:pt idx="630">
                  <c:v>41095</c:v>
                </c:pt>
                <c:pt idx="631">
                  <c:v>41096</c:v>
                </c:pt>
                <c:pt idx="632">
                  <c:v>41099</c:v>
                </c:pt>
                <c:pt idx="633">
                  <c:v>41100</c:v>
                </c:pt>
                <c:pt idx="634">
                  <c:v>41101</c:v>
                </c:pt>
                <c:pt idx="635">
                  <c:v>41102</c:v>
                </c:pt>
                <c:pt idx="636">
                  <c:v>41103</c:v>
                </c:pt>
                <c:pt idx="637">
                  <c:v>41106</c:v>
                </c:pt>
                <c:pt idx="638">
                  <c:v>41107</c:v>
                </c:pt>
                <c:pt idx="639">
                  <c:v>41108</c:v>
                </c:pt>
                <c:pt idx="640">
                  <c:v>41109</c:v>
                </c:pt>
                <c:pt idx="641">
                  <c:v>41110</c:v>
                </c:pt>
                <c:pt idx="642">
                  <c:v>41113</c:v>
                </c:pt>
                <c:pt idx="643">
                  <c:v>41114</c:v>
                </c:pt>
                <c:pt idx="644">
                  <c:v>41115</c:v>
                </c:pt>
                <c:pt idx="645">
                  <c:v>41116</c:v>
                </c:pt>
                <c:pt idx="646">
                  <c:v>41117</c:v>
                </c:pt>
                <c:pt idx="647">
                  <c:v>41120</c:v>
                </c:pt>
                <c:pt idx="648">
                  <c:v>41121</c:v>
                </c:pt>
                <c:pt idx="649">
                  <c:v>41122</c:v>
                </c:pt>
                <c:pt idx="650">
                  <c:v>41123</c:v>
                </c:pt>
                <c:pt idx="651">
                  <c:v>41124</c:v>
                </c:pt>
                <c:pt idx="652">
                  <c:v>41127</c:v>
                </c:pt>
                <c:pt idx="653">
                  <c:v>41128</c:v>
                </c:pt>
                <c:pt idx="654">
                  <c:v>41129</c:v>
                </c:pt>
                <c:pt idx="655">
                  <c:v>41130</c:v>
                </c:pt>
                <c:pt idx="656">
                  <c:v>41131</c:v>
                </c:pt>
                <c:pt idx="657">
                  <c:v>41134</c:v>
                </c:pt>
                <c:pt idx="658">
                  <c:v>41135</c:v>
                </c:pt>
                <c:pt idx="659">
                  <c:v>41136</c:v>
                </c:pt>
                <c:pt idx="660">
                  <c:v>41137</c:v>
                </c:pt>
                <c:pt idx="661">
                  <c:v>41138</c:v>
                </c:pt>
                <c:pt idx="662">
                  <c:v>41141</c:v>
                </c:pt>
                <c:pt idx="663">
                  <c:v>41142</c:v>
                </c:pt>
                <c:pt idx="664">
                  <c:v>41143</c:v>
                </c:pt>
                <c:pt idx="665">
                  <c:v>41144</c:v>
                </c:pt>
                <c:pt idx="666">
                  <c:v>41145</c:v>
                </c:pt>
                <c:pt idx="667">
                  <c:v>41148</c:v>
                </c:pt>
                <c:pt idx="668">
                  <c:v>41149</c:v>
                </c:pt>
                <c:pt idx="669">
                  <c:v>41150</c:v>
                </c:pt>
                <c:pt idx="670">
                  <c:v>41151</c:v>
                </c:pt>
                <c:pt idx="671">
                  <c:v>41152</c:v>
                </c:pt>
                <c:pt idx="672">
                  <c:v>41156</c:v>
                </c:pt>
                <c:pt idx="673">
                  <c:v>41157</c:v>
                </c:pt>
                <c:pt idx="674">
                  <c:v>41158</c:v>
                </c:pt>
                <c:pt idx="675">
                  <c:v>41159</c:v>
                </c:pt>
                <c:pt idx="676">
                  <c:v>41162</c:v>
                </c:pt>
                <c:pt idx="677">
                  <c:v>41163</c:v>
                </c:pt>
                <c:pt idx="678">
                  <c:v>41164</c:v>
                </c:pt>
                <c:pt idx="679">
                  <c:v>41165</c:v>
                </c:pt>
                <c:pt idx="680">
                  <c:v>41166</c:v>
                </c:pt>
                <c:pt idx="681">
                  <c:v>41169</c:v>
                </c:pt>
                <c:pt idx="682">
                  <c:v>41170</c:v>
                </c:pt>
                <c:pt idx="683">
                  <c:v>41171</c:v>
                </c:pt>
                <c:pt idx="684">
                  <c:v>41172</c:v>
                </c:pt>
                <c:pt idx="685">
                  <c:v>41173</c:v>
                </c:pt>
                <c:pt idx="686">
                  <c:v>41176</c:v>
                </c:pt>
                <c:pt idx="687">
                  <c:v>41177</c:v>
                </c:pt>
                <c:pt idx="688">
                  <c:v>41178</c:v>
                </c:pt>
                <c:pt idx="689">
                  <c:v>41179</c:v>
                </c:pt>
                <c:pt idx="690">
                  <c:v>41180</c:v>
                </c:pt>
                <c:pt idx="691">
                  <c:v>41183</c:v>
                </c:pt>
                <c:pt idx="692">
                  <c:v>41184</c:v>
                </c:pt>
                <c:pt idx="693">
                  <c:v>41185</c:v>
                </c:pt>
                <c:pt idx="694">
                  <c:v>41186</c:v>
                </c:pt>
                <c:pt idx="695">
                  <c:v>41187</c:v>
                </c:pt>
                <c:pt idx="696">
                  <c:v>41190</c:v>
                </c:pt>
                <c:pt idx="697">
                  <c:v>41191</c:v>
                </c:pt>
                <c:pt idx="698">
                  <c:v>41192</c:v>
                </c:pt>
                <c:pt idx="699">
                  <c:v>41193</c:v>
                </c:pt>
                <c:pt idx="700">
                  <c:v>41194</c:v>
                </c:pt>
                <c:pt idx="701">
                  <c:v>41197</c:v>
                </c:pt>
                <c:pt idx="702">
                  <c:v>41198</c:v>
                </c:pt>
                <c:pt idx="703">
                  <c:v>41199</c:v>
                </c:pt>
                <c:pt idx="704">
                  <c:v>41200</c:v>
                </c:pt>
                <c:pt idx="705">
                  <c:v>41201</c:v>
                </c:pt>
                <c:pt idx="706">
                  <c:v>41204</c:v>
                </c:pt>
                <c:pt idx="707">
                  <c:v>41205</c:v>
                </c:pt>
                <c:pt idx="708">
                  <c:v>41206</c:v>
                </c:pt>
                <c:pt idx="709">
                  <c:v>41207</c:v>
                </c:pt>
                <c:pt idx="710">
                  <c:v>41208</c:v>
                </c:pt>
                <c:pt idx="711">
                  <c:v>41213</c:v>
                </c:pt>
                <c:pt idx="712">
                  <c:v>41214</c:v>
                </c:pt>
                <c:pt idx="713">
                  <c:v>41215</c:v>
                </c:pt>
                <c:pt idx="714">
                  <c:v>41218</c:v>
                </c:pt>
                <c:pt idx="715">
                  <c:v>41219</c:v>
                </c:pt>
                <c:pt idx="716">
                  <c:v>41220</c:v>
                </c:pt>
                <c:pt idx="717">
                  <c:v>41221</c:v>
                </c:pt>
                <c:pt idx="718">
                  <c:v>41222</c:v>
                </c:pt>
                <c:pt idx="719">
                  <c:v>41225</c:v>
                </c:pt>
                <c:pt idx="720">
                  <c:v>41226</c:v>
                </c:pt>
                <c:pt idx="721">
                  <c:v>41227</c:v>
                </c:pt>
                <c:pt idx="722">
                  <c:v>41228</c:v>
                </c:pt>
                <c:pt idx="723">
                  <c:v>41229</c:v>
                </c:pt>
                <c:pt idx="724">
                  <c:v>41232</c:v>
                </c:pt>
                <c:pt idx="725">
                  <c:v>41233</c:v>
                </c:pt>
                <c:pt idx="726">
                  <c:v>41234</c:v>
                </c:pt>
                <c:pt idx="727">
                  <c:v>41236</c:v>
                </c:pt>
                <c:pt idx="728">
                  <c:v>41239</c:v>
                </c:pt>
                <c:pt idx="729">
                  <c:v>41240</c:v>
                </c:pt>
                <c:pt idx="730">
                  <c:v>41241</c:v>
                </c:pt>
                <c:pt idx="731">
                  <c:v>41242</c:v>
                </c:pt>
                <c:pt idx="732">
                  <c:v>41243</c:v>
                </c:pt>
                <c:pt idx="733">
                  <c:v>41246</c:v>
                </c:pt>
                <c:pt idx="734">
                  <c:v>41247</c:v>
                </c:pt>
                <c:pt idx="735">
                  <c:v>41248</c:v>
                </c:pt>
                <c:pt idx="736">
                  <c:v>41249</c:v>
                </c:pt>
                <c:pt idx="737">
                  <c:v>41250</c:v>
                </c:pt>
                <c:pt idx="738">
                  <c:v>41253</c:v>
                </c:pt>
                <c:pt idx="739">
                  <c:v>41254</c:v>
                </c:pt>
                <c:pt idx="740">
                  <c:v>41255</c:v>
                </c:pt>
                <c:pt idx="741">
                  <c:v>41256</c:v>
                </c:pt>
                <c:pt idx="742">
                  <c:v>41257</c:v>
                </c:pt>
                <c:pt idx="743">
                  <c:v>41260</c:v>
                </c:pt>
                <c:pt idx="744">
                  <c:v>41261</c:v>
                </c:pt>
                <c:pt idx="745">
                  <c:v>41262</c:v>
                </c:pt>
                <c:pt idx="746">
                  <c:v>41263</c:v>
                </c:pt>
                <c:pt idx="747">
                  <c:v>41264</c:v>
                </c:pt>
                <c:pt idx="748">
                  <c:v>41267</c:v>
                </c:pt>
                <c:pt idx="749">
                  <c:v>41269</c:v>
                </c:pt>
                <c:pt idx="750">
                  <c:v>41270</c:v>
                </c:pt>
                <c:pt idx="751">
                  <c:v>41271</c:v>
                </c:pt>
                <c:pt idx="752">
                  <c:v>41274</c:v>
                </c:pt>
                <c:pt idx="753">
                  <c:v>41276</c:v>
                </c:pt>
                <c:pt idx="754">
                  <c:v>41277</c:v>
                </c:pt>
                <c:pt idx="755">
                  <c:v>41278</c:v>
                </c:pt>
                <c:pt idx="756">
                  <c:v>41281</c:v>
                </c:pt>
                <c:pt idx="757">
                  <c:v>41282</c:v>
                </c:pt>
                <c:pt idx="758">
                  <c:v>41283</c:v>
                </c:pt>
                <c:pt idx="759">
                  <c:v>41284</c:v>
                </c:pt>
                <c:pt idx="760">
                  <c:v>41285</c:v>
                </c:pt>
                <c:pt idx="761">
                  <c:v>41288</c:v>
                </c:pt>
                <c:pt idx="762">
                  <c:v>41289</c:v>
                </c:pt>
                <c:pt idx="763">
                  <c:v>41290</c:v>
                </c:pt>
                <c:pt idx="764">
                  <c:v>41291</c:v>
                </c:pt>
                <c:pt idx="765">
                  <c:v>41292</c:v>
                </c:pt>
                <c:pt idx="766">
                  <c:v>41296</c:v>
                </c:pt>
                <c:pt idx="767">
                  <c:v>41297</c:v>
                </c:pt>
                <c:pt idx="768">
                  <c:v>41298</c:v>
                </c:pt>
                <c:pt idx="769">
                  <c:v>41299</c:v>
                </c:pt>
                <c:pt idx="770">
                  <c:v>41302</c:v>
                </c:pt>
                <c:pt idx="771">
                  <c:v>41303</c:v>
                </c:pt>
                <c:pt idx="772">
                  <c:v>41304</c:v>
                </c:pt>
                <c:pt idx="773">
                  <c:v>41305</c:v>
                </c:pt>
                <c:pt idx="774">
                  <c:v>41306</c:v>
                </c:pt>
                <c:pt idx="775">
                  <c:v>41309</c:v>
                </c:pt>
                <c:pt idx="776">
                  <c:v>41310</c:v>
                </c:pt>
                <c:pt idx="777">
                  <c:v>41311</c:v>
                </c:pt>
                <c:pt idx="778">
                  <c:v>41312</c:v>
                </c:pt>
                <c:pt idx="779">
                  <c:v>41313</c:v>
                </c:pt>
                <c:pt idx="780">
                  <c:v>41316</c:v>
                </c:pt>
                <c:pt idx="781">
                  <c:v>41317</c:v>
                </c:pt>
                <c:pt idx="782">
                  <c:v>41318</c:v>
                </c:pt>
                <c:pt idx="783">
                  <c:v>41319</c:v>
                </c:pt>
                <c:pt idx="784">
                  <c:v>41320</c:v>
                </c:pt>
                <c:pt idx="785">
                  <c:v>41324</c:v>
                </c:pt>
                <c:pt idx="786">
                  <c:v>41325</c:v>
                </c:pt>
                <c:pt idx="787">
                  <c:v>41326</c:v>
                </c:pt>
                <c:pt idx="788">
                  <c:v>41327</c:v>
                </c:pt>
                <c:pt idx="789">
                  <c:v>41330</c:v>
                </c:pt>
                <c:pt idx="790">
                  <c:v>41331</c:v>
                </c:pt>
                <c:pt idx="791">
                  <c:v>41332</c:v>
                </c:pt>
                <c:pt idx="792">
                  <c:v>41333</c:v>
                </c:pt>
                <c:pt idx="793">
                  <c:v>41334</c:v>
                </c:pt>
                <c:pt idx="794">
                  <c:v>41337</c:v>
                </c:pt>
                <c:pt idx="795">
                  <c:v>41338</c:v>
                </c:pt>
                <c:pt idx="796">
                  <c:v>41339</c:v>
                </c:pt>
                <c:pt idx="797">
                  <c:v>41340</c:v>
                </c:pt>
                <c:pt idx="798">
                  <c:v>41341</c:v>
                </c:pt>
                <c:pt idx="799">
                  <c:v>41344</c:v>
                </c:pt>
                <c:pt idx="800">
                  <c:v>41345</c:v>
                </c:pt>
                <c:pt idx="801">
                  <c:v>41346</c:v>
                </c:pt>
                <c:pt idx="802">
                  <c:v>41347</c:v>
                </c:pt>
                <c:pt idx="803">
                  <c:v>41348</c:v>
                </c:pt>
                <c:pt idx="804">
                  <c:v>41351</c:v>
                </c:pt>
                <c:pt idx="805">
                  <c:v>41352</c:v>
                </c:pt>
                <c:pt idx="806">
                  <c:v>41353</c:v>
                </c:pt>
                <c:pt idx="807">
                  <c:v>41354</c:v>
                </c:pt>
                <c:pt idx="808">
                  <c:v>41355</c:v>
                </c:pt>
                <c:pt idx="809">
                  <c:v>41358</c:v>
                </c:pt>
                <c:pt idx="810">
                  <c:v>41359</c:v>
                </c:pt>
                <c:pt idx="811">
                  <c:v>41360</c:v>
                </c:pt>
                <c:pt idx="812">
                  <c:v>41361</c:v>
                </c:pt>
                <c:pt idx="813">
                  <c:v>41365</c:v>
                </c:pt>
                <c:pt idx="814">
                  <c:v>41366</c:v>
                </c:pt>
                <c:pt idx="815">
                  <c:v>41367</c:v>
                </c:pt>
                <c:pt idx="816">
                  <c:v>41368</c:v>
                </c:pt>
                <c:pt idx="817">
                  <c:v>41369</c:v>
                </c:pt>
                <c:pt idx="818">
                  <c:v>41372</c:v>
                </c:pt>
                <c:pt idx="819">
                  <c:v>41373</c:v>
                </c:pt>
                <c:pt idx="820">
                  <c:v>41374</c:v>
                </c:pt>
                <c:pt idx="821">
                  <c:v>41375</c:v>
                </c:pt>
                <c:pt idx="822">
                  <c:v>41376</c:v>
                </c:pt>
                <c:pt idx="823">
                  <c:v>41379</c:v>
                </c:pt>
                <c:pt idx="824">
                  <c:v>41380</c:v>
                </c:pt>
                <c:pt idx="825">
                  <c:v>41381</c:v>
                </c:pt>
                <c:pt idx="826">
                  <c:v>41382</c:v>
                </c:pt>
                <c:pt idx="827">
                  <c:v>41383</c:v>
                </c:pt>
                <c:pt idx="828">
                  <c:v>41386</c:v>
                </c:pt>
                <c:pt idx="829">
                  <c:v>41387</c:v>
                </c:pt>
                <c:pt idx="830">
                  <c:v>41388</c:v>
                </c:pt>
                <c:pt idx="831">
                  <c:v>41389</c:v>
                </c:pt>
                <c:pt idx="832">
                  <c:v>41390</c:v>
                </c:pt>
                <c:pt idx="833">
                  <c:v>41393</c:v>
                </c:pt>
                <c:pt idx="834">
                  <c:v>41394</c:v>
                </c:pt>
                <c:pt idx="835">
                  <c:v>41395</c:v>
                </c:pt>
                <c:pt idx="836">
                  <c:v>41396</c:v>
                </c:pt>
                <c:pt idx="837">
                  <c:v>41397</c:v>
                </c:pt>
                <c:pt idx="838">
                  <c:v>41400</c:v>
                </c:pt>
                <c:pt idx="839">
                  <c:v>41401</c:v>
                </c:pt>
                <c:pt idx="840">
                  <c:v>41402</c:v>
                </c:pt>
                <c:pt idx="841">
                  <c:v>41403</c:v>
                </c:pt>
                <c:pt idx="842">
                  <c:v>41404</c:v>
                </c:pt>
                <c:pt idx="843">
                  <c:v>41407</c:v>
                </c:pt>
                <c:pt idx="844">
                  <c:v>41408</c:v>
                </c:pt>
                <c:pt idx="845">
                  <c:v>41409</c:v>
                </c:pt>
                <c:pt idx="846">
                  <c:v>41410</c:v>
                </c:pt>
                <c:pt idx="847">
                  <c:v>41411</c:v>
                </c:pt>
                <c:pt idx="848">
                  <c:v>41414</c:v>
                </c:pt>
                <c:pt idx="849">
                  <c:v>41415</c:v>
                </c:pt>
                <c:pt idx="850">
                  <c:v>41416</c:v>
                </c:pt>
                <c:pt idx="851">
                  <c:v>41417</c:v>
                </c:pt>
                <c:pt idx="852">
                  <c:v>41418</c:v>
                </c:pt>
                <c:pt idx="853">
                  <c:v>41422</c:v>
                </c:pt>
                <c:pt idx="854">
                  <c:v>41423</c:v>
                </c:pt>
                <c:pt idx="855">
                  <c:v>41424</c:v>
                </c:pt>
                <c:pt idx="856">
                  <c:v>41425</c:v>
                </c:pt>
                <c:pt idx="857">
                  <c:v>41428</c:v>
                </c:pt>
                <c:pt idx="858">
                  <c:v>41429</c:v>
                </c:pt>
                <c:pt idx="859">
                  <c:v>41430</c:v>
                </c:pt>
                <c:pt idx="860">
                  <c:v>41431</c:v>
                </c:pt>
                <c:pt idx="861">
                  <c:v>41432</c:v>
                </c:pt>
                <c:pt idx="862">
                  <c:v>41435</c:v>
                </c:pt>
                <c:pt idx="863">
                  <c:v>41436</c:v>
                </c:pt>
                <c:pt idx="864">
                  <c:v>41437</c:v>
                </c:pt>
                <c:pt idx="865">
                  <c:v>41438</c:v>
                </c:pt>
                <c:pt idx="866">
                  <c:v>41439</c:v>
                </c:pt>
                <c:pt idx="867">
                  <c:v>41442</c:v>
                </c:pt>
                <c:pt idx="868">
                  <c:v>41443</c:v>
                </c:pt>
                <c:pt idx="869">
                  <c:v>41444</c:v>
                </c:pt>
                <c:pt idx="870">
                  <c:v>41445</c:v>
                </c:pt>
                <c:pt idx="871">
                  <c:v>41446</c:v>
                </c:pt>
                <c:pt idx="872">
                  <c:v>41449</c:v>
                </c:pt>
                <c:pt idx="873">
                  <c:v>41450</c:v>
                </c:pt>
                <c:pt idx="874">
                  <c:v>41451</c:v>
                </c:pt>
                <c:pt idx="875">
                  <c:v>41452</c:v>
                </c:pt>
                <c:pt idx="876">
                  <c:v>41453</c:v>
                </c:pt>
                <c:pt idx="877">
                  <c:v>41456</c:v>
                </c:pt>
                <c:pt idx="878">
                  <c:v>41457</c:v>
                </c:pt>
                <c:pt idx="879">
                  <c:v>41458</c:v>
                </c:pt>
                <c:pt idx="880">
                  <c:v>41460</c:v>
                </c:pt>
                <c:pt idx="881">
                  <c:v>41463</c:v>
                </c:pt>
                <c:pt idx="882">
                  <c:v>41464</c:v>
                </c:pt>
                <c:pt idx="883">
                  <c:v>41465</c:v>
                </c:pt>
                <c:pt idx="884">
                  <c:v>41466</c:v>
                </c:pt>
                <c:pt idx="885">
                  <c:v>41467</c:v>
                </c:pt>
                <c:pt idx="886">
                  <c:v>41470</c:v>
                </c:pt>
                <c:pt idx="887">
                  <c:v>41471</c:v>
                </c:pt>
                <c:pt idx="888">
                  <c:v>41472</c:v>
                </c:pt>
                <c:pt idx="889">
                  <c:v>41473</c:v>
                </c:pt>
                <c:pt idx="890">
                  <c:v>41474</c:v>
                </c:pt>
                <c:pt idx="891">
                  <c:v>41477</c:v>
                </c:pt>
                <c:pt idx="892">
                  <c:v>41478</c:v>
                </c:pt>
                <c:pt idx="893">
                  <c:v>41479</c:v>
                </c:pt>
                <c:pt idx="894">
                  <c:v>41480</c:v>
                </c:pt>
                <c:pt idx="895">
                  <c:v>41481</c:v>
                </c:pt>
                <c:pt idx="896">
                  <c:v>41484</c:v>
                </c:pt>
                <c:pt idx="897">
                  <c:v>41485</c:v>
                </c:pt>
                <c:pt idx="898">
                  <c:v>41486</c:v>
                </c:pt>
                <c:pt idx="899">
                  <c:v>41487</c:v>
                </c:pt>
                <c:pt idx="900">
                  <c:v>41488</c:v>
                </c:pt>
                <c:pt idx="901">
                  <c:v>41491</c:v>
                </c:pt>
                <c:pt idx="902">
                  <c:v>41492</c:v>
                </c:pt>
                <c:pt idx="903">
                  <c:v>41493</c:v>
                </c:pt>
                <c:pt idx="904">
                  <c:v>41494</c:v>
                </c:pt>
                <c:pt idx="905">
                  <c:v>41495</c:v>
                </c:pt>
                <c:pt idx="906">
                  <c:v>41498</c:v>
                </c:pt>
                <c:pt idx="907">
                  <c:v>41499</c:v>
                </c:pt>
                <c:pt idx="908">
                  <c:v>41500</c:v>
                </c:pt>
                <c:pt idx="909">
                  <c:v>41501</c:v>
                </c:pt>
                <c:pt idx="910">
                  <c:v>41502</c:v>
                </c:pt>
                <c:pt idx="911">
                  <c:v>41505</c:v>
                </c:pt>
                <c:pt idx="912">
                  <c:v>41506</c:v>
                </c:pt>
                <c:pt idx="913">
                  <c:v>41507</c:v>
                </c:pt>
                <c:pt idx="914">
                  <c:v>41508</c:v>
                </c:pt>
                <c:pt idx="915">
                  <c:v>41509</c:v>
                </c:pt>
                <c:pt idx="916">
                  <c:v>41512</c:v>
                </c:pt>
                <c:pt idx="917">
                  <c:v>41513</c:v>
                </c:pt>
                <c:pt idx="918">
                  <c:v>41514</c:v>
                </c:pt>
                <c:pt idx="919">
                  <c:v>41515</c:v>
                </c:pt>
                <c:pt idx="920">
                  <c:v>41516</c:v>
                </c:pt>
                <c:pt idx="921">
                  <c:v>41520</c:v>
                </c:pt>
                <c:pt idx="922">
                  <c:v>41521</c:v>
                </c:pt>
                <c:pt idx="923">
                  <c:v>41522</c:v>
                </c:pt>
                <c:pt idx="924">
                  <c:v>41523</c:v>
                </c:pt>
                <c:pt idx="925">
                  <c:v>41526</c:v>
                </c:pt>
                <c:pt idx="926">
                  <c:v>41527</c:v>
                </c:pt>
                <c:pt idx="927">
                  <c:v>41528</c:v>
                </c:pt>
                <c:pt idx="928">
                  <c:v>41529</c:v>
                </c:pt>
                <c:pt idx="929">
                  <c:v>41530</c:v>
                </c:pt>
                <c:pt idx="930">
                  <c:v>41533</c:v>
                </c:pt>
                <c:pt idx="931">
                  <c:v>41534</c:v>
                </c:pt>
                <c:pt idx="932">
                  <c:v>41535</c:v>
                </c:pt>
                <c:pt idx="933">
                  <c:v>41536</c:v>
                </c:pt>
                <c:pt idx="934">
                  <c:v>41537</c:v>
                </c:pt>
                <c:pt idx="935">
                  <c:v>41540</c:v>
                </c:pt>
                <c:pt idx="936">
                  <c:v>41541</c:v>
                </c:pt>
                <c:pt idx="937">
                  <c:v>41542</c:v>
                </c:pt>
                <c:pt idx="938">
                  <c:v>41543</c:v>
                </c:pt>
                <c:pt idx="939">
                  <c:v>41544</c:v>
                </c:pt>
                <c:pt idx="940">
                  <c:v>41547</c:v>
                </c:pt>
                <c:pt idx="941">
                  <c:v>41548</c:v>
                </c:pt>
                <c:pt idx="942">
                  <c:v>41549</c:v>
                </c:pt>
                <c:pt idx="943">
                  <c:v>41550</c:v>
                </c:pt>
                <c:pt idx="944">
                  <c:v>41551</c:v>
                </c:pt>
                <c:pt idx="945">
                  <c:v>41554</c:v>
                </c:pt>
                <c:pt idx="946">
                  <c:v>41556</c:v>
                </c:pt>
                <c:pt idx="947">
                  <c:v>41557</c:v>
                </c:pt>
                <c:pt idx="948">
                  <c:v>41558</c:v>
                </c:pt>
                <c:pt idx="949">
                  <c:v>41561</c:v>
                </c:pt>
                <c:pt idx="950">
                  <c:v>41562</c:v>
                </c:pt>
                <c:pt idx="951">
                  <c:v>41563</c:v>
                </c:pt>
                <c:pt idx="952">
                  <c:v>41564</c:v>
                </c:pt>
                <c:pt idx="953">
                  <c:v>41565</c:v>
                </c:pt>
                <c:pt idx="954">
                  <c:v>41568</c:v>
                </c:pt>
                <c:pt idx="955">
                  <c:v>41569</c:v>
                </c:pt>
                <c:pt idx="956">
                  <c:v>41570</c:v>
                </c:pt>
                <c:pt idx="957">
                  <c:v>41571</c:v>
                </c:pt>
                <c:pt idx="958">
                  <c:v>41572</c:v>
                </c:pt>
                <c:pt idx="959">
                  <c:v>41575</c:v>
                </c:pt>
                <c:pt idx="960">
                  <c:v>41576</c:v>
                </c:pt>
                <c:pt idx="961">
                  <c:v>41577</c:v>
                </c:pt>
                <c:pt idx="962">
                  <c:v>41578</c:v>
                </c:pt>
                <c:pt idx="963">
                  <c:v>41579</c:v>
                </c:pt>
                <c:pt idx="964">
                  <c:v>41582</c:v>
                </c:pt>
                <c:pt idx="965">
                  <c:v>41583</c:v>
                </c:pt>
                <c:pt idx="966">
                  <c:v>41584</c:v>
                </c:pt>
                <c:pt idx="967">
                  <c:v>41585</c:v>
                </c:pt>
                <c:pt idx="968">
                  <c:v>41586</c:v>
                </c:pt>
                <c:pt idx="969">
                  <c:v>41589</c:v>
                </c:pt>
                <c:pt idx="970">
                  <c:v>41590</c:v>
                </c:pt>
                <c:pt idx="971">
                  <c:v>41591</c:v>
                </c:pt>
                <c:pt idx="972">
                  <c:v>41592</c:v>
                </c:pt>
                <c:pt idx="973">
                  <c:v>41593</c:v>
                </c:pt>
                <c:pt idx="974">
                  <c:v>41596</c:v>
                </c:pt>
                <c:pt idx="975">
                  <c:v>41597</c:v>
                </c:pt>
                <c:pt idx="976">
                  <c:v>41598</c:v>
                </c:pt>
                <c:pt idx="977">
                  <c:v>41599</c:v>
                </c:pt>
                <c:pt idx="978">
                  <c:v>41600</c:v>
                </c:pt>
                <c:pt idx="979">
                  <c:v>41603</c:v>
                </c:pt>
                <c:pt idx="980">
                  <c:v>41604</c:v>
                </c:pt>
                <c:pt idx="981">
                  <c:v>41605</c:v>
                </c:pt>
                <c:pt idx="982">
                  <c:v>41607</c:v>
                </c:pt>
                <c:pt idx="983">
                  <c:v>41610</c:v>
                </c:pt>
                <c:pt idx="984">
                  <c:v>41611</c:v>
                </c:pt>
                <c:pt idx="985">
                  <c:v>41612</c:v>
                </c:pt>
                <c:pt idx="986">
                  <c:v>41613</c:v>
                </c:pt>
                <c:pt idx="987">
                  <c:v>41614</c:v>
                </c:pt>
                <c:pt idx="988">
                  <c:v>41617</c:v>
                </c:pt>
                <c:pt idx="989">
                  <c:v>41618</c:v>
                </c:pt>
                <c:pt idx="990">
                  <c:v>41619</c:v>
                </c:pt>
                <c:pt idx="991">
                  <c:v>41620</c:v>
                </c:pt>
                <c:pt idx="992">
                  <c:v>41621</c:v>
                </c:pt>
                <c:pt idx="993">
                  <c:v>41624</c:v>
                </c:pt>
                <c:pt idx="994">
                  <c:v>41625</c:v>
                </c:pt>
                <c:pt idx="995">
                  <c:v>41626</c:v>
                </c:pt>
                <c:pt idx="996">
                  <c:v>41627</c:v>
                </c:pt>
                <c:pt idx="997">
                  <c:v>41628</c:v>
                </c:pt>
                <c:pt idx="998">
                  <c:v>41631</c:v>
                </c:pt>
                <c:pt idx="999">
                  <c:v>41632</c:v>
                </c:pt>
                <c:pt idx="1000">
                  <c:v>41634</c:v>
                </c:pt>
                <c:pt idx="1001">
                  <c:v>41635</c:v>
                </c:pt>
                <c:pt idx="1002">
                  <c:v>41638</c:v>
                </c:pt>
                <c:pt idx="1003">
                  <c:v>41639</c:v>
                </c:pt>
                <c:pt idx="1004">
                  <c:v>41641</c:v>
                </c:pt>
                <c:pt idx="1005">
                  <c:v>41642</c:v>
                </c:pt>
                <c:pt idx="1006">
                  <c:v>41645</c:v>
                </c:pt>
                <c:pt idx="1007">
                  <c:v>41646</c:v>
                </c:pt>
                <c:pt idx="1008">
                  <c:v>41647</c:v>
                </c:pt>
                <c:pt idx="1009">
                  <c:v>41648</c:v>
                </c:pt>
                <c:pt idx="1010">
                  <c:v>41649</c:v>
                </c:pt>
                <c:pt idx="1011">
                  <c:v>41652</c:v>
                </c:pt>
                <c:pt idx="1012">
                  <c:v>41653</c:v>
                </c:pt>
                <c:pt idx="1013">
                  <c:v>41654</c:v>
                </c:pt>
                <c:pt idx="1014">
                  <c:v>41655</c:v>
                </c:pt>
                <c:pt idx="1015">
                  <c:v>41656</c:v>
                </c:pt>
                <c:pt idx="1016">
                  <c:v>41660</c:v>
                </c:pt>
                <c:pt idx="1017">
                  <c:v>41661</c:v>
                </c:pt>
                <c:pt idx="1018">
                  <c:v>41662</c:v>
                </c:pt>
                <c:pt idx="1019">
                  <c:v>41663</c:v>
                </c:pt>
                <c:pt idx="1020">
                  <c:v>41666</c:v>
                </c:pt>
                <c:pt idx="1021">
                  <c:v>41667</c:v>
                </c:pt>
                <c:pt idx="1022">
                  <c:v>41668</c:v>
                </c:pt>
                <c:pt idx="1023">
                  <c:v>41669</c:v>
                </c:pt>
                <c:pt idx="1024">
                  <c:v>41670</c:v>
                </c:pt>
                <c:pt idx="1025">
                  <c:v>41673</c:v>
                </c:pt>
                <c:pt idx="1026">
                  <c:v>41674</c:v>
                </c:pt>
                <c:pt idx="1027">
                  <c:v>41675</c:v>
                </c:pt>
                <c:pt idx="1028">
                  <c:v>41676</c:v>
                </c:pt>
                <c:pt idx="1029">
                  <c:v>41677</c:v>
                </c:pt>
                <c:pt idx="1030">
                  <c:v>41680</c:v>
                </c:pt>
                <c:pt idx="1031">
                  <c:v>41681</c:v>
                </c:pt>
                <c:pt idx="1032">
                  <c:v>41682</c:v>
                </c:pt>
                <c:pt idx="1033">
                  <c:v>41683</c:v>
                </c:pt>
                <c:pt idx="1034">
                  <c:v>41684</c:v>
                </c:pt>
                <c:pt idx="1035">
                  <c:v>41688</c:v>
                </c:pt>
                <c:pt idx="1036">
                  <c:v>41689</c:v>
                </c:pt>
                <c:pt idx="1037">
                  <c:v>41690</c:v>
                </c:pt>
                <c:pt idx="1038">
                  <c:v>41691</c:v>
                </c:pt>
                <c:pt idx="1039">
                  <c:v>41694</c:v>
                </c:pt>
                <c:pt idx="1040">
                  <c:v>41695</c:v>
                </c:pt>
                <c:pt idx="1041">
                  <c:v>41696</c:v>
                </c:pt>
                <c:pt idx="1042">
                  <c:v>41697</c:v>
                </c:pt>
                <c:pt idx="1043">
                  <c:v>41698</c:v>
                </c:pt>
                <c:pt idx="1044">
                  <c:v>41701</c:v>
                </c:pt>
                <c:pt idx="1045">
                  <c:v>41702</c:v>
                </c:pt>
                <c:pt idx="1046">
                  <c:v>41703</c:v>
                </c:pt>
                <c:pt idx="1047">
                  <c:v>41704</c:v>
                </c:pt>
                <c:pt idx="1048">
                  <c:v>41705</c:v>
                </c:pt>
                <c:pt idx="1049">
                  <c:v>41708</c:v>
                </c:pt>
                <c:pt idx="1050">
                  <c:v>41709</c:v>
                </c:pt>
                <c:pt idx="1051">
                  <c:v>41710</c:v>
                </c:pt>
                <c:pt idx="1052">
                  <c:v>41711</c:v>
                </c:pt>
                <c:pt idx="1053">
                  <c:v>41712</c:v>
                </c:pt>
                <c:pt idx="1054">
                  <c:v>41715</c:v>
                </c:pt>
                <c:pt idx="1055">
                  <c:v>41716</c:v>
                </c:pt>
                <c:pt idx="1056">
                  <c:v>41717</c:v>
                </c:pt>
                <c:pt idx="1057">
                  <c:v>41718</c:v>
                </c:pt>
                <c:pt idx="1058">
                  <c:v>41719</c:v>
                </c:pt>
                <c:pt idx="1059">
                  <c:v>41722</c:v>
                </c:pt>
                <c:pt idx="1060">
                  <c:v>41723</c:v>
                </c:pt>
                <c:pt idx="1061">
                  <c:v>41724</c:v>
                </c:pt>
                <c:pt idx="1062">
                  <c:v>41725</c:v>
                </c:pt>
                <c:pt idx="1063">
                  <c:v>41726</c:v>
                </c:pt>
                <c:pt idx="1064">
                  <c:v>41729</c:v>
                </c:pt>
                <c:pt idx="1065">
                  <c:v>41730</c:v>
                </c:pt>
                <c:pt idx="1066">
                  <c:v>41731</c:v>
                </c:pt>
                <c:pt idx="1067">
                  <c:v>41732</c:v>
                </c:pt>
                <c:pt idx="1068">
                  <c:v>41733</c:v>
                </c:pt>
                <c:pt idx="1069">
                  <c:v>41736</c:v>
                </c:pt>
                <c:pt idx="1070">
                  <c:v>41737</c:v>
                </c:pt>
                <c:pt idx="1071">
                  <c:v>41738</c:v>
                </c:pt>
                <c:pt idx="1072">
                  <c:v>41739</c:v>
                </c:pt>
                <c:pt idx="1073">
                  <c:v>41740</c:v>
                </c:pt>
                <c:pt idx="1074">
                  <c:v>41743</c:v>
                </c:pt>
                <c:pt idx="1075">
                  <c:v>41744</c:v>
                </c:pt>
                <c:pt idx="1076">
                  <c:v>41745</c:v>
                </c:pt>
                <c:pt idx="1077">
                  <c:v>41746</c:v>
                </c:pt>
                <c:pt idx="1078">
                  <c:v>41750</c:v>
                </c:pt>
                <c:pt idx="1079">
                  <c:v>41751</c:v>
                </c:pt>
                <c:pt idx="1080">
                  <c:v>41752</c:v>
                </c:pt>
                <c:pt idx="1081">
                  <c:v>41753</c:v>
                </c:pt>
                <c:pt idx="1082">
                  <c:v>41754</c:v>
                </c:pt>
                <c:pt idx="1083">
                  <c:v>41757</c:v>
                </c:pt>
                <c:pt idx="1084">
                  <c:v>41758</c:v>
                </c:pt>
                <c:pt idx="1085">
                  <c:v>41759</c:v>
                </c:pt>
                <c:pt idx="1086">
                  <c:v>41760</c:v>
                </c:pt>
                <c:pt idx="1087">
                  <c:v>41761</c:v>
                </c:pt>
                <c:pt idx="1088">
                  <c:v>41764</c:v>
                </c:pt>
                <c:pt idx="1089">
                  <c:v>41765</c:v>
                </c:pt>
                <c:pt idx="1090">
                  <c:v>41766</c:v>
                </c:pt>
                <c:pt idx="1091">
                  <c:v>41767</c:v>
                </c:pt>
                <c:pt idx="1092">
                  <c:v>41768</c:v>
                </c:pt>
                <c:pt idx="1093">
                  <c:v>41771</c:v>
                </c:pt>
                <c:pt idx="1094">
                  <c:v>41772</c:v>
                </c:pt>
                <c:pt idx="1095">
                  <c:v>41773</c:v>
                </c:pt>
                <c:pt idx="1096">
                  <c:v>41774</c:v>
                </c:pt>
                <c:pt idx="1097">
                  <c:v>41775</c:v>
                </c:pt>
                <c:pt idx="1098">
                  <c:v>41778</c:v>
                </c:pt>
                <c:pt idx="1099">
                  <c:v>41779</c:v>
                </c:pt>
                <c:pt idx="1100">
                  <c:v>41780</c:v>
                </c:pt>
                <c:pt idx="1101">
                  <c:v>41781</c:v>
                </c:pt>
                <c:pt idx="1102">
                  <c:v>41782</c:v>
                </c:pt>
                <c:pt idx="1103">
                  <c:v>41786</c:v>
                </c:pt>
                <c:pt idx="1104">
                  <c:v>41787</c:v>
                </c:pt>
                <c:pt idx="1105">
                  <c:v>41788</c:v>
                </c:pt>
                <c:pt idx="1106">
                  <c:v>41789</c:v>
                </c:pt>
                <c:pt idx="1107">
                  <c:v>41792</c:v>
                </c:pt>
                <c:pt idx="1108">
                  <c:v>41793</c:v>
                </c:pt>
                <c:pt idx="1109">
                  <c:v>41794</c:v>
                </c:pt>
                <c:pt idx="1110">
                  <c:v>41795</c:v>
                </c:pt>
                <c:pt idx="1111">
                  <c:v>41796</c:v>
                </c:pt>
                <c:pt idx="1112">
                  <c:v>41799</c:v>
                </c:pt>
                <c:pt idx="1113">
                  <c:v>41800</c:v>
                </c:pt>
                <c:pt idx="1114">
                  <c:v>41801</c:v>
                </c:pt>
                <c:pt idx="1115">
                  <c:v>41802</c:v>
                </c:pt>
                <c:pt idx="1116">
                  <c:v>41803</c:v>
                </c:pt>
                <c:pt idx="1117">
                  <c:v>41806</c:v>
                </c:pt>
                <c:pt idx="1118">
                  <c:v>41807</c:v>
                </c:pt>
                <c:pt idx="1119">
                  <c:v>41808</c:v>
                </c:pt>
                <c:pt idx="1120">
                  <c:v>41809</c:v>
                </c:pt>
                <c:pt idx="1121">
                  <c:v>41810</c:v>
                </c:pt>
                <c:pt idx="1122">
                  <c:v>41813</c:v>
                </c:pt>
                <c:pt idx="1123">
                  <c:v>41814</c:v>
                </c:pt>
                <c:pt idx="1124">
                  <c:v>41815</c:v>
                </c:pt>
                <c:pt idx="1125">
                  <c:v>41816</c:v>
                </c:pt>
                <c:pt idx="1126">
                  <c:v>41817</c:v>
                </c:pt>
                <c:pt idx="1127">
                  <c:v>41820</c:v>
                </c:pt>
                <c:pt idx="1128">
                  <c:v>41821</c:v>
                </c:pt>
                <c:pt idx="1129">
                  <c:v>41822</c:v>
                </c:pt>
                <c:pt idx="1130">
                  <c:v>41823</c:v>
                </c:pt>
                <c:pt idx="1131">
                  <c:v>41827</c:v>
                </c:pt>
                <c:pt idx="1132">
                  <c:v>41828</c:v>
                </c:pt>
                <c:pt idx="1133">
                  <c:v>41829</c:v>
                </c:pt>
                <c:pt idx="1134">
                  <c:v>41830</c:v>
                </c:pt>
                <c:pt idx="1135">
                  <c:v>41831</c:v>
                </c:pt>
                <c:pt idx="1136">
                  <c:v>41834</c:v>
                </c:pt>
                <c:pt idx="1137">
                  <c:v>41835</c:v>
                </c:pt>
                <c:pt idx="1138">
                  <c:v>41836</c:v>
                </c:pt>
                <c:pt idx="1139">
                  <c:v>41837</c:v>
                </c:pt>
                <c:pt idx="1140">
                  <c:v>41838</c:v>
                </c:pt>
                <c:pt idx="1141">
                  <c:v>41841</c:v>
                </c:pt>
                <c:pt idx="1142">
                  <c:v>41842</c:v>
                </c:pt>
                <c:pt idx="1143">
                  <c:v>41843</c:v>
                </c:pt>
                <c:pt idx="1144">
                  <c:v>41844</c:v>
                </c:pt>
                <c:pt idx="1145">
                  <c:v>41845</c:v>
                </c:pt>
                <c:pt idx="1146">
                  <c:v>41848</c:v>
                </c:pt>
                <c:pt idx="1147">
                  <c:v>41849</c:v>
                </c:pt>
                <c:pt idx="1148">
                  <c:v>41850</c:v>
                </c:pt>
                <c:pt idx="1149">
                  <c:v>41851</c:v>
                </c:pt>
                <c:pt idx="1150">
                  <c:v>41852</c:v>
                </c:pt>
                <c:pt idx="1151">
                  <c:v>41855</c:v>
                </c:pt>
                <c:pt idx="1152">
                  <c:v>41856</c:v>
                </c:pt>
                <c:pt idx="1153">
                  <c:v>41857</c:v>
                </c:pt>
                <c:pt idx="1154">
                  <c:v>41858</c:v>
                </c:pt>
                <c:pt idx="1155">
                  <c:v>41859</c:v>
                </c:pt>
                <c:pt idx="1156">
                  <c:v>41862</c:v>
                </c:pt>
                <c:pt idx="1157">
                  <c:v>41863</c:v>
                </c:pt>
                <c:pt idx="1158">
                  <c:v>41864</c:v>
                </c:pt>
                <c:pt idx="1159">
                  <c:v>41865</c:v>
                </c:pt>
                <c:pt idx="1160">
                  <c:v>41866</c:v>
                </c:pt>
                <c:pt idx="1161">
                  <c:v>41869</c:v>
                </c:pt>
                <c:pt idx="1162">
                  <c:v>41870</c:v>
                </c:pt>
                <c:pt idx="1163">
                  <c:v>41871</c:v>
                </c:pt>
                <c:pt idx="1164">
                  <c:v>41872</c:v>
                </c:pt>
                <c:pt idx="1165">
                  <c:v>41873</c:v>
                </c:pt>
                <c:pt idx="1166">
                  <c:v>41876</c:v>
                </c:pt>
                <c:pt idx="1167">
                  <c:v>41877</c:v>
                </c:pt>
                <c:pt idx="1168">
                  <c:v>41878</c:v>
                </c:pt>
                <c:pt idx="1169">
                  <c:v>41879</c:v>
                </c:pt>
                <c:pt idx="1170">
                  <c:v>41880</c:v>
                </c:pt>
                <c:pt idx="1171">
                  <c:v>41884</c:v>
                </c:pt>
                <c:pt idx="1172">
                  <c:v>41885</c:v>
                </c:pt>
                <c:pt idx="1173">
                  <c:v>41886</c:v>
                </c:pt>
                <c:pt idx="1174">
                  <c:v>41887</c:v>
                </c:pt>
                <c:pt idx="1175">
                  <c:v>41890</c:v>
                </c:pt>
                <c:pt idx="1176">
                  <c:v>41891</c:v>
                </c:pt>
                <c:pt idx="1177">
                  <c:v>41892</c:v>
                </c:pt>
                <c:pt idx="1178">
                  <c:v>41893</c:v>
                </c:pt>
                <c:pt idx="1179">
                  <c:v>41894</c:v>
                </c:pt>
                <c:pt idx="1180">
                  <c:v>41897</c:v>
                </c:pt>
                <c:pt idx="1181">
                  <c:v>41898</c:v>
                </c:pt>
                <c:pt idx="1182">
                  <c:v>41899</c:v>
                </c:pt>
                <c:pt idx="1183">
                  <c:v>41900</c:v>
                </c:pt>
                <c:pt idx="1184">
                  <c:v>41901</c:v>
                </c:pt>
                <c:pt idx="1185">
                  <c:v>41904</c:v>
                </c:pt>
                <c:pt idx="1186">
                  <c:v>41905</c:v>
                </c:pt>
                <c:pt idx="1187">
                  <c:v>41906</c:v>
                </c:pt>
                <c:pt idx="1188">
                  <c:v>41907</c:v>
                </c:pt>
                <c:pt idx="1189">
                  <c:v>41908</c:v>
                </c:pt>
                <c:pt idx="1190">
                  <c:v>41911</c:v>
                </c:pt>
                <c:pt idx="1191">
                  <c:v>41912</c:v>
                </c:pt>
                <c:pt idx="1192">
                  <c:v>41913</c:v>
                </c:pt>
                <c:pt idx="1193">
                  <c:v>41914</c:v>
                </c:pt>
                <c:pt idx="1194">
                  <c:v>41915</c:v>
                </c:pt>
                <c:pt idx="1195">
                  <c:v>41918</c:v>
                </c:pt>
                <c:pt idx="1196">
                  <c:v>41919</c:v>
                </c:pt>
                <c:pt idx="1197">
                  <c:v>41920</c:v>
                </c:pt>
                <c:pt idx="1198">
                  <c:v>41921</c:v>
                </c:pt>
                <c:pt idx="1199">
                  <c:v>41922</c:v>
                </c:pt>
                <c:pt idx="1200">
                  <c:v>41925</c:v>
                </c:pt>
                <c:pt idx="1201">
                  <c:v>41926</c:v>
                </c:pt>
                <c:pt idx="1202">
                  <c:v>41927</c:v>
                </c:pt>
                <c:pt idx="1203">
                  <c:v>41928</c:v>
                </c:pt>
                <c:pt idx="1204">
                  <c:v>41929</c:v>
                </c:pt>
                <c:pt idx="1205">
                  <c:v>41932</c:v>
                </c:pt>
                <c:pt idx="1206">
                  <c:v>41933</c:v>
                </c:pt>
                <c:pt idx="1207">
                  <c:v>41934</c:v>
                </c:pt>
                <c:pt idx="1208">
                  <c:v>41935</c:v>
                </c:pt>
                <c:pt idx="1209">
                  <c:v>41936</c:v>
                </c:pt>
                <c:pt idx="1210">
                  <c:v>41939</c:v>
                </c:pt>
                <c:pt idx="1211">
                  <c:v>41940</c:v>
                </c:pt>
                <c:pt idx="1212">
                  <c:v>41941</c:v>
                </c:pt>
                <c:pt idx="1213">
                  <c:v>41942</c:v>
                </c:pt>
                <c:pt idx="1214">
                  <c:v>41943</c:v>
                </c:pt>
                <c:pt idx="1215">
                  <c:v>41946</c:v>
                </c:pt>
                <c:pt idx="1216">
                  <c:v>41947</c:v>
                </c:pt>
                <c:pt idx="1217">
                  <c:v>41948</c:v>
                </c:pt>
                <c:pt idx="1218">
                  <c:v>41949</c:v>
                </c:pt>
                <c:pt idx="1219">
                  <c:v>41950</c:v>
                </c:pt>
                <c:pt idx="1220">
                  <c:v>41953</c:v>
                </c:pt>
                <c:pt idx="1221">
                  <c:v>41954</c:v>
                </c:pt>
                <c:pt idx="1222">
                  <c:v>41955</c:v>
                </c:pt>
                <c:pt idx="1223">
                  <c:v>41956</c:v>
                </c:pt>
                <c:pt idx="1224">
                  <c:v>41957</c:v>
                </c:pt>
                <c:pt idx="1225">
                  <c:v>41960</c:v>
                </c:pt>
                <c:pt idx="1226">
                  <c:v>41961</c:v>
                </c:pt>
                <c:pt idx="1227">
                  <c:v>41962</c:v>
                </c:pt>
                <c:pt idx="1228">
                  <c:v>41963</c:v>
                </c:pt>
                <c:pt idx="1229">
                  <c:v>41964</c:v>
                </c:pt>
                <c:pt idx="1230">
                  <c:v>41967</c:v>
                </c:pt>
                <c:pt idx="1231">
                  <c:v>41968</c:v>
                </c:pt>
                <c:pt idx="1232">
                  <c:v>41969</c:v>
                </c:pt>
                <c:pt idx="1233">
                  <c:v>41971</c:v>
                </c:pt>
                <c:pt idx="1234">
                  <c:v>41974</c:v>
                </c:pt>
                <c:pt idx="1235">
                  <c:v>41975</c:v>
                </c:pt>
                <c:pt idx="1236">
                  <c:v>41976</c:v>
                </c:pt>
                <c:pt idx="1237">
                  <c:v>41977</c:v>
                </c:pt>
                <c:pt idx="1238">
                  <c:v>41978</c:v>
                </c:pt>
                <c:pt idx="1239">
                  <c:v>41981</c:v>
                </c:pt>
                <c:pt idx="1240">
                  <c:v>41982</c:v>
                </c:pt>
                <c:pt idx="1241">
                  <c:v>41983</c:v>
                </c:pt>
                <c:pt idx="1242">
                  <c:v>41984</c:v>
                </c:pt>
                <c:pt idx="1243">
                  <c:v>41985</c:v>
                </c:pt>
                <c:pt idx="1244">
                  <c:v>41988</c:v>
                </c:pt>
                <c:pt idx="1245">
                  <c:v>41989</c:v>
                </c:pt>
                <c:pt idx="1246">
                  <c:v>41990</c:v>
                </c:pt>
                <c:pt idx="1247">
                  <c:v>41991</c:v>
                </c:pt>
                <c:pt idx="1248">
                  <c:v>41992</c:v>
                </c:pt>
                <c:pt idx="1249">
                  <c:v>41995</c:v>
                </c:pt>
                <c:pt idx="1250">
                  <c:v>41996</c:v>
                </c:pt>
                <c:pt idx="1251">
                  <c:v>41997</c:v>
                </c:pt>
                <c:pt idx="1252">
                  <c:v>41999</c:v>
                </c:pt>
                <c:pt idx="1253">
                  <c:v>42002</c:v>
                </c:pt>
                <c:pt idx="1254">
                  <c:v>42003</c:v>
                </c:pt>
                <c:pt idx="1255">
                  <c:v>42004</c:v>
                </c:pt>
                <c:pt idx="1256">
                  <c:v>42006</c:v>
                </c:pt>
                <c:pt idx="1257">
                  <c:v>42009</c:v>
                </c:pt>
                <c:pt idx="1258">
                  <c:v>42010</c:v>
                </c:pt>
                <c:pt idx="1259">
                  <c:v>42011</c:v>
                </c:pt>
                <c:pt idx="1260">
                  <c:v>42012</c:v>
                </c:pt>
                <c:pt idx="1261">
                  <c:v>42013</c:v>
                </c:pt>
                <c:pt idx="1262">
                  <c:v>42016</c:v>
                </c:pt>
                <c:pt idx="1263">
                  <c:v>42017</c:v>
                </c:pt>
                <c:pt idx="1264">
                  <c:v>42018</c:v>
                </c:pt>
                <c:pt idx="1265">
                  <c:v>42019</c:v>
                </c:pt>
                <c:pt idx="1266">
                  <c:v>42020</c:v>
                </c:pt>
                <c:pt idx="1267">
                  <c:v>42024</c:v>
                </c:pt>
                <c:pt idx="1268">
                  <c:v>42025</c:v>
                </c:pt>
                <c:pt idx="1269">
                  <c:v>42026</c:v>
                </c:pt>
                <c:pt idx="1270">
                  <c:v>42027</c:v>
                </c:pt>
                <c:pt idx="1271">
                  <c:v>42030</c:v>
                </c:pt>
                <c:pt idx="1272">
                  <c:v>42031</c:v>
                </c:pt>
                <c:pt idx="1273">
                  <c:v>42032</c:v>
                </c:pt>
                <c:pt idx="1274">
                  <c:v>42033</c:v>
                </c:pt>
                <c:pt idx="1275">
                  <c:v>42034</c:v>
                </c:pt>
                <c:pt idx="1276">
                  <c:v>42037</c:v>
                </c:pt>
                <c:pt idx="1277">
                  <c:v>42038</c:v>
                </c:pt>
                <c:pt idx="1278">
                  <c:v>42039</c:v>
                </c:pt>
                <c:pt idx="1279">
                  <c:v>42040</c:v>
                </c:pt>
                <c:pt idx="1280">
                  <c:v>42041</c:v>
                </c:pt>
                <c:pt idx="1281">
                  <c:v>42044</c:v>
                </c:pt>
                <c:pt idx="1282">
                  <c:v>42045</c:v>
                </c:pt>
                <c:pt idx="1283">
                  <c:v>42046</c:v>
                </c:pt>
                <c:pt idx="1284">
                  <c:v>42047</c:v>
                </c:pt>
                <c:pt idx="1285">
                  <c:v>42048</c:v>
                </c:pt>
                <c:pt idx="1286">
                  <c:v>42052</c:v>
                </c:pt>
                <c:pt idx="1287">
                  <c:v>42053</c:v>
                </c:pt>
                <c:pt idx="1288">
                  <c:v>42054</c:v>
                </c:pt>
                <c:pt idx="1289">
                  <c:v>42055</c:v>
                </c:pt>
                <c:pt idx="1290">
                  <c:v>42058</c:v>
                </c:pt>
                <c:pt idx="1291">
                  <c:v>42059</c:v>
                </c:pt>
                <c:pt idx="1292">
                  <c:v>42060</c:v>
                </c:pt>
                <c:pt idx="1293">
                  <c:v>42061</c:v>
                </c:pt>
                <c:pt idx="1294">
                  <c:v>42062</c:v>
                </c:pt>
                <c:pt idx="1295">
                  <c:v>42065</c:v>
                </c:pt>
                <c:pt idx="1296">
                  <c:v>42066</c:v>
                </c:pt>
                <c:pt idx="1297">
                  <c:v>42067</c:v>
                </c:pt>
                <c:pt idx="1298">
                  <c:v>42068</c:v>
                </c:pt>
                <c:pt idx="1299">
                  <c:v>42069</c:v>
                </c:pt>
                <c:pt idx="1300">
                  <c:v>42072</c:v>
                </c:pt>
                <c:pt idx="1301">
                  <c:v>42073</c:v>
                </c:pt>
                <c:pt idx="1302">
                  <c:v>42074</c:v>
                </c:pt>
                <c:pt idx="1303">
                  <c:v>42075</c:v>
                </c:pt>
                <c:pt idx="1304">
                  <c:v>42076</c:v>
                </c:pt>
                <c:pt idx="1305">
                  <c:v>42079</c:v>
                </c:pt>
                <c:pt idx="1306">
                  <c:v>42080</c:v>
                </c:pt>
                <c:pt idx="1307">
                  <c:v>42081</c:v>
                </c:pt>
                <c:pt idx="1308">
                  <c:v>42082</c:v>
                </c:pt>
                <c:pt idx="1309">
                  <c:v>42083</c:v>
                </c:pt>
                <c:pt idx="1310">
                  <c:v>42086</c:v>
                </c:pt>
                <c:pt idx="1311">
                  <c:v>42087</c:v>
                </c:pt>
                <c:pt idx="1312">
                  <c:v>42088</c:v>
                </c:pt>
                <c:pt idx="1313">
                  <c:v>42089</c:v>
                </c:pt>
                <c:pt idx="1314">
                  <c:v>42090</c:v>
                </c:pt>
                <c:pt idx="1315">
                  <c:v>42093</c:v>
                </c:pt>
                <c:pt idx="1316">
                  <c:v>42094</c:v>
                </c:pt>
                <c:pt idx="1317">
                  <c:v>42095</c:v>
                </c:pt>
                <c:pt idx="1318">
                  <c:v>42096</c:v>
                </c:pt>
                <c:pt idx="1319">
                  <c:v>42100</c:v>
                </c:pt>
                <c:pt idx="1320">
                  <c:v>42101</c:v>
                </c:pt>
                <c:pt idx="1321">
                  <c:v>42102</c:v>
                </c:pt>
                <c:pt idx="1322">
                  <c:v>42103</c:v>
                </c:pt>
                <c:pt idx="1323">
                  <c:v>42104</c:v>
                </c:pt>
                <c:pt idx="1324">
                  <c:v>42107</c:v>
                </c:pt>
                <c:pt idx="1325">
                  <c:v>42108</c:v>
                </c:pt>
                <c:pt idx="1326">
                  <c:v>42109</c:v>
                </c:pt>
                <c:pt idx="1327">
                  <c:v>42110</c:v>
                </c:pt>
                <c:pt idx="1328">
                  <c:v>42111</c:v>
                </c:pt>
                <c:pt idx="1329">
                  <c:v>42114</c:v>
                </c:pt>
                <c:pt idx="1330">
                  <c:v>42115</c:v>
                </c:pt>
                <c:pt idx="1331">
                  <c:v>42116</c:v>
                </c:pt>
                <c:pt idx="1332">
                  <c:v>42117</c:v>
                </c:pt>
                <c:pt idx="1333">
                  <c:v>42118</c:v>
                </c:pt>
                <c:pt idx="1334">
                  <c:v>42121</c:v>
                </c:pt>
                <c:pt idx="1335">
                  <c:v>42122</c:v>
                </c:pt>
                <c:pt idx="1336">
                  <c:v>42123</c:v>
                </c:pt>
                <c:pt idx="1337">
                  <c:v>42124</c:v>
                </c:pt>
                <c:pt idx="1338">
                  <c:v>42125</c:v>
                </c:pt>
                <c:pt idx="1339">
                  <c:v>42128</c:v>
                </c:pt>
                <c:pt idx="1340">
                  <c:v>42129</c:v>
                </c:pt>
                <c:pt idx="1341">
                  <c:v>42130</c:v>
                </c:pt>
                <c:pt idx="1342">
                  <c:v>42131</c:v>
                </c:pt>
                <c:pt idx="1343">
                  <c:v>42132</c:v>
                </c:pt>
                <c:pt idx="1344">
                  <c:v>42135</c:v>
                </c:pt>
                <c:pt idx="1345">
                  <c:v>42136</c:v>
                </c:pt>
                <c:pt idx="1346">
                  <c:v>42137</c:v>
                </c:pt>
                <c:pt idx="1347">
                  <c:v>42138</c:v>
                </c:pt>
                <c:pt idx="1348">
                  <c:v>42139</c:v>
                </c:pt>
                <c:pt idx="1349">
                  <c:v>42142</c:v>
                </c:pt>
                <c:pt idx="1350">
                  <c:v>42143</c:v>
                </c:pt>
                <c:pt idx="1351">
                  <c:v>42144</c:v>
                </c:pt>
                <c:pt idx="1352">
                  <c:v>42145</c:v>
                </c:pt>
                <c:pt idx="1353">
                  <c:v>42146</c:v>
                </c:pt>
                <c:pt idx="1354">
                  <c:v>42150</c:v>
                </c:pt>
                <c:pt idx="1355">
                  <c:v>42151</c:v>
                </c:pt>
                <c:pt idx="1356">
                  <c:v>42152</c:v>
                </c:pt>
                <c:pt idx="1357">
                  <c:v>42153</c:v>
                </c:pt>
                <c:pt idx="1358">
                  <c:v>42156</c:v>
                </c:pt>
                <c:pt idx="1359">
                  <c:v>42157</c:v>
                </c:pt>
                <c:pt idx="1360">
                  <c:v>42158</c:v>
                </c:pt>
                <c:pt idx="1361">
                  <c:v>42159</c:v>
                </c:pt>
                <c:pt idx="1362">
                  <c:v>42160</c:v>
                </c:pt>
                <c:pt idx="1363">
                  <c:v>42163</c:v>
                </c:pt>
                <c:pt idx="1364">
                  <c:v>42164</c:v>
                </c:pt>
                <c:pt idx="1365">
                  <c:v>42165</c:v>
                </c:pt>
                <c:pt idx="1366">
                  <c:v>42166</c:v>
                </c:pt>
                <c:pt idx="1367">
                  <c:v>42167</c:v>
                </c:pt>
                <c:pt idx="1368">
                  <c:v>42170</c:v>
                </c:pt>
                <c:pt idx="1369">
                  <c:v>42171</c:v>
                </c:pt>
                <c:pt idx="1370">
                  <c:v>42172</c:v>
                </c:pt>
                <c:pt idx="1371">
                  <c:v>42173</c:v>
                </c:pt>
                <c:pt idx="1372">
                  <c:v>42174</c:v>
                </c:pt>
                <c:pt idx="1373">
                  <c:v>42177</c:v>
                </c:pt>
                <c:pt idx="1374">
                  <c:v>42178</c:v>
                </c:pt>
                <c:pt idx="1375">
                  <c:v>42179</c:v>
                </c:pt>
                <c:pt idx="1376">
                  <c:v>42180</c:v>
                </c:pt>
                <c:pt idx="1377">
                  <c:v>42181</c:v>
                </c:pt>
                <c:pt idx="1378">
                  <c:v>42184</c:v>
                </c:pt>
                <c:pt idx="1379">
                  <c:v>42185</c:v>
                </c:pt>
                <c:pt idx="1380">
                  <c:v>42186</c:v>
                </c:pt>
                <c:pt idx="1381">
                  <c:v>42187</c:v>
                </c:pt>
                <c:pt idx="1382">
                  <c:v>42191</c:v>
                </c:pt>
                <c:pt idx="1383">
                  <c:v>42192</c:v>
                </c:pt>
                <c:pt idx="1384">
                  <c:v>42193</c:v>
                </c:pt>
                <c:pt idx="1385">
                  <c:v>42194</c:v>
                </c:pt>
                <c:pt idx="1386">
                  <c:v>42195</c:v>
                </c:pt>
                <c:pt idx="1387">
                  <c:v>42198</c:v>
                </c:pt>
                <c:pt idx="1388">
                  <c:v>42199</c:v>
                </c:pt>
                <c:pt idx="1389">
                  <c:v>42200</c:v>
                </c:pt>
                <c:pt idx="1390">
                  <c:v>42201</c:v>
                </c:pt>
                <c:pt idx="1391">
                  <c:v>42202</c:v>
                </c:pt>
                <c:pt idx="1392">
                  <c:v>42205</c:v>
                </c:pt>
                <c:pt idx="1393">
                  <c:v>42206</c:v>
                </c:pt>
                <c:pt idx="1394">
                  <c:v>42207</c:v>
                </c:pt>
                <c:pt idx="1395">
                  <c:v>42208</c:v>
                </c:pt>
                <c:pt idx="1396">
                  <c:v>42209</c:v>
                </c:pt>
                <c:pt idx="1397">
                  <c:v>42212</c:v>
                </c:pt>
                <c:pt idx="1398">
                  <c:v>42213</c:v>
                </c:pt>
                <c:pt idx="1399">
                  <c:v>42214</c:v>
                </c:pt>
                <c:pt idx="1400">
                  <c:v>42215</c:v>
                </c:pt>
                <c:pt idx="1401">
                  <c:v>42216</c:v>
                </c:pt>
                <c:pt idx="1402">
                  <c:v>42219</c:v>
                </c:pt>
                <c:pt idx="1403">
                  <c:v>42220</c:v>
                </c:pt>
                <c:pt idx="1404">
                  <c:v>42221</c:v>
                </c:pt>
                <c:pt idx="1405">
                  <c:v>42222</c:v>
                </c:pt>
                <c:pt idx="1406">
                  <c:v>42223</c:v>
                </c:pt>
                <c:pt idx="1407">
                  <c:v>42226</c:v>
                </c:pt>
                <c:pt idx="1408">
                  <c:v>42227</c:v>
                </c:pt>
                <c:pt idx="1409">
                  <c:v>42228</c:v>
                </c:pt>
                <c:pt idx="1410">
                  <c:v>42229</c:v>
                </c:pt>
                <c:pt idx="1411">
                  <c:v>42230</c:v>
                </c:pt>
                <c:pt idx="1412">
                  <c:v>42233</c:v>
                </c:pt>
                <c:pt idx="1413">
                  <c:v>42234</c:v>
                </c:pt>
                <c:pt idx="1414">
                  <c:v>42235</c:v>
                </c:pt>
                <c:pt idx="1415">
                  <c:v>42236</c:v>
                </c:pt>
                <c:pt idx="1416">
                  <c:v>42237</c:v>
                </c:pt>
                <c:pt idx="1417">
                  <c:v>42240</c:v>
                </c:pt>
                <c:pt idx="1418">
                  <c:v>42241</c:v>
                </c:pt>
                <c:pt idx="1419">
                  <c:v>42242</c:v>
                </c:pt>
                <c:pt idx="1420">
                  <c:v>42243</c:v>
                </c:pt>
                <c:pt idx="1421">
                  <c:v>42244</c:v>
                </c:pt>
                <c:pt idx="1422">
                  <c:v>42247</c:v>
                </c:pt>
                <c:pt idx="1423">
                  <c:v>42248</c:v>
                </c:pt>
                <c:pt idx="1424">
                  <c:v>42249</c:v>
                </c:pt>
                <c:pt idx="1425">
                  <c:v>42250</c:v>
                </c:pt>
                <c:pt idx="1426">
                  <c:v>42251</c:v>
                </c:pt>
                <c:pt idx="1427">
                  <c:v>42255</c:v>
                </c:pt>
                <c:pt idx="1428">
                  <c:v>42256</c:v>
                </c:pt>
                <c:pt idx="1429">
                  <c:v>42257</c:v>
                </c:pt>
                <c:pt idx="1430">
                  <c:v>42258</c:v>
                </c:pt>
                <c:pt idx="1431">
                  <c:v>42261</c:v>
                </c:pt>
                <c:pt idx="1432">
                  <c:v>42262</c:v>
                </c:pt>
                <c:pt idx="1433">
                  <c:v>42263</c:v>
                </c:pt>
                <c:pt idx="1434">
                  <c:v>42264</c:v>
                </c:pt>
                <c:pt idx="1435">
                  <c:v>42265</c:v>
                </c:pt>
                <c:pt idx="1436">
                  <c:v>42268</c:v>
                </c:pt>
                <c:pt idx="1437">
                  <c:v>42269</c:v>
                </c:pt>
                <c:pt idx="1438">
                  <c:v>42270</c:v>
                </c:pt>
                <c:pt idx="1439">
                  <c:v>42271</c:v>
                </c:pt>
                <c:pt idx="1440">
                  <c:v>42272</c:v>
                </c:pt>
                <c:pt idx="1441">
                  <c:v>42275</c:v>
                </c:pt>
                <c:pt idx="1442">
                  <c:v>42276</c:v>
                </c:pt>
                <c:pt idx="1443">
                  <c:v>42277</c:v>
                </c:pt>
                <c:pt idx="1444">
                  <c:v>42278</c:v>
                </c:pt>
                <c:pt idx="1445">
                  <c:v>42279</c:v>
                </c:pt>
                <c:pt idx="1446">
                  <c:v>42282</c:v>
                </c:pt>
                <c:pt idx="1447">
                  <c:v>42283</c:v>
                </c:pt>
                <c:pt idx="1448">
                  <c:v>42284</c:v>
                </c:pt>
                <c:pt idx="1449">
                  <c:v>42285</c:v>
                </c:pt>
                <c:pt idx="1450">
                  <c:v>42286</c:v>
                </c:pt>
                <c:pt idx="1451">
                  <c:v>42289</c:v>
                </c:pt>
                <c:pt idx="1452">
                  <c:v>42290</c:v>
                </c:pt>
                <c:pt idx="1453">
                  <c:v>42291</c:v>
                </c:pt>
                <c:pt idx="1454">
                  <c:v>42292</c:v>
                </c:pt>
                <c:pt idx="1455">
                  <c:v>42293</c:v>
                </c:pt>
                <c:pt idx="1456">
                  <c:v>42296</c:v>
                </c:pt>
                <c:pt idx="1457">
                  <c:v>42297</c:v>
                </c:pt>
                <c:pt idx="1458">
                  <c:v>42298</c:v>
                </c:pt>
                <c:pt idx="1459">
                  <c:v>42299</c:v>
                </c:pt>
                <c:pt idx="1460">
                  <c:v>42300</c:v>
                </c:pt>
                <c:pt idx="1461">
                  <c:v>42303</c:v>
                </c:pt>
                <c:pt idx="1462">
                  <c:v>42304</c:v>
                </c:pt>
                <c:pt idx="1463">
                  <c:v>42305</c:v>
                </c:pt>
                <c:pt idx="1464">
                  <c:v>42306</c:v>
                </c:pt>
                <c:pt idx="1465">
                  <c:v>42307</c:v>
                </c:pt>
                <c:pt idx="1466">
                  <c:v>42310</c:v>
                </c:pt>
                <c:pt idx="1467">
                  <c:v>42311</c:v>
                </c:pt>
                <c:pt idx="1468">
                  <c:v>42312</c:v>
                </c:pt>
                <c:pt idx="1469">
                  <c:v>42313</c:v>
                </c:pt>
                <c:pt idx="1470">
                  <c:v>42314</c:v>
                </c:pt>
                <c:pt idx="1471">
                  <c:v>42317</c:v>
                </c:pt>
                <c:pt idx="1472">
                  <c:v>42318</c:v>
                </c:pt>
                <c:pt idx="1473">
                  <c:v>42319</c:v>
                </c:pt>
                <c:pt idx="1474">
                  <c:v>42320</c:v>
                </c:pt>
                <c:pt idx="1475">
                  <c:v>42321</c:v>
                </c:pt>
                <c:pt idx="1476">
                  <c:v>42324</c:v>
                </c:pt>
                <c:pt idx="1477">
                  <c:v>42325</c:v>
                </c:pt>
                <c:pt idx="1478">
                  <c:v>42326</c:v>
                </c:pt>
                <c:pt idx="1479">
                  <c:v>42327</c:v>
                </c:pt>
                <c:pt idx="1480">
                  <c:v>42328</c:v>
                </c:pt>
                <c:pt idx="1481">
                  <c:v>42331</c:v>
                </c:pt>
                <c:pt idx="1482">
                  <c:v>42332</c:v>
                </c:pt>
                <c:pt idx="1483">
                  <c:v>42333</c:v>
                </c:pt>
                <c:pt idx="1484">
                  <c:v>42335</c:v>
                </c:pt>
                <c:pt idx="1485">
                  <c:v>42338</c:v>
                </c:pt>
                <c:pt idx="1486">
                  <c:v>42339</c:v>
                </c:pt>
                <c:pt idx="1487">
                  <c:v>42340</c:v>
                </c:pt>
                <c:pt idx="1488">
                  <c:v>42341</c:v>
                </c:pt>
                <c:pt idx="1489">
                  <c:v>42342</c:v>
                </c:pt>
                <c:pt idx="1490">
                  <c:v>42345</c:v>
                </c:pt>
                <c:pt idx="1491">
                  <c:v>42346</c:v>
                </c:pt>
                <c:pt idx="1492">
                  <c:v>42347</c:v>
                </c:pt>
                <c:pt idx="1493">
                  <c:v>42348</c:v>
                </c:pt>
                <c:pt idx="1494">
                  <c:v>42349</c:v>
                </c:pt>
                <c:pt idx="1495">
                  <c:v>42352</c:v>
                </c:pt>
                <c:pt idx="1496">
                  <c:v>42353</c:v>
                </c:pt>
                <c:pt idx="1497">
                  <c:v>42354</c:v>
                </c:pt>
                <c:pt idx="1498">
                  <c:v>42355</c:v>
                </c:pt>
                <c:pt idx="1499">
                  <c:v>42356</c:v>
                </c:pt>
                <c:pt idx="1500">
                  <c:v>42359</c:v>
                </c:pt>
                <c:pt idx="1501">
                  <c:v>42360</c:v>
                </c:pt>
                <c:pt idx="1502">
                  <c:v>42361</c:v>
                </c:pt>
                <c:pt idx="1503">
                  <c:v>42362</c:v>
                </c:pt>
                <c:pt idx="1504">
                  <c:v>42366</c:v>
                </c:pt>
                <c:pt idx="1505">
                  <c:v>42367</c:v>
                </c:pt>
                <c:pt idx="1506">
                  <c:v>42368</c:v>
                </c:pt>
                <c:pt idx="1507">
                  <c:v>42369</c:v>
                </c:pt>
                <c:pt idx="1508">
                  <c:v>42373</c:v>
                </c:pt>
                <c:pt idx="1509">
                  <c:v>42374</c:v>
                </c:pt>
                <c:pt idx="1510">
                  <c:v>42375</c:v>
                </c:pt>
                <c:pt idx="1511">
                  <c:v>42376</c:v>
                </c:pt>
                <c:pt idx="1512">
                  <c:v>42377</c:v>
                </c:pt>
                <c:pt idx="1513">
                  <c:v>42380</c:v>
                </c:pt>
                <c:pt idx="1514">
                  <c:v>42381</c:v>
                </c:pt>
                <c:pt idx="1515">
                  <c:v>42382</c:v>
                </c:pt>
                <c:pt idx="1516">
                  <c:v>42383</c:v>
                </c:pt>
                <c:pt idx="1517">
                  <c:v>42384</c:v>
                </c:pt>
                <c:pt idx="1518">
                  <c:v>42388</c:v>
                </c:pt>
                <c:pt idx="1519">
                  <c:v>42389</c:v>
                </c:pt>
                <c:pt idx="1520">
                  <c:v>42390</c:v>
                </c:pt>
                <c:pt idx="1521">
                  <c:v>42391</c:v>
                </c:pt>
                <c:pt idx="1522">
                  <c:v>42394</c:v>
                </c:pt>
                <c:pt idx="1523">
                  <c:v>42395</c:v>
                </c:pt>
                <c:pt idx="1524">
                  <c:v>42396</c:v>
                </c:pt>
                <c:pt idx="1525">
                  <c:v>42397</c:v>
                </c:pt>
                <c:pt idx="1526">
                  <c:v>42398</c:v>
                </c:pt>
                <c:pt idx="1527">
                  <c:v>42401</c:v>
                </c:pt>
                <c:pt idx="1528">
                  <c:v>42402</c:v>
                </c:pt>
                <c:pt idx="1529">
                  <c:v>42403</c:v>
                </c:pt>
                <c:pt idx="1530">
                  <c:v>42404</c:v>
                </c:pt>
                <c:pt idx="1531">
                  <c:v>42405</c:v>
                </c:pt>
                <c:pt idx="1532">
                  <c:v>42408</c:v>
                </c:pt>
                <c:pt idx="1533">
                  <c:v>42409</c:v>
                </c:pt>
                <c:pt idx="1534">
                  <c:v>42410</c:v>
                </c:pt>
                <c:pt idx="1535">
                  <c:v>42411</c:v>
                </c:pt>
                <c:pt idx="1536">
                  <c:v>42412</c:v>
                </c:pt>
                <c:pt idx="1537">
                  <c:v>42416</c:v>
                </c:pt>
                <c:pt idx="1538">
                  <c:v>42417</c:v>
                </c:pt>
                <c:pt idx="1539">
                  <c:v>42418</c:v>
                </c:pt>
                <c:pt idx="1540">
                  <c:v>42419</c:v>
                </c:pt>
                <c:pt idx="1541">
                  <c:v>42422</c:v>
                </c:pt>
                <c:pt idx="1542">
                  <c:v>42423</c:v>
                </c:pt>
                <c:pt idx="1543">
                  <c:v>42424</c:v>
                </c:pt>
                <c:pt idx="1544">
                  <c:v>42425</c:v>
                </c:pt>
                <c:pt idx="1545">
                  <c:v>42426</c:v>
                </c:pt>
                <c:pt idx="1546">
                  <c:v>42429</c:v>
                </c:pt>
                <c:pt idx="1547">
                  <c:v>42430</c:v>
                </c:pt>
                <c:pt idx="1548">
                  <c:v>42431</c:v>
                </c:pt>
                <c:pt idx="1549">
                  <c:v>42432</c:v>
                </c:pt>
                <c:pt idx="1550">
                  <c:v>42433</c:v>
                </c:pt>
                <c:pt idx="1551">
                  <c:v>42436</c:v>
                </c:pt>
                <c:pt idx="1552">
                  <c:v>42437</c:v>
                </c:pt>
                <c:pt idx="1553">
                  <c:v>42438</c:v>
                </c:pt>
                <c:pt idx="1554">
                  <c:v>42439</c:v>
                </c:pt>
                <c:pt idx="1555">
                  <c:v>42440</c:v>
                </c:pt>
                <c:pt idx="1556">
                  <c:v>42443</c:v>
                </c:pt>
                <c:pt idx="1557">
                  <c:v>42444</c:v>
                </c:pt>
                <c:pt idx="1558">
                  <c:v>42445</c:v>
                </c:pt>
                <c:pt idx="1559">
                  <c:v>42446</c:v>
                </c:pt>
                <c:pt idx="1560">
                  <c:v>42447</c:v>
                </c:pt>
                <c:pt idx="1561">
                  <c:v>42450</c:v>
                </c:pt>
                <c:pt idx="1562">
                  <c:v>42451</c:v>
                </c:pt>
                <c:pt idx="1563">
                  <c:v>42452</c:v>
                </c:pt>
                <c:pt idx="1564">
                  <c:v>42453</c:v>
                </c:pt>
                <c:pt idx="1565">
                  <c:v>42457</c:v>
                </c:pt>
                <c:pt idx="1566">
                  <c:v>42458</c:v>
                </c:pt>
                <c:pt idx="1567">
                  <c:v>42459</c:v>
                </c:pt>
                <c:pt idx="1568">
                  <c:v>42460</c:v>
                </c:pt>
                <c:pt idx="1569">
                  <c:v>42461</c:v>
                </c:pt>
                <c:pt idx="1570">
                  <c:v>42464</c:v>
                </c:pt>
                <c:pt idx="1571">
                  <c:v>42465</c:v>
                </c:pt>
                <c:pt idx="1572">
                  <c:v>42466</c:v>
                </c:pt>
                <c:pt idx="1573">
                  <c:v>42467</c:v>
                </c:pt>
                <c:pt idx="1574">
                  <c:v>42468</c:v>
                </c:pt>
                <c:pt idx="1575">
                  <c:v>42471</c:v>
                </c:pt>
                <c:pt idx="1576">
                  <c:v>42472</c:v>
                </c:pt>
                <c:pt idx="1577">
                  <c:v>42473</c:v>
                </c:pt>
                <c:pt idx="1578">
                  <c:v>42474</c:v>
                </c:pt>
                <c:pt idx="1579">
                  <c:v>42475</c:v>
                </c:pt>
                <c:pt idx="1580">
                  <c:v>42478</c:v>
                </c:pt>
                <c:pt idx="1581">
                  <c:v>42479</c:v>
                </c:pt>
                <c:pt idx="1582">
                  <c:v>42480</c:v>
                </c:pt>
                <c:pt idx="1583">
                  <c:v>42481</c:v>
                </c:pt>
                <c:pt idx="1584">
                  <c:v>42482</c:v>
                </c:pt>
                <c:pt idx="1585">
                  <c:v>42485</c:v>
                </c:pt>
                <c:pt idx="1586">
                  <c:v>42486</c:v>
                </c:pt>
                <c:pt idx="1587">
                  <c:v>42487</c:v>
                </c:pt>
                <c:pt idx="1588">
                  <c:v>42488</c:v>
                </c:pt>
                <c:pt idx="1589">
                  <c:v>42489</c:v>
                </c:pt>
                <c:pt idx="1590">
                  <c:v>42492</c:v>
                </c:pt>
                <c:pt idx="1591">
                  <c:v>42493</c:v>
                </c:pt>
                <c:pt idx="1592">
                  <c:v>42494</c:v>
                </c:pt>
                <c:pt idx="1593">
                  <c:v>42495</c:v>
                </c:pt>
                <c:pt idx="1594">
                  <c:v>42496</c:v>
                </c:pt>
                <c:pt idx="1595">
                  <c:v>42499</c:v>
                </c:pt>
                <c:pt idx="1596">
                  <c:v>42500</c:v>
                </c:pt>
                <c:pt idx="1597">
                  <c:v>42501</c:v>
                </c:pt>
                <c:pt idx="1598">
                  <c:v>42502</c:v>
                </c:pt>
                <c:pt idx="1599">
                  <c:v>42503</c:v>
                </c:pt>
                <c:pt idx="1600">
                  <c:v>42506</c:v>
                </c:pt>
                <c:pt idx="1601">
                  <c:v>42507</c:v>
                </c:pt>
                <c:pt idx="1602">
                  <c:v>42508</c:v>
                </c:pt>
                <c:pt idx="1603">
                  <c:v>42509</c:v>
                </c:pt>
                <c:pt idx="1604">
                  <c:v>42510</c:v>
                </c:pt>
                <c:pt idx="1605">
                  <c:v>42513</c:v>
                </c:pt>
                <c:pt idx="1606">
                  <c:v>42514</c:v>
                </c:pt>
                <c:pt idx="1607">
                  <c:v>42515</c:v>
                </c:pt>
                <c:pt idx="1608">
                  <c:v>42516</c:v>
                </c:pt>
                <c:pt idx="1609">
                  <c:v>42517</c:v>
                </c:pt>
                <c:pt idx="1610">
                  <c:v>42521</c:v>
                </c:pt>
                <c:pt idx="1611">
                  <c:v>42522</c:v>
                </c:pt>
                <c:pt idx="1612">
                  <c:v>42523</c:v>
                </c:pt>
                <c:pt idx="1613">
                  <c:v>42524</c:v>
                </c:pt>
                <c:pt idx="1614">
                  <c:v>42527</c:v>
                </c:pt>
                <c:pt idx="1615">
                  <c:v>42528</c:v>
                </c:pt>
                <c:pt idx="1616">
                  <c:v>42529</c:v>
                </c:pt>
                <c:pt idx="1617">
                  <c:v>42530</c:v>
                </c:pt>
                <c:pt idx="1618">
                  <c:v>42531</c:v>
                </c:pt>
                <c:pt idx="1619">
                  <c:v>42534</c:v>
                </c:pt>
                <c:pt idx="1620">
                  <c:v>42535</c:v>
                </c:pt>
                <c:pt idx="1621">
                  <c:v>42536</c:v>
                </c:pt>
                <c:pt idx="1622">
                  <c:v>42537</c:v>
                </c:pt>
                <c:pt idx="1623">
                  <c:v>42538</c:v>
                </c:pt>
                <c:pt idx="1624">
                  <c:v>42541</c:v>
                </c:pt>
                <c:pt idx="1625">
                  <c:v>42542</c:v>
                </c:pt>
                <c:pt idx="1626">
                  <c:v>42543</c:v>
                </c:pt>
                <c:pt idx="1627">
                  <c:v>42544</c:v>
                </c:pt>
                <c:pt idx="1628">
                  <c:v>42545</c:v>
                </c:pt>
                <c:pt idx="1629">
                  <c:v>42548</c:v>
                </c:pt>
                <c:pt idx="1630">
                  <c:v>42549</c:v>
                </c:pt>
                <c:pt idx="1631">
                  <c:v>42550</c:v>
                </c:pt>
                <c:pt idx="1632">
                  <c:v>42551</c:v>
                </c:pt>
                <c:pt idx="1633">
                  <c:v>42552</c:v>
                </c:pt>
                <c:pt idx="1634">
                  <c:v>42556</c:v>
                </c:pt>
                <c:pt idx="1635">
                  <c:v>42557</c:v>
                </c:pt>
                <c:pt idx="1636">
                  <c:v>42558</c:v>
                </c:pt>
                <c:pt idx="1637">
                  <c:v>42559</c:v>
                </c:pt>
                <c:pt idx="1638">
                  <c:v>42562</c:v>
                </c:pt>
                <c:pt idx="1639">
                  <c:v>42563</c:v>
                </c:pt>
                <c:pt idx="1640">
                  <c:v>42564</c:v>
                </c:pt>
                <c:pt idx="1641">
                  <c:v>42565</c:v>
                </c:pt>
                <c:pt idx="1642">
                  <c:v>42566</c:v>
                </c:pt>
                <c:pt idx="1643">
                  <c:v>42569</c:v>
                </c:pt>
                <c:pt idx="1644">
                  <c:v>42570</c:v>
                </c:pt>
                <c:pt idx="1645">
                  <c:v>42571</c:v>
                </c:pt>
                <c:pt idx="1646">
                  <c:v>42572</c:v>
                </c:pt>
                <c:pt idx="1647">
                  <c:v>42573</c:v>
                </c:pt>
                <c:pt idx="1648">
                  <c:v>42576</c:v>
                </c:pt>
                <c:pt idx="1649">
                  <c:v>42577</c:v>
                </c:pt>
                <c:pt idx="1650">
                  <c:v>42578</c:v>
                </c:pt>
                <c:pt idx="1651">
                  <c:v>42579</c:v>
                </c:pt>
                <c:pt idx="1652">
                  <c:v>42580</c:v>
                </c:pt>
                <c:pt idx="1653">
                  <c:v>42583</c:v>
                </c:pt>
                <c:pt idx="1654">
                  <c:v>42584</c:v>
                </c:pt>
                <c:pt idx="1655">
                  <c:v>42585</c:v>
                </c:pt>
                <c:pt idx="1656">
                  <c:v>42586</c:v>
                </c:pt>
                <c:pt idx="1657">
                  <c:v>42587</c:v>
                </c:pt>
                <c:pt idx="1658">
                  <c:v>42590</c:v>
                </c:pt>
                <c:pt idx="1659">
                  <c:v>42591</c:v>
                </c:pt>
                <c:pt idx="1660">
                  <c:v>42592</c:v>
                </c:pt>
                <c:pt idx="1661">
                  <c:v>42593</c:v>
                </c:pt>
                <c:pt idx="1662">
                  <c:v>42594</c:v>
                </c:pt>
                <c:pt idx="1663">
                  <c:v>42597</c:v>
                </c:pt>
                <c:pt idx="1664">
                  <c:v>42598</c:v>
                </c:pt>
                <c:pt idx="1665">
                  <c:v>42599</c:v>
                </c:pt>
                <c:pt idx="1666">
                  <c:v>42600</c:v>
                </c:pt>
                <c:pt idx="1667">
                  <c:v>42601</c:v>
                </c:pt>
                <c:pt idx="1668">
                  <c:v>42604</c:v>
                </c:pt>
                <c:pt idx="1669">
                  <c:v>42605</c:v>
                </c:pt>
                <c:pt idx="1670">
                  <c:v>42606</c:v>
                </c:pt>
                <c:pt idx="1671">
                  <c:v>42607</c:v>
                </c:pt>
                <c:pt idx="1672">
                  <c:v>42608</c:v>
                </c:pt>
                <c:pt idx="1673">
                  <c:v>42611</c:v>
                </c:pt>
                <c:pt idx="1674">
                  <c:v>42612</c:v>
                </c:pt>
                <c:pt idx="1675">
                  <c:v>42613</c:v>
                </c:pt>
                <c:pt idx="1676">
                  <c:v>42614</c:v>
                </c:pt>
                <c:pt idx="1677">
                  <c:v>42615</c:v>
                </c:pt>
                <c:pt idx="1678">
                  <c:v>42619</c:v>
                </c:pt>
                <c:pt idx="1679">
                  <c:v>42620</c:v>
                </c:pt>
                <c:pt idx="1680">
                  <c:v>42621</c:v>
                </c:pt>
                <c:pt idx="1681">
                  <c:v>42622</c:v>
                </c:pt>
                <c:pt idx="1682">
                  <c:v>42625</c:v>
                </c:pt>
                <c:pt idx="1683">
                  <c:v>42626</c:v>
                </c:pt>
                <c:pt idx="1684">
                  <c:v>42627</c:v>
                </c:pt>
                <c:pt idx="1685">
                  <c:v>42628</c:v>
                </c:pt>
                <c:pt idx="1686">
                  <c:v>42629</c:v>
                </c:pt>
                <c:pt idx="1687">
                  <c:v>42632</c:v>
                </c:pt>
                <c:pt idx="1688">
                  <c:v>42633</c:v>
                </c:pt>
                <c:pt idx="1689">
                  <c:v>42634</c:v>
                </c:pt>
                <c:pt idx="1690">
                  <c:v>42635</c:v>
                </c:pt>
                <c:pt idx="1691">
                  <c:v>42636</c:v>
                </c:pt>
                <c:pt idx="1692">
                  <c:v>42639</c:v>
                </c:pt>
                <c:pt idx="1693">
                  <c:v>42640</c:v>
                </c:pt>
                <c:pt idx="1694">
                  <c:v>42641</c:v>
                </c:pt>
                <c:pt idx="1695">
                  <c:v>42642</c:v>
                </c:pt>
                <c:pt idx="1696">
                  <c:v>42643</c:v>
                </c:pt>
                <c:pt idx="1697">
                  <c:v>42646</c:v>
                </c:pt>
                <c:pt idx="1698">
                  <c:v>42647</c:v>
                </c:pt>
                <c:pt idx="1699">
                  <c:v>42648</c:v>
                </c:pt>
                <c:pt idx="1700">
                  <c:v>42649</c:v>
                </c:pt>
                <c:pt idx="1701">
                  <c:v>42650</c:v>
                </c:pt>
                <c:pt idx="1702">
                  <c:v>42654</c:v>
                </c:pt>
                <c:pt idx="1703">
                  <c:v>42655</c:v>
                </c:pt>
                <c:pt idx="1704">
                  <c:v>42656</c:v>
                </c:pt>
                <c:pt idx="1705">
                  <c:v>42657</c:v>
                </c:pt>
                <c:pt idx="1706">
                  <c:v>42660</c:v>
                </c:pt>
                <c:pt idx="1707">
                  <c:v>42661</c:v>
                </c:pt>
                <c:pt idx="1708">
                  <c:v>42662</c:v>
                </c:pt>
                <c:pt idx="1709">
                  <c:v>42663</c:v>
                </c:pt>
                <c:pt idx="1710">
                  <c:v>42664</c:v>
                </c:pt>
                <c:pt idx="1711">
                  <c:v>42667</c:v>
                </c:pt>
                <c:pt idx="1712">
                  <c:v>42668</c:v>
                </c:pt>
                <c:pt idx="1713">
                  <c:v>42669</c:v>
                </c:pt>
                <c:pt idx="1714">
                  <c:v>42670</c:v>
                </c:pt>
                <c:pt idx="1715">
                  <c:v>42671</c:v>
                </c:pt>
                <c:pt idx="1716">
                  <c:v>42674</c:v>
                </c:pt>
                <c:pt idx="1717">
                  <c:v>42675</c:v>
                </c:pt>
                <c:pt idx="1718">
                  <c:v>42676</c:v>
                </c:pt>
                <c:pt idx="1719">
                  <c:v>42677</c:v>
                </c:pt>
                <c:pt idx="1720">
                  <c:v>42678</c:v>
                </c:pt>
                <c:pt idx="1721">
                  <c:v>42681</c:v>
                </c:pt>
                <c:pt idx="1722">
                  <c:v>42682</c:v>
                </c:pt>
                <c:pt idx="1723">
                  <c:v>42683</c:v>
                </c:pt>
                <c:pt idx="1724">
                  <c:v>42684</c:v>
                </c:pt>
                <c:pt idx="1725">
                  <c:v>42688</c:v>
                </c:pt>
                <c:pt idx="1726">
                  <c:v>42689</c:v>
                </c:pt>
                <c:pt idx="1727">
                  <c:v>42690</c:v>
                </c:pt>
                <c:pt idx="1728">
                  <c:v>42691</c:v>
                </c:pt>
                <c:pt idx="1729">
                  <c:v>42692</c:v>
                </c:pt>
                <c:pt idx="1730">
                  <c:v>42695</c:v>
                </c:pt>
                <c:pt idx="1731">
                  <c:v>42696</c:v>
                </c:pt>
                <c:pt idx="1732">
                  <c:v>42697</c:v>
                </c:pt>
                <c:pt idx="1733">
                  <c:v>42699</c:v>
                </c:pt>
                <c:pt idx="1734">
                  <c:v>42702</c:v>
                </c:pt>
                <c:pt idx="1735">
                  <c:v>42703</c:v>
                </c:pt>
                <c:pt idx="1736">
                  <c:v>42704</c:v>
                </c:pt>
                <c:pt idx="1737">
                  <c:v>42705</c:v>
                </c:pt>
                <c:pt idx="1738">
                  <c:v>42706</c:v>
                </c:pt>
                <c:pt idx="1739">
                  <c:v>42709</c:v>
                </c:pt>
                <c:pt idx="1740">
                  <c:v>42710</c:v>
                </c:pt>
                <c:pt idx="1741">
                  <c:v>42711</c:v>
                </c:pt>
                <c:pt idx="1742">
                  <c:v>42712</c:v>
                </c:pt>
                <c:pt idx="1743">
                  <c:v>42713</c:v>
                </c:pt>
                <c:pt idx="1744">
                  <c:v>42716</c:v>
                </c:pt>
                <c:pt idx="1745">
                  <c:v>42717</c:v>
                </c:pt>
                <c:pt idx="1746">
                  <c:v>42718</c:v>
                </c:pt>
                <c:pt idx="1747">
                  <c:v>42719</c:v>
                </c:pt>
                <c:pt idx="1748">
                  <c:v>42720</c:v>
                </c:pt>
                <c:pt idx="1749">
                  <c:v>42723</c:v>
                </c:pt>
                <c:pt idx="1750">
                  <c:v>42724</c:v>
                </c:pt>
                <c:pt idx="1751">
                  <c:v>42725</c:v>
                </c:pt>
                <c:pt idx="1752">
                  <c:v>42726</c:v>
                </c:pt>
                <c:pt idx="1753">
                  <c:v>42727</c:v>
                </c:pt>
                <c:pt idx="1754">
                  <c:v>42731</c:v>
                </c:pt>
                <c:pt idx="1755">
                  <c:v>42732</c:v>
                </c:pt>
                <c:pt idx="1756">
                  <c:v>42733</c:v>
                </c:pt>
                <c:pt idx="1757">
                  <c:v>42734</c:v>
                </c:pt>
                <c:pt idx="1758">
                  <c:v>42738</c:v>
                </c:pt>
                <c:pt idx="1759">
                  <c:v>42739</c:v>
                </c:pt>
                <c:pt idx="1760">
                  <c:v>42740</c:v>
                </c:pt>
                <c:pt idx="1761">
                  <c:v>42741</c:v>
                </c:pt>
                <c:pt idx="1762">
                  <c:v>42744</c:v>
                </c:pt>
                <c:pt idx="1763">
                  <c:v>42745</c:v>
                </c:pt>
                <c:pt idx="1764">
                  <c:v>42746</c:v>
                </c:pt>
                <c:pt idx="1765">
                  <c:v>42747</c:v>
                </c:pt>
                <c:pt idx="1766">
                  <c:v>42748</c:v>
                </c:pt>
                <c:pt idx="1767">
                  <c:v>42752</c:v>
                </c:pt>
                <c:pt idx="1768">
                  <c:v>42753</c:v>
                </c:pt>
                <c:pt idx="1769">
                  <c:v>42754</c:v>
                </c:pt>
                <c:pt idx="1770">
                  <c:v>42755</c:v>
                </c:pt>
                <c:pt idx="1771">
                  <c:v>42758</c:v>
                </c:pt>
                <c:pt idx="1772">
                  <c:v>42759</c:v>
                </c:pt>
                <c:pt idx="1773">
                  <c:v>42760</c:v>
                </c:pt>
                <c:pt idx="1774">
                  <c:v>42761</c:v>
                </c:pt>
                <c:pt idx="1775">
                  <c:v>42762</c:v>
                </c:pt>
                <c:pt idx="1776">
                  <c:v>42765</c:v>
                </c:pt>
                <c:pt idx="1777">
                  <c:v>42766</c:v>
                </c:pt>
                <c:pt idx="1778">
                  <c:v>42767</c:v>
                </c:pt>
                <c:pt idx="1779">
                  <c:v>42768</c:v>
                </c:pt>
                <c:pt idx="1780">
                  <c:v>42769</c:v>
                </c:pt>
                <c:pt idx="1781">
                  <c:v>42772</c:v>
                </c:pt>
                <c:pt idx="1782">
                  <c:v>42773</c:v>
                </c:pt>
                <c:pt idx="1783">
                  <c:v>42774</c:v>
                </c:pt>
                <c:pt idx="1784">
                  <c:v>42775</c:v>
                </c:pt>
                <c:pt idx="1785">
                  <c:v>42776</c:v>
                </c:pt>
                <c:pt idx="1786">
                  <c:v>42779</c:v>
                </c:pt>
                <c:pt idx="1787">
                  <c:v>42780</c:v>
                </c:pt>
                <c:pt idx="1788">
                  <c:v>42781</c:v>
                </c:pt>
                <c:pt idx="1789">
                  <c:v>42782</c:v>
                </c:pt>
                <c:pt idx="1790">
                  <c:v>42783</c:v>
                </c:pt>
                <c:pt idx="1791">
                  <c:v>42787</c:v>
                </c:pt>
                <c:pt idx="1792">
                  <c:v>42788</c:v>
                </c:pt>
                <c:pt idx="1793">
                  <c:v>42789</c:v>
                </c:pt>
                <c:pt idx="1794">
                  <c:v>42790</c:v>
                </c:pt>
                <c:pt idx="1795">
                  <c:v>42793</c:v>
                </c:pt>
                <c:pt idx="1796">
                  <c:v>42794</c:v>
                </c:pt>
                <c:pt idx="1797">
                  <c:v>42795</c:v>
                </c:pt>
                <c:pt idx="1798">
                  <c:v>42796</c:v>
                </c:pt>
                <c:pt idx="1799">
                  <c:v>42797</c:v>
                </c:pt>
                <c:pt idx="1800">
                  <c:v>42800</c:v>
                </c:pt>
                <c:pt idx="1801">
                  <c:v>42801</c:v>
                </c:pt>
                <c:pt idx="1802">
                  <c:v>42802</c:v>
                </c:pt>
                <c:pt idx="1803">
                  <c:v>42803</c:v>
                </c:pt>
                <c:pt idx="1804">
                  <c:v>42804</c:v>
                </c:pt>
                <c:pt idx="1805">
                  <c:v>42807</c:v>
                </c:pt>
                <c:pt idx="1806">
                  <c:v>42808</c:v>
                </c:pt>
                <c:pt idx="1807">
                  <c:v>42809</c:v>
                </c:pt>
                <c:pt idx="1808">
                  <c:v>42810</c:v>
                </c:pt>
                <c:pt idx="1809">
                  <c:v>42811</c:v>
                </c:pt>
                <c:pt idx="1810">
                  <c:v>42814</c:v>
                </c:pt>
                <c:pt idx="1811">
                  <c:v>42815</c:v>
                </c:pt>
                <c:pt idx="1812">
                  <c:v>42816</c:v>
                </c:pt>
                <c:pt idx="1813">
                  <c:v>42817</c:v>
                </c:pt>
                <c:pt idx="1814">
                  <c:v>42818</c:v>
                </c:pt>
                <c:pt idx="1815">
                  <c:v>42821</c:v>
                </c:pt>
                <c:pt idx="1816">
                  <c:v>42822</c:v>
                </c:pt>
                <c:pt idx="1817">
                  <c:v>42823</c:v>
                </c:pt>
                <c:pt idx="1818">
                  <c:v>42824</c:v>
                </c:pt>
                <c:pt idx="1819">
                  <c:v>42825</c:v>
                </c:pt>
                <c:pt idx="1820">
                  <c:v>42828</c:v>
                </c:pt>
                <c:pt idx="1821">
                  <c:v>42829</c:v>
                </c:pt>
                <c:pt idx="1822">
                  <c:v>42830</c:v>
                </c:pt>
                <c:pt idx="1823">
                  <c:v>42831</c:v>
                </c:pt>
                <c:pt idx="1824">
                  <c:v>42832</c:v>
                </c:pt>
                <c:pt idx="1825">
                  <c:v>42835</c:v>
                </c:pt>
                <c:pt idx="1826">
                  <c:v>42836</c:v>
                </c:pt>
                <c:pt idx="1827">
                  <c:v>42837</c:v>
                </c:pt>
                <c:pt idx="1828">
                  <c:v>42838</c:v>
                </c:pt>
                <c:pt idx="1829">
                  <c:v>42842</c:v>
                </c:pt>
                <c:pt idx="1830">
                  <c:v>42843</c:v>
                </c:pt>
                <c:pt idx="1831">
                  <c:v>42844</c:v>
                </c:pt>
                <c:pt idx="1832">
                  <c:v>42845</c:v>
                </c:pt>
                <c:pt idx="1833">
                  <c:v>42846</c:v>
                </c:pt>
                <c:pt idx="1834">
                  <c:v>42849</c:v>
                </c:pt>
                <c:pt idx="1835">
                  <c:v>42850</c:v>
                </c:pt>
                <c:pt idx="1836">
                  <c:v>42851</c:v>
                </c:pt>
                <c:pt idx="1837">
                  <c:v>42852</c:v>
                </c:pt>
                <c:pt idx="1838">
                  <c:v>42853</c:v>
                </c:pt>
                <c:pt idx="1839">
                  <c:v>42856</c:v>
                </c:pt>
                <c:pt idx="1840">
                  <c:v>42857</c:v>
                </c:pt>
                <c:pt idx="1841">
                  <c:v>42858</c:v>
                </c:pt>
                <c:pt idx="1842">
                  <c:v>42859</c:v>
                </c:pt>
                <c:pt idx="1843">
                  <c:v>42860</c:v>
                </c:pt>
                <c:pt idx="1844">
                  <c:v>42863</c:v>
                </c:pt>
                <c:pt idx="1845">
                  <c:v>42864</c:v>
                </c:pt>
                <c:pt idx="1846">
                  <c:v>42865</c:v>
                </c:pt>
                <c:pt idx="1847">
                  <c:v>42866</c:v>
                </c:pt>
                <c:pt idx="1848">
                  <c:v>42867</c:v>
                </c:pt>
                <c:pt idx="1849">
                  <c:v>42870</c:v>
                </c:pt>
                <c:pt idx="1850">
                  <c:v>42871</c:v>
                </c:pt>
                <c:pt idx="1851">
                  <c:v>42872</c:v>
                </c:pt>
                <c:pt idx="1852">
                  <c:v>42873</c:v>
                </c:pt>
                <c:pt idx="1853">
                  <c:v>42874</c:v>
                </c:pt>
                <c:pt idx="1854">
                  <c:v>42877</c:v>
                </c:pt>
                <c:pt idx="1855">
                  <c:v>42878</c:v>
                </c:pt>
                <c:pt idx="1856">
                  <c:v>42879</c:v>
                </c:pt>
                <c:pt idx="1857">
                  <c:v>42880</c:v>
                </c:pt>
                <c:pt idx="1858">
                  <c:v>42881</c:v>
                </c:pt>
                <c:pt idx="1859">
                  <c:v>42885</c:v>
                </c:pt>
                <c:pt idx="1860">
                  <c:v>42886</c:v>
                </c:pt>
                <c:pt idx="1861">
                  <c:v>42887</c:v>
                </c:pt>
                <c:pt idx="1862">
                  <c:v>42888</c:v>
                </c:pt>
                <c:pt idx="1863">
                  <c:v>42891</c:v>
                </c:pt>
                <c:pt idx="1864">
                  <c:v>42892</c:v>
                </c:pt>
                <c:pt idx="1865">
                  <c:v>42893</c:v>
                </c:pt>
                <c:pt idx="1866">
                  <c:v>42894</c:v>
                </c:pt>
                <c:pt idx="1867">
                  <c:v>42895</c:v>
                </c:pt>
                <c:pt idx="1868">
                  <c:v>42898</c:v>
                </c:pt>
                <c:pt idx="1869">
                  <c:v>42899</c:v>
                </c:pt>
                <c:pt idx="1870">
                  <c:v>42900</c:v>
                </c:pt>
                <c:pt idx="1871">
                  <c:v>42901</c:v>
                </c:pt>
                <c:pt idx="1872">
                  <c:v>42902</c:v>
                </c:pt>
                <c:pt idx="1873">
                  <c:v>42905</c:v>
                </c:pt>
                <c:pt idx="1874">
                  <c:v>42906</c:v>
                </c:pt>
                <c:pt idx="1875">
                  <c:v>42907</c:v>
                </c:pt>
                <c:pt idx="1876">
                  <c:v>42908</c:v>
                </c:pt>
                <c:pt idx="1877">
                  <c:v>42909</c:v>
                </c:pt>
                <c:pt idx="1878">
                  <c:v>42912</c:v>
                </c:pt>
                <c:pt idx="1879">
                  <c:v>42913</c:v>
                </c:pt>
                <c:pt idx="1880">
                  <c:v>42914</c:v>
                </c:pt>
                <c:pt idx="1881">
                  <c:v>42915</c:v>
                </c:pt>
                <c:pt idx="1882">
                  <c:v>42916</c:v>
                </c:pt>
                <c:pt idx="1883">
                  <c:v>42919</c:v>
                </c:pt>
                <c:pt idx="1884">
                  <c:v>42921</c:v>
                </c:pt>
                <c:pt idx="1885">
                  <c:v>42922</c:v>
                </c:pt>
                <c:pt idx="1886">
                  <c:v>42923</c:v>
                </c:pt>
                <c:pt idx="1887">
                  <c:v>42926</c:v>
                </c:pt>
                <c:pt idx="1888">
                  <c:v>42928</c:v>
                </c:pt>
                <c:pt idx="1889">
                  <c:v>42929</c:v>
                </c:pt>
                <c:pt idx="1890">
                  <c:v>42930</c:v>
                </c:pt>
                <c:pt idx="1891">
                  <c:v>42933</c:v>
                </c:pt>
                <c:pt idx="1892">
                  <c:v>42934</c:v>
                </c:pt>
                <c:pt idx="1893">
                  <c:v>42935</c:v>
                </c:pt>
                <c:pt idx="1894">
                  <c:v>42936</c:v>
                </c:pt>
                <c:pt idx="1895">
                  <c:v>42937</c:v>
                </c:pt>
                <c:pt idx="1896">
                  <c:v>42940</c:v>
                </c:pt>
                <c:pt idx="1897">
                  <c:v>42941</c:v>
                </c:pt>
                <c:pt idx="1898">
                  <c:v>42942</c:v>
                </c:pt>
                <c:pt idx="1899">
                  <c:v>42943</c:v>
                </c:pt>
                <c:pt idx="1900">
                  <c:v>42944</c:v>
                </c:pt>
                <c:pt idx="1901">
                  <c:v>42947</c:v>
                </c:pt>
                <c:pt idx="1902">
                  <c:v>42948</c:v>
                </c:pt>
                <c:pt idx="1903">
                  <c:v>42949</c:v>
                </c:pt>
                <c:pt idx="1904">
                  <c:v>42950</c:v>
                </c:pt>
                <c:pt idx="1905">
                  <c:v>42951</c:v>
                </c:pt>
                <c:pt idx="1906">
                  <c:v>42954</c:v>
                </c:pt>
                <c:pt idx="1907">
                  <c:v>42955</c:v>
                </c:pt>
                <c:pt idx="1908">
                  <c:v>42956</c:v>
                </c:pt>
                <c:pt idx="1909">
                  <c:v>42957</c:v>
                </c:pt>
                <c:pt idx="1910">
                  <c:v>42958</c:v>
                </c:pt>
                <c:pt idx="1911">
                  <c:v>42961</c:v>
                </c:pt>
                <c:pt idx="1912">
                  <c:v>42962</c:v>
                </c:pt>
                <c:pt idx="1913">
                  <c:v>42963</c:v>
                </c:pt>
                <c:pt idx="1914">
                  <c:v>42964</c:v>
                </c:pt>
                <c:pt idx="1915">
                  <c:v>42965</c:v>
                </c:pt>
                <c:pt idx="1916">
                  <c:v>42968</c:v>
                </c:pt>
                <c:pt idx="1917">
                  <c:v>42969</c:v>
                </c:pt>
                <c:pt idx="1918">
                  <c:v>42970</c:v>
                </c:pt>
                <c:pt idx="1919">
                  <c:v>42971</c:v>
                </c:pt>
                <c:pt idx="1920">
                  <c:v>42972</c:v>
                </c:pt>
                <c:pt idx="1921">
                  <c:v>42975</c:v>
                </c:pt>
                <c:pt idx="1922">
                  <c:v>42976</c:v>
                </c:pt>
                <c:pt idx="1923">
                  <c:v>42977</c:v>
                </c:pt>
                <c:pt idx="1924">
                  <c:v>42978</c:v>
                </c:pt>
                <c:pt idx="1925">
                  <c:v>42979</c:v>
                </c:pt>
                <c:pt idx="1926">
                  <c:v>42983</c:v>
                </c:pt>
                <c:pt idx="1927">
                  <c:v>42984</c:v>
                </c:pt>
                <c:pt idx="1928">
                  <c:v>42985</c:v>
                </c:pt>
                <c:pt idx="1929">
                  <c:v>42986</c:v>
                </c:pt>
                <c:pt idx="1930">
                  <c:v>42989</c:v>
                </c:pt>
                <c:pt idx="1931">
                  <c:v>42990</c:v>
                </c:pt>
                <c:pt idx="1932">
                  <c:v>42991</c:v>
                </c:pt>
                <c:pt idx="1933">
                  <c:v>42992</c:v>
                </c:pt>
                <c:pt idx="1934">
                  <c:v>42993</c:v>
                </c:pt>
                <c:pt idx="1935">
                  <c:v>42996</c:v>
                </c:pt>
                <c:pt idx="1936">
                  <c:v>42997</c:v>
                </c:pt>
                <c:pt idx="1937">
                  <c:v>42998</c:v>
                </c:pt>
                <c:pt idx="1938">
                  <c:v>42999</c:v>
                </c:pt>
                <c:pt idx="1939">
                  <c:v>43000</c:v>
                </c:pt>
                <c:pt idx="1940">
                  <c:v>43003</c:v>
                </c:pt>
                <c:pt idx="1941">
                  <c:v>43004</c:v>
                </c:pt>
                <c:pt idx="1942">
                  <c:v>43005</c:v>
                </c:pt>
                <c:pt idx="1943">
                  <c:v>43006</c:v>
                </c:pt>
                <c:pt idx="1944">
                  <c:v>43007</c:v>
                </c:pt>
                <c:pt idx="1945">
                  <c:v>43010</c:v>
                </c:pt>
                <c:pt idx="1946">
                  <c:v>43011</c:v>
                </c:pt>
                <c:pt idx="1947">
                  <c:v>43012</c:v>
                </c:pt>
                <c:pt idx="1948">
                  <c:v>43013</c:v>
                </c:pt>
                <c:pt idx="1949">
                  <c:v>43014</c:v>
                </c:pt>
                <c:pt idx="1950">
                  <c:v>43017</c:v>
                </c:pt>
                <c:pt idx="1951">
                  <c:v>43018</c:v>
                </c:pt>
                <c:pt idx="1952">
                  <c:v>43019</c:v>
                </c:pt>
                <c:pt idx="1953">
                  <c:v>43020</c:v>
                </c:pt>
                <c:pt idx="1954">
                  <c:v>43021</c:v>
                </c:pt>
                <c:pt idx="1955">
                  <c:v>43024</c:v>
                </c:pt>
                <c:pt idx="1956">
                  <c:v>43025</c:v>
                </c:pt>
                <c:pt idx="1957">
                  <c:v>43026</c:v>
                </c:pt>
                <c:pt idx="1958">
                  <c:v>43027</c:v>
                </c:pt>
                <c:pt idx="1959">
                  <c:v>43028</c:v>
                </c:pt>
                <c:pt idx="1960">
                  <c:v>43031</c:v>
                </c:pt>
                <c:pt idx="1961">
                  <c:v>43032</c:v>
                </c:pt>
                <c:pt idx="1962">
                  <c:v>43033</c:v>
                </c:pt>
                <c:pt idx="1963">
                  <c:v>43034</c:v>
                </c:pt>
                <c:pt idx="1964">
                  <c:v>43035</c:v>
                </c:pt>
                <c:pt idx="1965">
                  <c:v>43038</c:v>
                </c:pt>
                <c:pt idx="1966">
                  <c:v>43039</c:v>
                </c:pt>
                <c:pt idx="1967">
                  <c:v>43040</c:v>
                </c:pt>
                <c:pt idx="1968">
                  <c:v>43041</c:v>
                </c:pt>
                <c:pt idx="1969">
                  <c:v>43042</c:v>
                </c:pt>
                <c:pt idx="1970">
                  <c:v>43045</c:v>
                </c:pt>
                <c:pt idx="1971">
                  <c:v>43046</c:v>
                </c:pt>
                <c:pt idx="1972">
                  <c:v>43047</c:v>
                </c:pt>
                <c:pt idx="1973">
                  <c:v>43048</c:v>
                </c:pt>
                <c:pt idx="1974">
                  <c:v>43049</c:v>
                </c:pt>
                <c:pt idx="1975">
                  <c:v>43052</c:v>
                </c:pt>
                <c:pt idx="1976">
                  <c:v>43053</c:v>
                </c:pt>
                <c:pt idx="1977">
                  <c:v>43054</c:v>
                </c:pt>
                <c:pt idx="1978">
                  <c:v>43056</c:v>
                </c:pt>
                <c:pt idx="1979">
                  <c:v>43059</c:v>
                </c:pt>
                <c:pt idx="1980">
                  <c:v>43060</c:v>
                </c:pt>
                <c:pt idx="1981">
                  <c:v>43061</c:v>
                </c:pt>
                <c:pt idx="1982">
                  <c:v>43063</c:v>
                </c:pt>
                <c:pt idx="1983">
                  <c:v>43066</c:v>
                </c:pt>
                <c:pt idx="1984">
                  <c:v>43067</c:v>
                </c:pt>
                <c:pt idx="1985">
                  <c:v>43068</c:v>
                </c:pt>
                <c:pt idx="1986">
                  <c:v>43069</c:v>
                </c:pt>
                <c:pt idx="1987">
                  <c:v>43070</c:v>
                </c:pt>
                <c:pt idx="1988">
                  <c:v>43073</c:v>
                </c:pt>
                <c:pt idx="1989">
                  <c:v>43074</c:v>
                </c:pt>
                <c:pt idx="1990">
                  <c:v>43075</c:v>
                </c:pt>
                <c:pt idx="1991">
                  <c:v>43076</c:v>
                </c:pt>
                <c:pt idx="1992">
                  <c:v>43077</c:v>
                </c:pt>
                <c:pt idx="1993">
                  <c:v>43080</c:v>
                </c:pt>
                <c:pt idx="1994">
                  <c:v>43081</c:v>
                </c:pt>
                <c:pt idx="1995">
                  <c:v>43082</c:v>
                </c:pt>
                <c:pt idx="1996">
                  <c:v>43083</c:v>
                </c:pt>
                <c:pt idx="1997">
                  <c:v>43084</c:v>
                </c:pt>
                <c:pt idx="1998">
                  <c:v>43087</c:v>
                </c:pt>
                <c:pt idx="1999">
                  <c:v>43088</c:v>
                </c:pt>
                <c:pt idx="2000">
                  <c:v>43089</c:v>
                </c:pt>
                <c:pt idx="2001">
                  <c:v>43090</c:v>
                </c:pt>
                <c:pt idx="2002">
                  <c:v>43091</c:v>
                </c:pt>
                <c:pt idx="2003">
                  <c:v>43095</c:v>
                </c:pt>
                <c:pt idx="2004">
                  <c:v>43096</c:v>
                </c:pt>
                <c:pt idx="2005">
                  <c:v>43097</c:v>
                </c:pt>
                <c:pt idx="2006">
                  <c:v>43098</c:v>
                </c:pt>
                <c:pt idx="2007">
                  <c:v>43102</c:v>
                </c:pt>
                <c:pt idx="2008">
                  <c:v>43103</c:v>
                </c:pt>
                <c:pt idx="2009">
                  <c:v>43104</c:v>
                </c:pt>
                <c:pt idx="2010">
                  <c:v>43105</c:v>
                </c:pt>
                <c:pt idx="2011">
                  <c:v>43108</c:v>
                </c:pt>
                <c:pt idx="2012">
                  <c:v>43109</c:v>
                </c:pt>
                <c:pt idx="2013">
                  <c:v>43110</c:v>
                </c:pt>
                <c:pt idx="2014">
                  <c:v>43111</c:v>
                </c:pt>
                <c:pt idx="2015">
                  <c:v>43112</c:v>
                </c:pt>
                <c:pt idx="2016">
                  <c:v>43116</c:v>
                </c:pt>
                <c:pt idx="2017">
                  <c:v>43117</c:v>
                </c:pt>
                <c:pt idx="2018">
                  <c:v>43118</c:v>
                </c:pt>
                <c:pt idx="2019">
                  <c:v>43119</c:v>
                </c:pt>
                <c:pt idx="2020">
                  <c:v>43122</c:v>
                </c:pt>
                <c:pt idx="2021">
                  <c:v>43123</c:v>
                </c:pt>
                <c:pt idx="2022">
                  <c:v>43124</c:v>
                </c:pt>
                <c:pt idx="2023">
                  <c:v>43125</c:v>
                </c:pt>
                <c:pt idx="2024">
                  <c:v>43126</c:v>
                </c:pt>
                <c:pt idx="2025">
                  <c:v>43130</c:v>
                </c:pt>
                <c:pt idx="2026">
                  <c:v>43131</c:v>
                </c:pt>
                <c:pt idx="2027">
                  <c:v>43132</c:v>
                </c:pt>
                <c:pt idx="2028">
                  <c:v>43133</c:v>
                </c:pt>
                <c:pt idx="2029">
                  <c:v>43136</c:v>
                </c:pt>
                <c:pt idx="2030">
                  <c:v>43137</c:v>
                </c:pt>
                <c:pt idx="2031">
                  <c:v>43138</c:v>
                </c:pt>
                <c:pt idx="2032">
                  <c:v>43139</c:v>
                </c:pt>
                <c:pt idx="2033">
                  <c:v>43140</c:v>
                </c:pt>
                <c:pt idx="2034">
                  <c:v>43143</c:v>
                </c:pt>
                <c:pt idx="2035">
                  <c:v>43144</c:v>
                </c:pt>
                <c:pt idx="2036">
                  <c:v>43145</c:v>
                </c:pt>
                <c:pt idx="2037">
                  <c:v>43146</c:v>
                </c:pt>
                <c:pt idx="2038">
                  <c:v>43147</c:v>
                </c:pt>
                <c:pt idx="2039">
                  <c:v>43151</c:v>
                </c:pt>
                <c:pt idx="2040">
                  <c:v>43152</c:v>
                </c:pt>
                <c:pt idx="2041">
                  <c:v>43153</c:v>
                </c:pt>
                <c:pt idx="2042">
                  <c:v>43154</c:v>
                </c:pt>
                <c:pt idx="2043">
                  <c:v>43157</c:v>
                </c:pt>
                <c:pt idx="2044">
                  <c:v>43158</c:v>
                </c:pt>
                <c:pt idx="2045">
                  <c:v>43159</c:v>
                </c:pt>
                <c:pt idx="2046">
                  <c:v>43160</c:v>
                </c:pt>
                <c:pt idx="2047">
                  <c:v>43161</c:v>
                </c:pt>
                <c:pt idx="2048">
                  <c:v>43164</c:v>
                </c:pt>
                <c:pt idx="2049">
                  <c:v>43165</c:v>
                </c:pt>
                <c:pt idx="2050">
                  <c:v>43166</c:v>
                </c:pt>
                <c:pt idx="2051">
                  <c:v>43167</c:v>
                </c:pt>
                <c:pt idx="2052">
                  <c:v>43168</c:v>
                </c:pt>
                <c:pt idx="2053">
                  <c:v>43171</c:v>
                </c:pt>
                <c:pt idx="2054">
                  <c:v>43172</c:v>
                </c:pt>
                <c:pt idx="2055">
                  <c:v>43173</c:v>
                </c:pt>
                <c:pt idx="2056">
                  <c:v>43174</c:v>
                </c:pt>
                <c:pt idx="2057">
                  <c:v>43175</c:v>
                </c:pt>
                <c:pt idx="2058">
                  <c:v>43178</c:v>
                </c:pt>
                <c:pt idx="2059">
                  <c:v>43179</c:v>
                </c:pt>
                <c:pt idx="2060">
                  <c:v>43180</c:v>
                </c:pt>
                <c:pt idx="2061">
                  <c:v>43181</c:v>
                </c:pt>
                <c:pt idx="2062">
                  <c:v>43182</c:v>
                </c:pt>
                <c:pt idx="2063">
                  <c:v>43185</c:v>
                </c:pt>
                <c:pt idx="2064">
                  <c:v>43186</c:v>
                </c:pt>
                <c:pt idx="2065">
                  <c:v>43187</c:v>
                </c:pt>
                <c:pt idx="2066">
                  <c:v>43188</c:v>
                </c:pt>
                <c:pt idx="2067">
                  <c:v>43192</c:v>
                </c:pt>
                <c:pt idx="2068">
                  <c:v>43193</c:v>
                </c:pt>
                <c:pt idx="2069">
                  <c:v>43194</c:v>
                </c:pt>
                <c:pt idx="2070">
                  <c:v>43195</c:v>
                </c:pt>
                <c:pt idx="2071">
                  <c:v>43196</c:v>
                </c:pt>
                <c:pt idx="2072">
                  <c:v>43199</c:v>
                </c:pt>
                <c:pt idx="2073">
                  <c:v>43200</c:v>
                </c:pt>
                <c:pt idx="2074">
                  <c:v>43201</c:v>
                </c:pt>
                <c:pt idx="2075">
                  <c:v>43202</c:v>
                </c:pt>
                <c:pt idx="2076">
                  <c:v>43203</c:v>
                </c:pt>
                <c:pt idx="2077">
                  <c:v>43206</c:v>
                </c:pt>
                <c:pt idx="2078">
                  <c:v>43207</c:v>
                </c:pt>
                <c:pt idx="2079">
                  <c:v>43208</c:v>
                </c:pt>
                <c:pt idx="2080">
                  <c:v>43209</c:v>
                </c:pt>
                <c:pt idx="2081">
                  <c:v>43210</c:v>
                </c:pt>
                <c:pt idx="2082">
                  <c:v>43213</c:v>
                </c:pt>
                <c:pt idx="2083">
                  <c:v>43214</c:v>
                </c:pt>
                <c:pt idx="2084">
                  <c:v>43215</c:v>
                </c:pt>
                <c:pt idx="2085">
                  <c:v>43216</c:v>
                </c:pt>
                <c:pt idx="2086">
                  <c:v>43217</c:v>
                </c:pt>
                <c:pt idx="2087">
                  <c:v>43220</c:v>
                </c:pt>
                <c:pt idx="2088">
                  <c:v>43221</c:v>
                </c:pt>
                <c:pt idx="2089">
                  <c:v>43222</c:v>
                </c:pt>
                <c:pt idx="2090">
                  <c:v>43223</c:v>
                </c:pt>
                <c:pt idx="2091">
                  <c:v>43224</c:v>
                </c:pt>
                <c:pt idx="2092">
                  <c:v>43227</c:v>
                </c:pt>
                <c:pt idx="2093">
                  <c:v>43228</c:v>
                </c:pt>
                <c:pt idx="2094">
                  <c:v>43229</c:v>
                </c:pt>
                <c:pt idx="2095">
                  <c:v>43230</c:v>
                </c:pt>
                <c:pt idx="2096">
                  <c:v>43231</c:v>
                </c:pt>
                <c:pt idx="2097">
                  <c:v>43234</c:v>
                </c:pt>
                <c:pt idx="2098">
                  <c:v>43235</c:v>
                </c:pt>
                <c:pt idx="2099">
                  <c:v>43236</c:v>
                </c:pt>
                <c:pt idx="2100">
                  <c:v>43237</c:v>
                </c:pt>
                <c:pt idx="2101">
                  <c:v>43238</c:v>
                </c:pt>
                <c:pt idx="2102">
                  <c:v>43241</c:v>
                </c:pt>
                <c:pt idx="2103">
                  <c:v>43242</c:v>
                </c:pt>
                <c:pt idx="2104">
                  <c:v>43243</c:v>
                </c:pt>
                <c:pt idx="2105">
                  <c:v>43244</c:v>
                </c:pt>
                <c:pt idx="2106">
                  <c:v>43245</c:v>
                </c:pt>
                <c:pt idx="2107">
                  <c:v>43249</c:v>
                </c:pt>
                <c:pt idx="2108">
                  <c:v>43250</c:v>
                </c:pt>
                <c:pt idx="2109">
                  <c:v>43251</c:v>
                </c:pt>
                <c:pt idx="2110">
                  <c:v>43252</c:v>
                </c:pt>
                <c:pt idx="2111">
                  <c:v>43255</c:v>
                </c:pt>
                <c:pt idx="2112">
                  <c:v>43256</c:v>
                </c:pt>
                <c:pt idx="2113">
                  <c:v>43257</c:v>
                </c:pt>
                <c:pt idx="2114">
                  <c:v>43258</c:v>
                </c:pt>
                <c:pt idx="2115">
                  <c:v>43259</c:v>
                </c:pt>
                <c:pt idx="2116">
                  <c:v>43262</c:v>
                </c:pt>
                <c:pt idx="2117">
                  <c:v>43263</c:v>
                </c:pt>
                <c:pt idx="2118">
                  <c:v>43264</c:v>
                </c:pt>
                <c:pt idx="2119">
                  <c:v>43265</c:v>
                </c:pt>
                <c:pt idx="2120">
                  <c:v>43266</c:v>
                </c:pt>
                <c:pt idx="2121">
                  <c:v>43269</c:v>
                </c:pt>
                <c:pt idx="2122">
                  <c:v>43270</c:v>
                </c:pt>
                <c:pt idx="2123">
                  <c:v>43271</c:v>
                </c:pt>
                <c:pt idx="2124">
                  <c:v>43272</c:v>
                </c:pt>
                <c:pt idx="2125">
                  <c:v>43273</c:v>
                </c:pt>
                <c:pt idx="2126">
                  <c:v>43276</c:v>
                </c:pt>
                <c:pt idx="2127">
                  <c:v>43277</c:v>
                </c:pt>
                <c:pt idx="2128">
                  <c:v>43278</c:v>
                </c:pt>
                <c:pt idx="2129">
                  <c:v>43279</c:v>
                </c:pt>
                <c:pt idx="2130">
                  <c:v>43280</c:v>
                </c:pt>
                <c:pt idx="2131">
                  <c:v>43283</c:v>
                </c:pt>
                <c:pt idx="2132">
                  <c:v>43284</c:v>
                </c:pt>
                <c:pt idx="2133">
                  <c:v>43286</c:v>
                </c:pt>
                <c:pt idx="2134">
                  <c:v>43287</c:v>
                </c:pt>
                <c:pt idx="2135">
                  <c:v>43290</c:v>
                </c:pt>
                <c:pt idx="2136">
                  <c:v>43291</c:v>
                </c:pt>
                <c:pt idx="2137">
                  <c:v>43292</c:v>
                </c:pt>
                <c:pt idx="2138">
                  <c:v>43293</c:v>
                </c:pt>
                <c:pt idx="2139">
                  <c:v>43294</c:v>
                </c:pt>
                <c:pt idx="2140">
                  <c:v>43297</c:v>
                </c:pt>
                <c:pt idx="2141">
                  <c:v>43298</c:v>
                </c:pt>
                <c:pt idx="2142">
                  <c:v>43299</c:v>
                </c:pt>
                <c:pt idx="2143">
                  <c:v>43300</c:v>
                </c:pt>
                <c:pt idx="2144">
                  <c:v>43301</c:v>
                </c:pt>
                <c:pt idx="2145">
                  <c:v>43304</c:v>
                </c:pt>
                <c:pt idx="2146">
                  <c:v>43305</c:v>
                </c:pt>
                <c:pt idx="2147">
                  <c:v>43306</c:v>
                </c:pt>
                <c:pt idx="2148">
                  <c:v>43307</c:v>
                </c:pt>
                <c:pt idx="2149">
                  <c:v>43308</c:v>
                </c:pt>
                <c:pt idx="2150">
                  <c:v>43311</c:v>
                </c:pt>
                <c:pt idx="2151">
                  <c:v>43312</c:v>
                </c:pt>
                <c:pt idx="2152">
                  <c:v>43313</c:v>
                </c:pt>
                <c:pt idx="2153">
                  <c:v>43314</c:v>
                </c:pt>
                <c:pt idx="2154">
                  <c:v>43315</c:v>
                </c:pt>
                <c:pt idx="2155">
                  <c:v>43318</c:v>
                </c:pt>
                <c:pt idx="2156">
                  <c:v>43319</c:v>
                </c:pt>
                <c:pt idx="2157">
                  <c:v>43320</c:v>
                </c:pt>
                <c:pt idx="2158">
                  <c:v>43321</c:v>
                </c:pt>
                <c:pt idx="2159">
                  <c:v>43322</c:v>
                </c:pt>
                <c:pt idx="2160">
                  <c:v>43325</c:v>
                </c:pt>
                <c:pt idx="2161">
                  <c:v>43326</c:v>
                </c:pt>
                <c:pt idx="2162">
                  <c:v>43327</c:v>
                </c:pt>
                <c:pt idx="2163">
                  <c:v>43328</c:v>
                </c:pt>
                <c:pt idx="2164">
                  <c:v>43329</c:v>
                </c:pt>
                <c:pt idx="2165">
                  <c:v>43332</c:v>
                </c:pt>
                <c:pt idx="2166">
                  <c:v>43333</c:v>
                </c:pt>
                <c:pt idx="2167">
                  <c:v>43334</c:v>
                </c:pt>
                <c:pt idx="2168">
                  <c:v>43335</c:v>
                </c:pt>
                <c:pt idx="2169">
                  <c:v>43336</c:v>
                </c:pt>
                <c:pt idx="2170">
                  <c:v>43339</c:v>
                </c:pt>
                <c:pt idx="2171">
                  <c:v>43340</c:v>
                </c:pt>
                <c:pt idx="2172">
                  <c:v>43341</c:v>
                </c:pt>
                <c:pt idx="2173">
                  <c:v>43342</c:v>
                </c:pt>
                <c:pt idx="2174">
                  <c:v>43343</c:v>
                </c:pt>
                <c:pt idx="2175">
                  <c:v>43347</c:v>
                </c:pt>
                <c:pt idx="2176">
                  <c:v>43348</c:v>
                </c:pt>
                <c:pt idx="2177">
                  <c:v>43349</c:v>
                </c:pt>
                <c:pt idx="2178">
                  <c:v>43350</c:v>
                </c:pt>
                <c:pt idx="2179">
                  <c:v>43353</c:v>
                </c:pt>
                <c:pt idx="2180">
                  <c:v>43354</c:v>
                </c:pt>
                <c:pt idx="2181">
                  <c:v>43355</c:v>
                </c:pt>
                <c:pt idx="2182">
                  <c:v>43356</c:v>
                </c:pt>
                <c:pt idx="2183">
                  <c:v>43357</c:v>
                </c:pt>
                <c:pt idx="2184">
                  <c:v>43360</c:v>
                </c:pt>
                <c:pt idx="2185">
                  <c:v>43361</c:v>
                </c:pt>
                <c:pt idx="2186">
                  <c:v>43362</c:v>
                </c:pt>
                <c:pt idx="2187">
                  <c:v>43363</c:v>
                </c:pt>
                <c:pt idx="2188">
                  <c:v>43364</c:v>
                </c:pt>
                <c:pt idx="2189">
                  <c:v>43367</c:v>
                </c:pt>
                <c:pt idx="2190">
                  <c:v>43368</c:v>
                </c:pt>
                <c:pt idx="2191">
                  <c:v>43369</c:v>
                </c:pt>
                <c:pt idx="2192">
                  <c:v>43370</c:v>
                </c:pt>
                <c:pt idx="2193">
                  <c:v>43371</c:v>
                </c:pt>
                <c:pt idx="2194">
                  <c:v>43374</c:v>
                </c:pt>
                <c:pt idx="2195">
                  <c:v>43375</c:v>
                </c:pt>
                <c:pt idx="2196">
                  <c:v>43376</c:v>
                </c:pt>
                <c:pt idx="2197">
                  <c:v>43377</c:v>
                </c:pt>
                <c:pt idx="2198">
                  <c:v>43378</c:v>
                </c:pt>
                <c:pt idx="2199">
                  <c:v>43381</c:v>
                </c:pt>
                <c:pt idx="2200">
                  <c:v>43382</c:v>
                </c:pt>
                <c:pt idx="2201">
                  <c:v>43383</c:v>
                </c:pt>
                <c:pt idx="2202">
                  <c:v>43384</c:v>
                </c:pt>
                <c:pt idx="2203">
                  <c:v>43385</c:v>
                </c:pt>
                <c:pt idx="2204">
                  <c:v>43388</c:v>
                </c:pt>
                <c:pt idx="2205">
                  <c:v>43389</c:v>
                </c:pt>
                <c:pt idx="2206">
                  <c:v>43390</c:v>
                </c:pt>
                <c:pt idx="2207">
                  <c:v>43391</c:v>
                </c:pt>
                <c:pt idx="2208">
                  <c:v>43392</c:v>
                </c:pt>
                <c:pt idx="2209">
                  <c:v>43395</c:v>
                </c:pt>
                <c:pt idx="2210">
                  <c:v>43396</c:v>
                </c:pt>
                <c:pt idx="2211">
                  <c:v>43397</c:v>
                </c:pt>
                <c:pt idx="2212">
                  <c:v>43398</c:v>
                </c:pt>
                <c:pt idx="2213">
                  <c:v>43399</c:v>
                </c:pt>
                <c:pt idx="2214">
                  <c:v>43402</c:v>
                </c:pt>
                <c:pt idx="2215">
                  <c:v>43403</c:v>
                </c:pt>
                <c:pt idx="2216">
                  <c:v>43404</c:v>
                </c:pt>
                <c:pt idx="2217">
                  <c:v>43405</c:v>
                </c:pt>
                <c:pt idx="2218">
                  <c:v>43406</c:v>
                </c:pt>
                <c:pt idx="2219">
                  <c:v>43409</c:v>
                </c:pt>
                <c:pt idx="2220">
                  <c:v>43410</c:v>
                </c:pt>
                <c:pt idx="2221">
                  <c:v>43411</c:v>
                </c:pt>
                <c:pt idx="2222">
                  <c:v>43412</c:v>
                </c:pt>
                <c:pt idx="2223">
                  <c:v>43413</c:v>
                </c:pt>
                <c:pt idx="2224">
                  <c:v>43416</c:v>
                </c:pt>
                <c:pt idx="2225">
                  <c:v>43417</c:v>
                </c:pt>
                <c:pt idx="2226">
                  <c:v>43418</c:v>
                </c:pt>
                <c:pt idx="2227">
                  <c:v>43419</c:v>
                </c:pt>
                <c:pt idx="2228">
                  <c:v>43420</c:v>
                </c:pt>
                <c:pt idx="2229">
                  <c:v>43423</c:v>
                </c:pt>
                <c:pt idx="2230">
                  <c:v>43424</c:v>
                </c:pt>
                <c:pt idx="2231">
                  <c:v>43425</c:v>
                </c:pt>
                <c:pt idx="2232">
                  <c:v>43427</c:v>
                </c:pt>
                <c:pt idx="2233">
                  <c:v>43430</c:v>
                </c:pt>
                <c:pt idx="2234">
                  <c:v>43431</c:v>
                </c:pt>
                <c:pt idx="2235">
                  <c:v>43432</c:v>
                </c:pt>
                <c:pt idx="2236">
                  <c:v>43433</c:v>
                </c:pt>
                <c:pt idx="2237">
                  <c:v>43434</c:v>
                </c:pt>
                <c:pt idx="2238">
                  <c:v>43437</c:v>
                </c:pt>
                <c:pt idx="2239">
                  <c:v>43438</c:v>
                </c:pt>
                <c:pt idx="2240">
                  <c:v>43440</c:v>
                </c:pt>
                <c:pt idx="2241">
                  <c:v>43441</c:v>
                </c:pt>
                <c:pt idx="2242">
                  <c:v>43444</c:v>
                </c:pt>
                <c:pt idx="2243">
                  <c:v>43445</c:v>
                </c:pt>
                <c:pt idx="2244">
                  <c:v>43446</c:v>
                </c:pt>
                <c:pt idx="2245">
                  <c:v>43447</c:v>
                </c:pt>
                <c:pt idx="2246">
                  <c:v>43448</c:v>
                </c:pt>
                <c:pt idx="2247">
                  <c:v>43451</c:v>
                </c:pt>
                <c:pt idx="2248">
                  <c:v>43452</c:v>
                </c:pt>
                <c:pt idx="2249">
                  <c:v>43453</c:v>
                </c:pt>
                <c:pt idx="2250">
                  <c:v>43454</c:v>
                </c:pt>
                <c:pt idx="2251">
                  <c:v>43455</c:v>
                </c:pt>
                <c:pt idx="2252">
                  <c:v>43458</c:v>
                </c:pt>
                <c:pt idx="2253">
                  <c:v>43460</c:v>
                </c:pt>
                <c:pt idx="2254">
                  <c:v>43461</c:v>
                </c:pt>
                <c:pt idx="2255">
                  <c:v>43462</c:v>
                </c:pt>
                <c:pt idx="2256">
                  <c:v>43465</c:v>
                </c:pt>
                <c:pt idx="2257">
                  <c:v>43467</c:v>
                </c:pt>
                <c:pt idx="2258">
                  <c:v>43468</c:v>
                </c:pt>
                <c:pt idx="2259">
                  <c:v>43469</c:v>
                </c:pt>
                <c:pt idx="2260">
                  <c:v>43472</c:v>
                </c:pt>
                <c:pt idx="2261">
                  <c:v>43473</c:v>
                </c:pt>
                <c:pt idx="2262">
                  <c:v>43474</c:v>
                </c:pt>
                <c:pt idx="2263">
                  <c:v>43475</c:v>
                </c:pt>
                <c:pt idx="2264">
                  <c:v>43476</c:v>
                </c:pt>
                <c:pt idx="2265">
                  <c:v>43479</c:v>
                </c:pt>
                <c:pt idx="2266">
                  <c:v>43480</c:v>
                </c:pt>
                <c:pt idx="2267">
                  <c:v>43481</c:v>
                </c:pt>
                <c:pt idx="2268">
                  <c:v>43482</c:v>
                </c:pt>
                <c:pt idx="2269">
                  <c:v>43483</c:v>
                </c:pt>
                <c:pt idx="2270">
                  <c:v>43487</c:v>
                </c:pt>
                <c:pt idx="2271">
                  <c:v>43488</c:v>
                </c:pt>
                <c:pt idx="2272">
                  <c:v>43489</c:v>
                </c:pt>
                <c:pt idx="2273">
                  <c:v>43490</c:v>
                </c:pt>
                <c:pt idx="2274">
                  <c:v>43493</c:v>
                </c:pt>
                <c:pt idx="2275">
                  <c:v>43494</c:v>
                </c:pt>
                <c:pt idx="2276">
                  <c:v>43495</c:v>
                </c:pt>
                <c:pt idx="2277">
                  <c:v>43496</c:v>
                </c:pt>
                <c:pt idx="2278">
                  <c:v>43497</c:v>
                </c:pt>
                <c:pt idx="2279">
                  <c:v>43500</c:v>
                </c:pt>
                <c:pt idx="2280">
                  <c:v>43501</c:v>
                </c:pt>
                <c:pt idx="2281">
                  <c:v>43502</c:v>
                </c:pt>
                <c:pt idx="2282">
                  <c:v>43503</c:v>
                </c:pt>
                <c:pt idx="2283">
                  <c:v>43504</c:v>
                </c:pt>
                <c:pt idx="2284">
                  <c:v>43507</c:v>
                </c:pt>
                <c:pt idx="2285">
                  <c:v>43508</c:v>
                </c:pt>
                <c:pt idx="2286">
                  <c:v>43509</c:v>
                </c:pt>
                <c:pt idx="2287">
                  <c:v>43510</c:v>
                </c:pt>
                <c:pt idx="2288">
                  <c:v>43511</c:v>
                </c:pt>
                <c:pt idx="2289">
                  <c:v>43515</c:v>
                </c:pt>
                <c:pt idx="2290">
                  <c:v>43516</c:v>
                </c:pt>
                <c:pt idx="2291">
                  <c:v>43517</c:v>
                </c:pt>
                <c:pt idx="2292">
                  <c:v>43518</c:v>
                </c:pt>
                <c:pt idx="2293">
                  <c:v>43521</c:v>
                </c:pt>
                <c:pt idx="2294">
                  <c:v>43522</c:v>
                </c:pt>
                <c:pt idx="2295">
                  <c:v>43523</c:v>
                </c:pt>
                <c:pt idx="2296">
                  <c:v>43524</c:v>
                </c:pt>
                <c:pt idx="2297">
                  <c:v>43525</c:v>
                </c:pt>
                <c:pt idx="2298">
                  <c:v>43528</c:v>
                </c:pt>
                <c:pt idx="2299">
                  <c:v>43529</c:v>
                </c:pt>
                <c:pt idx="2300">
                  <c:v>43530</c:v>
                </c:pt>
                <c:pt idx="2301">
                  <c:v>43531</c:v>
                </c:pt>
                <c:pt idx="2302">
                  <c:v>43532</c:v>
                </c:pt>
                <c:pt idx="2303">
                  <c:v>43535</c:v>
                </c:pt>
                <c:pt idx="2304">
                  <c:v>43536</c:v>
                </c:pt>
                <c:pt idx="2305">
                  <c:v>43537</c:v>
                </c:pt>
                <c:pt idx="2306">
                  <c:v>43538</c:v>
                </c:pt>
                <c:pt idx="2307">
                  <c:v>43539</c:v>
                </c:pt>
                <c:pt idx="2308">
                  <c:v>43542</c:v>
                </c:pt>
                <c:pt idx="2309">
                  <c:v>43543</c:v>
                </c:pt>
                <c:pt idx="2310">
                  <c:v>43544</c:v>
                </c:pt>
                <c:pt idx="2311">
                  <c:v>43545</c:v>
                </c:pt>
                <c:pt idx="2312">
                  <c:v>43546</c:v>
                </c:pt>
                <c:pt idx="2313">
                  <c:v>43549</c:v>
                </c:pt>
                <c:pt idx="2314">
                  <c:v>43550</c:v>
                </c:pt>
                <c:pt idx="2315">
                  <c:v>43551</c:v>
                </c:pt>
                <c:pt idx="2316">
                  <c:v>43552</c:v>
                </c:pt>
                <c:pt idx="2317">
                  <c:v>43553</c:v>
                </c:pt>
                <c:pt idx="2318">
                  <c:v>43556</c:v>
                </c:pt>
                <c:pt idx="2319">
                  <c:v>43557</c:v>
                </c:pt>
                <c:pt idx="2320">
                  <c:v>43558</c:v>
                </c:pt>
                <c:pt idx="2321">
                  <c:v>43559</c:v>
                </c:pt>
                <c:pt idx="2322">
                  <c:v>43560</c:v>
                </c:pt>
                <c:pt idx="2323">
                  <c:v>43563</c:v>
                </c:pt>
                <c:pt idx="2324">
                  <c:v>43564</c:v>
                </c:pt>
                <c:pt idx="2325">
                  <c:v>43565</c:v>
                </c:pt>
                <c:pt idx="2326">
                  <c:v>43566</c:v>
                </c:pt>
                <c:pt idx="2327">
                  <c:v>43567</c:v>
                </c:pt>
                <c:pt idx="2328">
                  <c:v>43570</c:v>
                </c:pt>
                <c:pt idx="2329">
                  <c:v>43571</c:v>
                </c:pt>
                <c:pt idx="2330">
                  <c:v>43572</c:v>
                </c:pt>
                <c:pt idx="2331">
                  <c:v>43573</c:v>
                </c:pt>
                <c:pt idx="2332">
                  <c:v>43577</c:v>
                </c:pt>
                <c:pt idx="2333">
                  <c:v>43578</c:v>
                </c:pt>
                <c:pt idx="2334">
                  <c:v>43579</c:v>
                </c:pt>
                <c:pt idx="2335">
                  <c:v>43580</c:v>
                </c:pt>
                <c:pt idx="2336">
                  <c:v>43581</c:v>
                </c:pt>
                <c:pt idx="2337">
                  <c:v>43584</c:v>
                </c:pt>
                <c:pt idx="2338">
                  <c:v>43585</c:v>
                </c:pt>
                <c:pt idx="2339">
                  <c:v>43586</c:v>
                </c:pt>
                <c:pt idx="2340">
                  <c:v>43587</c:v>
                </c:pt>
                <c:pt idx="2341">
                  <c:v>43588</c:v>
                </c:pt>
                <c:pt idx="2342">
                  <c:v>43591</c:v>
                </c:pt>
                <c:pt idx="2343">
                  <c:v>43592</c:v>
                </c:pt>
                <c:pt idx="2344">
                  <c:v>43593</c:v>
                </c:pt>
                <c:pt idx="2345">
                  <c:v>43594</c:v>
                </c:pt>
                <c:pt idx="2346">
                  <c:v>43595</c:v>
                </c:pt>
                <c:pt idx="2347">
                  <c:v>43598</c:v>
                </c:pt>
                <c:pt idx="2348">
                  <c:v>43599</c:v>
                </c:pt>
                <c:pt idx="2349">
                  <c:v>43600</c:v>
                </c:pt>
                <c:pt idx="2350">
                  <c:v>43601</c:v>
                </c:pt>
                <c:pt idx="2351">
                  <c:v>43602</c:v>
                </c:pt>
                <c:pt idx="2352">
                  <c:v>43605</c:v>
                </c:pt>
                <c:pt idx="2353">
                  <c:v>43606</c:v>
                </c:pt>
                <c:pt idx="2354">
                  <c:v>43608</c:v>
                </c:pt>
                <c:pt idx="2355">
                  <c:v>43609</c:v>
                </c:pt>
                <c:pt idx="2356">
                  <c:v>43613</c:v>
                </c:pt>
                <c:pt idx="2357">
                  <c:v>43614</c:v>
                </c:pt>
                <c:pt idx="2358">
                  <c:v>43615</c:v>
                </c:pt>
                <c:pt idx="2359">
                  <c:v>43616</c:v>
                </c:pt>
                <c:pt idx="2360">
                  <c:v>43619</c:v>
                </c:pt>
                <c:pt idx="2361">
                  <c:v>43620</c:v>
                </c:pt>
                <c:pt idx="2362">
                  <c:v>43621</c:v>
                </c:pt>
                <c:pt idx="2363">
                  <c:v>43622</c:v>
                </c:pt>
                <c:pt idx="2364">
                  <c:v>43623</c:v>
                </c:pt>
                <c:pt idx="2365">
                  <c:v>43626</c:v>
                </c:pt>
                <c:pt idx="2366">
                  <c:v>43627</c:v>
                </c:pt>
                <c:pt idx="2367">
                  <c:v>43628</c:v>
                </c:pt>
                <c:pt idx="2368">
                  <c:v>43629</c:v>
                </c:pt>
                <c:pt idx="2369">
                  <c:v>43630</c:v>
                </c:pt>
                <c:pt idx="2370">
                  <c:v>43633</c:v>
                </c:pt>
                <c:pt idx="2371">
                  <c:v>43634</c:v>
                </c:pt>
                <c:pt idx="2372">
                  <c:v>43635</c:v>
                </c:pt>
                <c:pt idx="2373">
                  <c:v>43636</c:v>
                </c:pt>
                <c:pt idx="2374">
                  <c:v>43637</c:v>
                </c:pt>
                <c:pt idx="2375">
                  <c:v>43640</c:v>
                </c:pt>
                <c:pt idx="2376">
                  <c:v>43641</c:v>
                </c:pt>
                <c:pt idx="2377">
                  <c:v>43642</c:v>
                </c:pt>
                <c:pt idx="2378">
                  <c:v>43643</c:v>
                </c:pt>
                <c:pt idx="2379">
                  <c:v>43644</c:v>
                </c:pt>
                <c:pt idx="2380">
                  <c:v>43647</c:v>
                </c:pt>
                <c:pt idx="2381">
                  <c:v>43648</c:v>
                </c:pt>
                <c:pt idx="2382">
                  <c:v>43649</c:v>
                </c:pt>
                <c:pt idx="2383">
                  <c:v>43651</c:v>
                </c:pt>
                <c:pt idx="2384">
                  <c:v>43654</c:v>
                </c:pt>
                <c:pt idx="2385">
                  <c:v>43655</c:v>
                </c:pt>
                <c:pt idx="2386">
                  <c:v>43656</c:v>
                </c:pt>
                <c:pt idx="2387">
                  <c:v>43657</c:v>
                </c:pt>
                <c:pt idx="2388">
                  <c:v>43658</c:v>
                </c:pt>
                <c:pt idx="2389">
                  <c:v>43661</c:v>
                </c:pt>
                <c:pt idx="2390">
                  <c:v>43662</c:v>
                </c:pt>
                <c:pt idx="2391">
                  <c:v>43663</c:v>
                </c:pt>
                <c:pt idx="2392">
                  <c:v>43664</c:v>
                </c:pt>
                <c:pt idx="2393">
                  <c:v>43665</c:v>
                </c:pt>
                <c:pt idx="2394">
                  <c:v>43668</c:v>
                </c:pt>
                <c:pt idx="2395">
                  <c:v>43669</c:v>
                </c:pt>
                <c:pt idx="2396">
                  <c:v>43670</c:v>
                </c:pt>
                <c:pt idx="2397">
                  <c:v>43671</c:v>
                </c:pt>
                <c:pt idx="2398">
                  <c:v>43672</c:v>
                </c:pt>
                <c:pt idx="2399">
                  <c:v>43675</c:v>
                </c:pt>
                <c:pt idx="2400">
                  <c:v>43676</c:v>
                </c:pt>
                <c:pt idx="2401">
                  <c:v>43677</c:v>
                </c:pt>
                <c:pt idx="2402">
                  <c:v>43678</c:v>
                </c:pt>
                <c:pt idx="2403">
                  <c:v>43679</c:v>
                </c:pt>
                <c:pt idx="2404">
                  <c:v>43682</c:v>
                </c:pt>
                <c:pt idx="2405">
                  <c:v>43683</c:v>
                </c:pt>
                <c:pt idx="2406">
                  <c:v>43684</c:v>
                </c:pt>
                <c:pt idx="2407">
                  <c:v>43685</c:v>
                </c:pt>
                <c:pt idx="2408">
                  <c:v>43686</c:v>
                </c:pt>
                <c:pt idx="2409">
                  <c:v>43689</c:v>
                </c:pt>
                <c:pt idx="2410">
                  <c:v>43690</c:v>
                </c:pt>
                <c:pt idx="2411">
                  <c:v>43691</c:v>
                </c:pt>
                <c:pt idx="2412">
                  <c:v>43692</c:v>
                </c:pt>
                <c:pt idx="2413">
                  <c:v>43693</c:v>
                </c:pt>
                <c:pt idx="2414">
                  <c:v>43696</c:v>
                </c:pt>
                <c:pt idx="2415">
                  <c:v>43697</c:v>
                </c:pt>
                <c:pt idx="2416">
                  <c:v>43698</c:v>
                </c:pt>
                <c:pt idx="2417">
                  <c:v>43699</c:v>
                </c:pt>
                <c:pt idx="2418">
                  <c:v>43700</c:v>
                </c:pt>
                <c:pt idx="2419">
                  <c:v>43703</c:v>
                </c:pt>
                <c:pt idx="2420">
                  <c:v>43704</c:v>
                </c:pt>
                <c:pt idx="2421">
                  <c:v>43705</c:v>
                </c:pt>
                <c:pt idx="2422">
                  <c:v>43706</c:v>
                </c:pt>
                <c:pt idx="2423">
                  <c:v>43707</c:v>
                </c:pt>
                <c:pt idx="2424">
                  <c:v>43711</c:v>
                </c:pt>
                <c:pt idx="2425">
                  <c:v>43712</c:v>
                </c:pt>
                <c:pt idx="2426">
                  <c:v>43713</c:v>
                </c:pt>
                <c:pt idx="2427">
                  <c:v>43714</c:v>
                </c:pt>
                <c:pt idx="2428">
                  <c:v>43717</c:v>
                </c:pt>
                <c:pt idx="2429">
                  <c:v>43718</c:v>
                </c:pt>
                <c:pt idx="2430">
                  <c:v>43719</c:v>
                </c:pt>
                <c:pt idx="2431">
                  <c:v>43720</c:v>
                </c:pt>
                <c:pt idx="2432">
                  <c:v>43721</c:v>
                </c:pt>
                <c:pt idx="2433">
                  <c:v>43724</c:v>
                </c:pt>
                <c:pt idx="2434">
                  <c:v>43725</c:v>
                </c:pt>
                <c:pt idx="2435">
                  <c:v>43726</c:v>
                </c:pt>
                <c:pt idx="2436">
                  <c:v>43727</c:v>
                </c:pt>
                <c:pt idx="2437">
                  <c:v>43728</c:v>
                </c:pt>
                <c:pt idx="2438">
                  <c:v>43731</c:v>
                </c:pt>
                <c:pt idx="2439">
                  <c:v>43732</c:v>
                </c:pt>
                <c:pt idx="2440">
                  <c:v>43733</c:v>
                </c:pt>
                <c:pt idx="2441">
                  <c:v>43734</c:v>
                </c:pt>
                <c:pt idx="2442">
                  <c:v>43735</c:v>
                </c:pt>
                <c:pt idx="2443">
                  <c:v>43738</c:v>
                </c:pt>
                <c:pt idx="2444">
                  <c:v>43739</c:v>
                </c:pt>
                <c:pt idx="2445">
                  <c:v>43740</c:v>
                </c:pt>
                <c:pt idx="2446">
                  <c:v>43741</c:v>
                </c:pt>
                <c:pt idx="2447">
                  <c:v>43742</c:v>
                </c:pt>
                <c:pt idx="2448">
                  <c:v>43745</c:v>
                </c:pt>
                <c:pt idx="2449">
                  <c:v>43746</c:v>
                </c:pt>
                <c:pt idx="2450">
                  <c:v>43747</c:v>
                </c:pt>
                <c:pt idx="2451">
                  <c:v>43748</c:v>
                </c:pt>
                <c:pt idx="2452">
                  <c:v>43749</c:v>
                </c:pt>
                <c:pt idx="2453">
                  <c:v>43752</c:v>
                </c:pt>
                <c:pt idx="2454">
                  <c:v>43753</c:v>
                </c:pt>
                <c:pt idx="2455">
                  <c:v>43754</c:v>
                </c:pt>
                <c:pt idx="2456">
                  <c:v>43755</c:v>
                </c:pt>
                <c:pt idx="2457">
                  <c:v>43756</c:v>
                </c:pt>
                <c:pt idx="2458">
                  <c:v>43759</c:v>
                </c:pt>
                <c:pt idx="2459">
                  <c:v>43760</c:v>
                </c:pt>
                <c:pt idx="2460">
                  <c:v>43761</c:v>
                </c:pt>
                <c:pt idx="2461">
                  <c:v>43762</c:v>
                </c:pt>
                <c:pt idx="2462">
                  <c:v>43763</c:v>
                </c:pt>
                <c:pt idx="2463">
                  <c:v>43766</c:v>
                </c:pt>
                <c:pt idx="2464">
                  <c:v>43768</c:v>
                </c:pt>
                <c:pt idx="2465">
                  <c:v>43769</c:v>
                </c:pt>
                <c:pt idx="2466">
                  <c:v>43770</c:v>
                </c:pt>
                <c:pt idx="2467">
                  <c:v>43773</c:v>
                </c:pt>
                <c:pt idx="2468">
                  <c:v>43774</c:v>
                </c:pt>
                <c:pt idx="2469">
                  <c:v>43775</c:v>
                </c:pt>
                <c:pt idx="2470">
                  <c:v>43776</c:v>
                </c:pt>
                <c:pt idx="2471">
                  <c:v>43777</c:v>
                </c:pt>
                <c:pt idx="2472">
                  <c:v>43780</c:v>
                </c:pt>
                <c:pt idx="2473">
                  <c:v>43781</c:v>
                </c:pt>
                <c:pt idx="2474">
                  <c:v>43782</c:v>
                </c:pt>
                <c:pt idx="2475">
                  <c:v>43783</c:v>
                </c:pt>
                <c:pt idx="2476">
                  <c:v>43784</c:v>
                </c:pt>
                <c:pt idx="2477">
                  <c:v>43787</c:v>
                </c:pt>
                <c:pt idx="2478">
                  <c:v>43788</c:v>
                </c:pt>
                <c:pt idx="2479">
                  <c:v>43789</c:v>
                </c:pt>
                <c:pt idx="2480">
                  <c:v>43790</c:v>
                </c:pt>
                <c:pt idx="2481">
                  <c:v>43791</c:v>
                </c:pt>
                <c:pt idx="2482">
                  <c:v>43794</c:v>
                </c:pt>
                <c:pt idx="2483">
                  <c:v>43795</c:v>
                </c:pt>
                <c:pt idx="2484">
                  <c:v>43796</c:v>
                </c:pt>
                <c:pt idx="2485">
                  <c:v>43798</c:v>
                </c:pt>
                <c:pt idx="2486">
                  <c:v>43801</c:v>
                </c:pt>
                <c:pt idx="2487">
                  <c:v>43802</c:v>
                </c:pt>
                <c:pt idx="2488">
                  <c:v>43803</c:v>
                </c:pt>
                <c:pt idx="2489">
                  <c:v>43804</c:v>
                </c:pt>
                <c:pt idx="2490">
                  <c:v>43805</c:v>
                </c:pt>
                <c:pt idx="2491">
                  <c:v>43808</c:v>
                </c:pt>
                <c:pt idx="2492">
                  <c:v>43809</c:v>
                </c:pt>
                <c:pt idx="2493">
                  <c:v>43810</c:v>
                </c:pt>
                <c:pt idx="2494">
                  <c:v>43811</c:v>
                </c:pt>
                <c:pt idx="2495">
                  <c:v>43812</c:v>
                </c:pt>
                <c:pt idx="2496">
                  <c:v>43815</c:v>
                </c:pt>
                <c:pt idx="2497">
                  <c:v>43816</c:v>
                </c:pt>
                <c:pt idx="2498">
                  <c:v>43817</c:v>
                </c:pt>
                <c:pt idx="2499">
                  <c:v>43818</c:v>
                </c:pt>
                <c:pt idx="2500">
                  <c:v>43819</c:v>
                </c:pt>
                <c:pt idx="2501">
                  <c:v>43822</c:v>
                </c:pt>
                <c:pt idx="2502">
                  <c:v>43823</c:v>
                </c:pt>
                <c:pt idx="2503">
                  <c:v>43825</c:v>
                </c:pt>
                <c:pt idx="2504">
                  <c:v>43826</c:v>
                </c:pt>
                <c:pt idx="2505">
                  <c:v>43829</c:v>
                </c:pt>
                <c:pt idx="2506">
                  <c:v>43830</c:v>
                </c:pt>
                <c:pt idx="2507">
                  <c:v>43832</c:v>
                </c:pt>
                <c:pt idx="2508">
                  <c:v>43833</c:v>
                </c:pt>
                <c:pt idx="2509">
                  <c:v>43836</c:v>
                </c:pt>
                <c:pt idx="2510">
                  <c:v>43837</c:v>
                </c:pt>
                <c:pt idx="2511">
                  <c:v>43838</c:v>
                </c:pt>
                <c:pt idx="2512">
                  <c:v>43839</c:v>
                </c:pt>
                <c:pt idx="2513">
                  <c:v>43840</c:v>
                </c:pt>
                <c:pt idx="2514">
                  <c:v>43843</c:v>
                </c:pt>
                <c:pt idx="2515">
                  <c:v>43844</c:v>
                </c:pt>
                <c:pt idx="2516">
                  <c:v>43845</c:v>
                </c:pt>
                <c:pt idx="2517">
                  <c:v>43846</c:v>
                </c:pt>
                <c:pt idx="2518">
                  <c:v>43847</c:v>
                </c:pt>
                <c:pt idx="2519">
                  <c:v>43851</c:v>
                </c:pt>
                <c:pt idx="2520">
                  <c:v>43852</c:v>
                </c:pt>
                <c:pt idx="2521">
                  <c:v>43853</c:v>
                </c:pt>
                <c:pt idx="2522">
                  <c:v>43854</c:v>
                </c:pt>
                <c:pt idx="2523">
                  <c:v>43857</c:v>
                </c:pt>
                <c:pt idx="2524">
                  <c:v>43858</c:v>
                </c:pt>
                <c:pt idx="2525">
                  <c:v>43859</c:v>
                </c:pt>
                <c:pt idx="2526">
                  <c:v>43860</c:v>
                </c:pt>
                <c:pt idx="2527">
                  <c:v>43861</c:v>
                </c:pt>
                <c:pt idx="2528">
                  <c:v>43864</c:v>
                </c:pt>
                <c:pt idx="2529">
                  <c:v>43865</c:v>
                </c:pt>
                <c:pt idx="2530">
                  <c:v>43866</c:v>
                </c:pt>
                <c:pt idx="2531">
                  <c:v>43867</c:v>
                </c:pt>
                <c:pt idx="2532">
                  <c:v>43868</c:v>
                </c:pt>
                <c:pt idx="2533">
                  <c:v>43871</c:v>
                </c:pt>
                <c:pt idx="2534">
                  <c:v>43872</c:v>
                </c:pt>
                <c:pt idx="2535">
                  <c:v>43873</c:v>
                </c:pt>
                <c:pt idx="2536">
                  <c:v>43874</c:v>
                </c:pt>
                <c:pt idx="2537">
                  <c:v>43875</c:v>
                </c:pt>
                <c:pt idx="2538">
                  <c:v>43879</c:v>
                </c:pt>
                <c:pt idx="2539">
                  <c:v>43880</c:v>
                </c:pt>
                <c:pt idx="2540">
                  <c:v>43881</c:v>
                </c:pt>
                <c:pt idx="2541">
                  <c:v>43882</c:v>
                </c:pt>
                <c:pt idx="2542">
                  <c:v>43885</c:v>
                </c:pt>
                <c:pt idx="2543">
                  <c:v>43886</c:v>
                </c:pt>
                <c:pt idx="2544">
                  <c:v>43887</c:v>
                </c:pt>
                <c:pt idx="2545">
                  <c:v>43888</c:v>
                </c:pt>
                <c:pt idx="2546">
                  <c:v>43889</c:v>
                </c:pt>
                <c:pt idx="2547">
                  <c:v>43892</c:v>
                </c:pt>
                <c:pt idx="2548">
                  <c:v>43893</c:v>
                </c:pt>
                <c:pt idx="2549">
                  <c:v>43894</c:v>
                </c:pt>
                <c:pt idx="2550">
                  <c:v>43895</c:v>
                </c:pt>
                <c:pt idx="2551">
                  <c:v>43896</c:v>
                </c:pt>
                <c:pt idx="2552">
                  <c:v>43899</c:v>
                </c:pt>
                <c:pt idx="2553">
                  <c:v>43900</c:v>
                </c:pt>
                <c:pt idx="2554">
                  <c:v>43901</c:v>
                </c:pt>
                <c:pt idx="2555">
                  <c:v>43902</c:v>
                </c:pt>
                <c:pt idx="2556">
                  <c:v>43903</c:v>
                </c:pt>
                <c:pt idx="2557">
                  <c:v>43906</c:v>
                </c:pt>
                <c:pt idx="2558">
                  <c:v>43907</c:v>
                </c:pt>
                <c:pt idx="2559">
                  <c:v>43908</c:v>
                </c:pt>
                <c:pt idx="2560">
                  <c:v>43909</c:v>
                </c:pt>
                <c:pt idx="2561">
                  <c:v>43910</c:v>
                </c:pt>
                <c:pt idx="2562">
                  <c:v>43913</c:v>
                </c:pt>
                <c:pt idx="2563">
                  <c:v>43914</c:v>
                </c:pt>
                <c:pt idx="2564">
                  <c:v>43915</c:v>
                </c:pt>
                <c:pt idx="2565">
                  <c:v>43916</c:v>
                </c:pt>
                <c:pt idx="2566">
                  <c:v>43917</c:v>
                </c:pt>
                <c:pt idx="2567">
                  <c:v>43920</c:v>
                </c:pt>
                <c:pt idx="2568">
                  <c:v>43921</c:v>
                </c:pt>
                <c:pt idx="2569">
                  <c:v>43922</c:v>
                </c:pt>
                <c:pt idx="2570">
                  <c:v>43923</c:v>
                </c:pt>
                <c:pt idx="2571">
                  <c:v>43924</c:v>
                </c:pt>
                <c:pt idx="2572">
                  <c:v>43927</c:v>
                </c:pt>
                <c:pt idx="2573">
                  <c:v>43928</c:v>
                </c:pt>
                <c:pt idx="2574">
                  <c:v>43929</c:v>
                </c:pt>
                <c:pt idx="2575">
                  <c:v>43930</c:v>
                </c:pt>
                <c:pt idx="2576">
                  <c:v>43934</c:v>
                </c:pt>
                <c:pt idx="2577">
                  <c:v>43935</c:v>
                </c:pt>
                <c:pt idx="2578">
                  <c:v>43936</c:v>
                </c:pt>
                <c:pt idx="2579">
                  <c:v>43937</c:v>
                </c:pt>
                <c:pt idx="2580">
                  <c:v>43938</c:v>
                </c:pt>
                <c:pt idx="2581">
                  <c:v>43941</c:v>
                </c:pt>
                <c:pt idx="2582">
                  <c:v>43942</c:v>
                </c:pt>
                <c:pt idx="2583">
                  <c:v>43943</c:v>
                </c:pt>
                <c:pt idx="2584">
                  <c:v>43945</c:v>
                </c:pt>
                <c:pt idx="2585">
                  <c:v>43948</c:v>
                </c:pt>
                <c:pt idx="2586">
                  <c:v>43949</c:v>
                </c:pt>
                <c:pt idx="2587">
                  <c:v>43950</c:v>
                </c:pt>
                <c:pt idx="2588">
                  <c:v>43951</c:v>
                </c:pt>
                <c:pt idx="2589">
                  <c:v>43955</c:v>
                </c:pt>
                <c:pt idx="2590">
                  <c:v>43956</c:v>
                </c:pt>
                <c:pt idx="2591">
                  <c:v>43957</c:v>
                </c:pt>
                <c:pt idx="2592">
                  <c:v>43958</c:v>
                </c:pt>
                <c:pt idx="2593">
                  <c:v>43959</c:v>
                </c:pt>
                <c:pt idx="2594">
                  <c:v>43962</c:v>
                </c:pt>
                <c:pt idx="2595">
                  <c:v>43963</c:v>
                </c:pt>
                <c:pt idx="2596">
                  <c:v>43964</c:v>
                </c:pt>
                <c:pt idx="2597">
                  <c:v>43965</c:v>
                </c:pt>
                <c:pt idx="2598">
                  <c:v>43966</c:v>
                </c:pt>
                <c:pt idx="2599">
                  <c:v>43969</c:v>
                </c:pt>
                <c:pt idx="2600">
                  <c:v>43971</c:v>
                </c:pt>
                <c:pt idx="2601">
                  <c:v>43972</c:v>
                </c:pt>
                <c:pt idx="2602">
                  <c:v>43973</c:v>
                </c:pt>
                <c:pt idx="2603">
                  <c:v>43978</c:v>
                </c:pt>
                <c:pt idx="2604">
                  <c:v>43979</c:v>
                </c:pt>
                <c:pt idx="2605">
                  <c:v>43980</c:v>
                </c:pt>
                <c:pt idx="2606">
                  <c:v>43983</c:v>
                </c:pt>
                <c:pt idx="2607">
                  <c:v>43984</c:v>
                </c:pt>
                <c:pt idx="2608">
                  <c:v>43985</c:v>
                </c:pt>
                <c:pt idx="2609">
                  <c:v>43986</c:v>
                </c:pt>
                <c:pt idx="2610">
                  <c:v>43987</c:v>
                </c:pt>
                <c:pt idx="2611">
                  <c:v>43990</c:v>
                </c:pt>
                <c:pt idx="2612">
                  <c:v>43991</c:v>
                </c:pt>
                <c:pt idx="2613">
                  <c:v>43992</c:v>
                </c:pt>
                <c:pt idx="2614">
                  <c:v>43993</c:v>
                </c:pt>
                <c:pt idx="2615">
                  <c:v>43994</c:v>
                </c:pt>
                <c:pt idx="2616">
                  <c:v>43997</c:v>
                </c:pt>
                <c:pt idx="2617">
                  <c:v>43998</c:v>
                </c:pt>
                <c:pt idx="2618">
                  <c:v>43999</c:v>
                </c:pt>
                <c:pt idx="2619">
                  <c:v>44000</c:v>
                </c:pt>
                <c:pt idx="2620">
                  <c:v>44001</c:v>
                </c:pt>
                <c:pt idx="2621">
                  <c:v>44004</c:v>
                </c:pt>
                <c:pt idx="2622">
                  <c:v>44005</c:v>
                </c:pt>
                <c:pt idx="2623">
                  <c:v>44006</c:v>
                </c:pt>
                <c:pt idx="2624">
                  <c:v>44007</c:v>
                </c:pt>
                <c:pt idx="2625">
                  <c:v>44008</c:v>
                </c:pt>
                <c:pt idx="2626">
                  <c:v>44011</c:v>
                </c:pt>
                <c:pt idx="2627">
                  <c:v>44012</c:v>
                </c:pt>
                <c:pt idx="2628">
                  <c:v>44013</c:v>
                </c:pt>
                <c:pt idx="2629">
                  <c:v>44014</c:v>
                </c:pt>
                <c:pt idx="2630">
                  <c:v>44018</c:v>
                </c:pt>
                <c:pt idx="2631">
                  <c:v>44019</c:v>
                </c:pt>
                <c:pt idx="2632">
                  <c:v>44020</c:v>
                </c:pt>
                <c:pt idx="2633">
                  <c:v>44021</c:v>
                </c:pt>
                <c:pt idx="2634">
                  <c:v>44022</c:v>
                </c:pt>
                <c:pt idx="2635">
                  <c:v>44025</c:v>
                </c:pt>
                <c:pt idx="2636">
                  <c:v>44026</c:v>
                </c:pt>
                <c:pt idx="2637">
                  <c:v>44028</c:v>
                </c:pt>
                <c:pt idx="2638">
                  <c:v>44029</c:v>
                </c:pt>
                <c:pt idx="2639">
                  <c:v>44032</c:v>
                </c:pt>
                <c:pt idx="2640">
                  <c:v>44033</c:v>
                </c:pt>
                <c:pt idx="2641">
                  <c:v>44034</c:v>
                </c:pt>
                <c:pt idx="2642">
                  <c:v>44035</c:v>
                </c:pt>
                <c:pt idx="2643">
                  <c:v>44036</c:v>
                </c:pt>
                <c:pt idx="2644">
                  <c:v>44039</c:v>
                </c:pt>
                <c:pt idx="2645">
                  <c:v>44040</c:v>
                </c:pt>
                <c:pt idx="2646">
                  <c:v>44041</c:v>
                </c:pt>
                <c:pt idx="2647">
                  <c:v>44042</c:v>
                </c:pt>
                <c:pt idx="2648">
                  <c:v>44047</c:v>
                </c:pt>
                <c:pt idx="2649">
                  <c:v>44048</c:v>
                </c:pt>
                <c:pt idx="2650">
                  <c:v>44049</c:v>
                </c:pt>
                <c:pt idx="2651">
                  <c:v>44050</c:v>
                </c:pt>
                <c:pt idx="2652">
                  <c:v>44053</c:v>
                </c:pt>
                <c:pt idx="2653">
                  <c:v>44054</c:v>
                </c:pt>
                <c:pt idx="2654">
                  <c:v>44055</c:v>
                </c:pt>
                <c:pt idx="2655">
                  <c:v>44056</c:v>
                </c:pt>
                <c:pt idx="2656">
                  <c:v>44057</c:v>
                </c:pt>
                <c:pt idx="2657">
                  <c:v>44060</c:v>
                </c:pt>
                <c:pt idx="2658">
                  <c:v>44061</c:v>
                </c:pt>
                <c:pt idx="2659">
                  <c:v>44062</c:v>
                </c:pt>
                <c:pt idx="2660">
                  <c:v>44063</c:v>
                </c:pt>
                <c:pt idx="2661">
                  <c:v>44064</c:v>
                </c:pt>
                <c:pt idx="2662">
                  <c:v>44067</c:v>
                </c:pt>
                <c:pt idx="2663">
                  <c:v>44068</c:v>
                </c:pt>
                <c:pt idx="2664">
                  <c:v>44069</c:v>
                </c:pt>
                <c:pt idx="2665">
                  <c:v>44070</c:v>
                </c:pt>
                <c:pt idx="2666">
                  <c:v>44071</c:v>
                </c:pt>
                <c:pt idx="2667">
                  <c:v>44074</c:v>
                </c:pt>
                <c:pt idx="2668">
                  <c:v>44075</c:v>
                </c:pt>
                <c:pt idx="2669">
                  <c:v>44076</c:v>
                </c:pt>
                <c:pt idx="2670">
                  <c:v>44077</c:v>
                </c:pt>
                <c:pt idx="2671">
                  <c:v>44078</c:v>
                </c:pt>
                <c:pt idx="2672">
                  <c:v>44082</c:v>
                </c:pt>
                <c:pt idx="2673">
                  <c:v>44083</c:v>
                </c:pt>
                <c:pt idx="2674">
                  <c:v>44084</c:v>
                </c:pt>
                <c:pt idx="2675">
                  <c:v>44085</c:v>
                </c:pt>
                <c:pt idx="2676">
                  <c:v>44088</c:v>
                </c:pt>
                <c:pt idx="2677">
                  <c:v>44089</c:v>
                </c:pt>
                <c:pt idx="2678">
                  <c:v>44090</c:v>
                </c:pt>
                <c:pt idx="2679">
                  <c:v>44091</c:v>
                </c:pt>
                <c:pt idx="2680">
                  <c:v>44092</c:v>
                </c:pt>
                <c:pt idx="2681">
                  <c:v>44095</c:v>
                </c:pt>
                <c:pt idx="2682">
                  <c:v>44096</c:v>
                </c:pt>
                <c:pt idx="2683">
                  <c:v>44097</c:v>
                </c:pt>
                <c:pt idx="2684">
                  <c:v>44098</c:v>
                </c:pt>
                <c:pt idx="2685">
                  <c:v>44099</c:v>
                </c:pt>
                <c:pt idx="2686">
                  <c:v>44102</c:v>
                </c:pt>
                <c:pt idx="2687">
                  <c:v>44103</c:v>
                </c:pt>
                <c:pt idx="2688">
                  <c:v>44104</c:v>
                </c:pt>
                <c:pt idx="2689">
                  <c:v>44105</c:v>
                </c:pt>
                <c:pt idx="2690">
                  <c:v>44106</c:v>
                </c:pt>
                <c:pt idx="2691">
                  <c:v>44109</c:v>
                </c:pt>
                <c:pt idx="2692">
                  <c:v>44110</c:v>
                </c:pt>
                <c:pt idx="2693">
                  <c:v>44111</c:v>
                </c:pt>
                <c:pt idx="2694">
                  <c:v>44112</c:v>
                </c:pt>
                <c:pt idx="2695">
                  <c:v>44113</c:v>
                </c:pt>
                <c:pt idx="2696">
                  <c:v>44116</c:v>
                </c:pt>
                <c:pt idx="2697">
                  <c:v>44117</c:v>
                </c:pt>
                <c:pt idx="2698">
                  <c:v>44118</c:v>
                </c:pt>
                <c:pt idx="2699">
                  <c:v>44119</c:v>
                </c:pt>
                <c:pt idx="2700">
                  <c:v>44120</c:v>
                </c:pt>
                <c:pt idx="2701">
                  <c:v>44123</c:v>
                </c:pt>
                <c:pt idx="2702">
                  <c:v>44124</c:v>
                </c:pt>
                <c:pt idx="2703">
                  <c:v>44125</c:v>
                </c:pt>
                <c:pt idx="2704">
                  <c:v>44126</c:v>
                </c:pt>
                <c:pt idx="2705">
                  <c:v>44127</c:v>
                </c:pt>
                <c:pt idx="2706">
                  <c:v>44130</c:v>
                </c:pt>
                <c:pt idx="2707">
                  <c:v>44131</c:v>
                </c:pt>
                <c:pt idx="2708">
                  <c:v>44132</c:v>
                </c:pt>
                <c:pt idx="2709">
                  <c:v>44134</c:v>
                </c:pt>
                <c:pt idx="2710">
                  <c:v>44137</c:v>
                </c:pt>
                <c:pt idx="2711">
                  <c:v>44138</c:v>
                </c:pt>
                <c:pt idx="2712">
                  <c:v>44139</c:v>
                </c:pt>
                <c:pt idx="2713">
                  <c:v>44140</c:v>
                </c:pt>
                <c:pt idx="2714">
                  <c:v>44141</c:v>
                </c:pt>
                <c:pt idx="2715">
                  <c:v>44144</c:v>
                </c:pt>
                <c:pt idx="2716">
                  <c:v>44145</c:v>
                </c:pt>
                <c:pt idx="2717">
                  <c:v>44146</c:v>
                </c:pt>
                <c:pt idx="2718">
                  <c:v>44147</c:v>
                </c:pt>
                <c:pt idx="2719">
                  <c:v>44148</c:v>
                </c:pt>
                <c:pt idx="2720">
                  <c:v>44151</c:v>
                </c:pt>
                <c:pt idx="2721">
                  <c:v>44152</c:v>
                </c:pt>
                <c:pt idx="2722">
                  <c:v>44153</c:v>
                </c:pt>
                <c:pt idx="2723">
                  <c:v>44154</c:v>
                </c:pt>
                <c:pt idx="2724">
                  <c:v>44155</c:v>
                </c:pt>
                <c:pt idx="2725">
                  <c:v>44158</c:v>
                </c:pt>
                <c:pt idx="2726">
                  <c:v>44159</c:v>
                </c:pt>
                <c:pt idx="2727">
                  <c:v>44160</c:v>
                </c:pt>
                <c:pt idx="2728">
                  <c:v>44162</c:v>
                </c:pt>
                <c:pt idx="2729">
                  <c:v>44165</c:v>
                </c:pt>
                <c:pt idx="2730">
                  <c:v>44166</c:v>
                </c:pt>
                <c:pt idx="2731">
                  <c:v>44167</c:v>
                </c:pt>
                <c:pt idx="2732">
                  <c:v>44168</c:v>
                </c:pt>
                <c:pt idx="2733">
                  <c:v>44169</c:v>
                </c:pt>
                <c:pt idx="2734">
                  <c:v>44172</c:v>
                </c:pt>
                <c:pt idx="2735">
                  <c:v>44173</c:v>
                </c:pt>
                <c:pt idx="2736">
                  <c:v>44174</c:v>
                </c:pt>
                <c:pt idx="2737">
                  <c:v>44175</c:v>
                </c:pt>
                <c:pt idx="2738">
                  <c:v>44176</c:v>
                </c:pt>
                <c:pt idx="2739">
                  <c:v>44179</c:v>
                </c:pt>
                <c:pt idx="2740">
                  <c:v>44180</c:v>
                </c:pt>
                <c:pt idx="2741">
                  <c:v>44181</c:v>
                </c:pt>
                <c:pt idx="2742">
                  <c:v>44182</c:v>
                </c:pt>
                <c:pt idx="2743">
                  <c:v>44183</c:v>
                </c:pt>
                <c:pt idx="2744">
                  <c:v>44186</c:v>
                </c:pt>
                <c:pt idx="2745">
                  <c:v>44187</c:v>
                </c:pt>
                <c:pt idx="2746">
                  <c:v>44188</c:v>
                </c:pt>
                <c:pt idx="2747">
                  <c:v>44189</c:v>
                </c:pt>
                <c:pt idx="2748">
                  <c:v>44193</c:v>
                </c:pt>
                <c:pt idx="2749">
                  <c:v>44194</c:v>
                </c:pt>
                <c:pt idx="2750">
                  <c:v>44195</c:v>
                </c:pt>
                <c:pt idx="2751">
                  <c:v>44196</c:v>
                </c:pt>
                <c:pt idx="2752">
                  <c:v>44200</c:v>
                </c:pt>
                <c:pt idx="2753">
                  <c:v>44201</c:v>
                </c:pt>
                <c:pt idx="2754">
                  <c:v>44202</c:v>
                </c:pt>
                <c:pt idx="2755">
                  <c:v>44203</c:v>
                </c:pt>
                <c:pt idx="2756">
                  <c:v>44204</c:v>
                </c:pt>
                <c:pt idx="2757">
                  <c:v>44207</c:v>
                </c:pt>
                <c:pt idx="2758">
                  <c:v>44208</c:v>
                </c:pt>
                <c:pt idx="2759">
                  <c:v>44209</c:v>
                </c:pt>
                <c:pt idx="2760">
                  <c:v>44210</c:v>
                </c:pt>
                <c:pt idx="2761">
                  <c:v>44211</c:v>
                </c:pt>
                <c:pt idx="2762">
                  <c:v>44215</c:v>
                </c:pt>
                <c:pt idx="2763">
                  <c:v>44216</c:v>
                </c:pt>
                <c:pt idx="2764">
                  <c:v>44217</c:v>
                </c:pt>
                <c:pt idx="2765">
                  <c:v>44218</c:v>
                </c:pt>
                <c:pt idx="2766">
                  <c:v>44221</c:v>
                </c:pt>
                <c:pt idx="2767">
                  <c:v>44222</c:v>
                </c:pt>
                <c:pt idx="2768">
                  <c:v>44223</c:v>
                </c:pt>
                <c:pt idx="2769">
                  <c:v>44224</c:v>
                </c:pt>
                <c:pt idx="2770">
                  <c:v>44225</c:v>
                </c:pt>
                <c:pt idx="2771">
                  <c:v>44228</c:v>
                </c:pt>
                <c:pt idx="2772">
                  <c:v>44229</c:v>
                </c:pt>
                <c:pt idx="2773">
                  <c:v>44230</c:v>
                </c:pt>
                <c:pt idx="2774">
                  <c:v>44231</c:v>
                </c:pt>
                <c:pt idx="2775">
                  <c:v>44232</c:v>
                </c:pt>
                <c:pt idx="2776">
                  <c:v>44235</c:v>
                </c:pt>
                <c:pt idx="2777">
                  <c:v>44236</c:v>
                </c:pt>
                <c:pt idx="2778">
                  <c:v>44237</c:v>
                </c:pt>
                <c:pt idx="2779">
                  <c:v>44238</c:v>
                </c:pt>
                <c:pt idx="2780">
                  <c:v>44239</c:v>
                </c:pt>
                <c:pt idx="2781">
                  <c:v>44243</c:v>
                </c:pt>
                <c:pt idx="2782">
                  <c:v>44244</c:v>
                </c:pt>
                <c:pt idx="2783">
                  <c:v>44245</c:v>
                </c:pt>
                <c:pt idx="2784">
                  <c:v>44246</c:v>
                </c:pt>
                <c:pt idx="2785">
                  <c:v>44249</c:v>
                </c:pt>
                <c:pt idx="2786">
                  <c:v>44250</c:v>
                </c:pt>
                <c:pt idx="2787">
                  <c:v>44251</c:v>
                </c:pt>
                <c:pt idx="2788">
                  <c:v>44252</c:v>
                </c:pt>
                <c:pt idx="2789">
                  <c:v>44253</c:v>
                </c:pt>
                <c:pt idx="2790">
                  <c:v>44256</c:v>
                </c:pt>
                <c:pt idx="2791">
                  <c:v>44257</c:v>
                </c:pt>
                <c:pt idx="2792">
                  <c:v>44258</c:v>
                </c:pt>
                <c:pt idx="2793">
                  <c:v>44259</c:v>
                </c:pt>
                <c:pt idx="2794">
                  <c:v>44260</c:v>
                </c:pt>
                <c:pt idx="2795">
                  <c:v>44263</c:v>
                </c:pt>
                <c:pt idx="2796">
                  <c:v>44264</c:v>
                </c:pt>
                <c:pt idx="2797">
                  <c:v>44265</c:v>
                </c:pt>
                <c:pt idx="2798">
                  <c:v>44266</c:v>
                </c:pt>
                <c:pt idx="2799">
                  <c:v>44267</c:v>
                </c:pt>
                <c:pt idx="2800">
                  <c:v>44270</c:v>
                </c:pt>
                <c:pt idx="2801">
                  <c:v>44271</c:v>
                </c:pt>
                <c:pt idx="2802">
                  <c:v>44272</c:v>
                </c:pt>
                <c:pt idx="2803">
                  <c:v>44273</c:v>
                </c:pt>
                <c:pt idx="2804">
                  <c:v>44274</c:v>
                </c:pt>
                <c:pt idx="2805">
                  <c:v>44277</c:v>
                </c:pt>
                <c:pt idx="2806">
                  <c:v>44278</c:v>
                </c:pt>
                <c:pt idx="2807">
                  <c:v>44279</c:v>
                </c:pt>
                <c:pt idx="2808">
                  <c:v>44280</c:v>
                </c:pt>
                <c:pt idx="2809">
                  <c:v>44281</c:v>
                </c:pt>
                <c:pt idx="2810">
                  <c:v>44284</c:v>
                </c:pt>
                <c:pt idx="2811">
                  <c:v>44285</c:v>
                </c:pt>
                <c:pt idx="2812">
                  <c:v>44286</c:v>
                </c:pt>
                <c:pt idx="2813">
                  <c:v>44287</c:v>
                </c:pt>
                <c:pt idx="2814">
                  <c:v>44291</c:v>
                </c:pt>
                <c:pt idx="2815">
                  <c:v>44292</c:v>
                </c:pt>
                <c:pt idx="2816">
                  <c:v>44293</c:v>
                </c:pt>
                <c:pt idx="2817">
                  <c:v>44294</c:v>
                </c:pt>
                <c:pt idx="2818">
                  <c:v>44295</c:v>
                </c:pt>
                <c:pt idx="2819">
                  <c:v>44298</c:v>
                </c:pt>
                <c:pt idx="2820">
                  <c:v>44299</c:v>
                </c:pt>
                <c:pt idx="2821">
                  <c:v>44300</c:v>
                </c:pt>
                <c:pt idx="2822">
                  <c:v>44301</c:v>
                </c:pt>
                <c:pt idx="2823">
                  <c:v>44302</c:v>
                </c:pt>
                <c:pt idx="2824">
                  <c:v>44305</c:v>
                </c:pt>
                <c:pt idx="2825">
                  <c:v>44306</c:v>
                </c:pt>
                <c:pt idx="2826">
                  <c:v>44307</c:v>
                </c:pt>
                <c:pt idx="2827">
                  <c:v>44308</c:v>
                </c:pt>
                <c:pt idx="2828">
                  <c:v>44312</c:v>
                </c:pt>
                <c:pt idx="2829">
                  <c:v>44313</c:v>
                </c:pt>
                <c:pt idx="2830">
                  <c:v>44314</c:v>
                </c:pt>
                <c:pt idx="2831">
                  <c:v>44315</c:v>
                </c:pt>
                <c:pt idx="2832">
                  <c:v>44316</c:v>
                </c:pt>
                <c:pt idx="2833">
                  <c:v>44319</c:v>
                </c:pt>
                <c:pt idx="2834">
                  <c:v>44320</c:v>
                </c:pt>
                <c:pt idx="2835">
                  <c:v>44321</c:v>
                </c:pt>
                <c:pt idx="2836">
                  <c:v>44322</c:v>
                </c:pt>
                <c:pt idx="2837">
                  <c:v>44323</c:v>
                </c:pt>
                <c:pt idx="2838">
                  <c:v>44326</c:v>
                </c:pt>
                <c:pt idx="2839">
                  <c:v>44327</c:v>
                </c:pt>
                <c:pt idx="2840">
                  <c:v>44328</c:v>
                </c:pt>
                <c:pt idx="2841">
                  <c:v>44333</c:v>
                </c:pt>
                <c:pt idx="2842">
                  <c:v>44334</c:v>
                </c:pt>
                <c:pt idx="2843">
                  <c:v>44336</c:v>
                </c:pt>
                <c:pt idx="2844">
                  <c:v>44337</c:v>
                </c:pt>
                <c:pt idx="2845">
                  <c:v>44340</c:v>
                </c:pt>
                <c:pt idx="2846">
                  <c:v>44341</c:v>
                </c:pt>
                <c:pt idx="2847">
                  <c:v>44342</c:v>
                </c:pt>
                <c:pt idx="2848">
                  <c:v>44343</c:v>
                </c:pt>
                <c:pt idx="2849">
                  <c:v>44344</c:v>
                </c:pt>
                <c:pt idx="2850">
                  <c:v>44348</c:v>
                </c:pt>
                <c:pt idx="2851">
                  <c:v>44349</c:v>
                </c:pt>
                <c:pt idx="2852">
                  <c:v>44350</c:v>
                </c:pt>
                <c:pt idx="2853">
                  <c:v>44351</c:v>
                </c:pt>
                <c:pt idx="2854">
                  <c:v>44354</c:v>
                </c:pt>
                <c:pt idx="2855">
                  <c:v>44355</c:v>
                </c:pt>
                <c:pt idx="2856">
                  <c:v>44356</c:v>
                </c:pt>
                <c:pt idx="2857">
                  <c:v>44357</c:v>
                </c:pt>
                <c:pt idx="2858">
                  <c:v>44358</c:v>
                </c:pt>
                <c:pt idx="2859">
                  <c:v>44361</c:v>
                </c:pt>
                <c:pt idx="2860">
                  <c:v>44362</c:v>
                </c:pt>
                <c:pt idx="2861">
                  <c:v>44363</c:v>
                </c:pt>
                <c:pt idx="2862">
                  <c:v>44364</c:v>
                </c:pt>
                <c:pt idx="2863">
                  <c:v>44365</c:v>
                </c:pt>
                <c:pt idx="2864">
                  <c:v>44368</c:v>
                </c:pt>
                <c:pt idx="2865">
                  <c:v>44369</c:v>
                </c:pt>
                <c:pt idx="2866">
                  <c:v>44370</c:v>
                </c:pt>
                <c:pt idx="2867">
                  <c:v>44371</c:v>
                </c:pt>
                <c:pt idx="2868">
                  <c:v>44372</c:v>
                </c:pt>
                <c:pt idx="2869">
                  <c:v>44375</c:v>
                </c:pt>
                <c:pt idx="2870">
                  <c:v>44376</c:v>
                </c:pt>
                <c:pt idx="2871">
                  <c:v>44377</c:v>
                </c:pt>
                <c:pt idx="2872">
                  <c:v>44378</c:v>
                </c:pt>
                <c:pt idx="2873">
                  <c:v>44379</c:v>
                </c:pt>
                <c:pt idx="2874">
                  <c:v>44383</c:v>
                </c:pt>
                <c:pt idx="2875">
                  <c:v>44384</c:v>
                </c:pt>
                <c:pt idx="2876">
                  <c:v>44385</c:v>
                </c:pt>
                <c:pt idx="2877">
                  <c:v>44386</c:v>
                </c:pt>
                <c:pt idx="2878">
                  <c:v>44389</c:v>
                </c:pt>
                <c:pt idx="2879">
                  <c:v>44390</c:v>
                </c:pt>
                <c:pt idx="2880">
                  <c:v>44391</c:v>
                </c:pt>
                <c:pt idx="2881">
                  <c:v>44393</c:v>
                </c:pt>
                <c:pt idx="2882">
                  <c:v>44396</c:v>
                </c:pt>
                <c:pt idx="2883">
                  <c:v>44403</c:v>
                </c:pt>
                <c:pt idx="2884">
                  <c:v>44404</c:v>
                </c:pt>
                <c:pt idx="2885">
                  <c:v>44405</c:v>
                </c:pt>
                <c:pt idx="2886">
                  <c:v>44406</c:v>
                </c:pt>
                <c:pt idx="2887">
                  <c:v>44407</c:v>
                </c:pt>
                <c:pt idx="2888">
                  <c:v>44410</c:v>
                </c:pt>
                <c:pt idx="2889">
                  <c:v>44411</c:v>
                </c:pt>
                <c:pt idx="2890">
                  <c:v>44412</c:v>
                </c:pt>
                <c:pt idx="2891">
                  <c:v>44413</c:v>
                </c:pt>
                <c:pt idx="2892">
                  <c:v>44414</c:v>
                </c:pt>
                <c:pt idx="2893">
                  <c:v>44417</c:v>
                </c:pt>
                <c:pt idx="2894">
                  <c:v>44418</c:v>
                </c:pt>
                <c:pt idx="2895">
                  <c:v>44419</c:v>
                </c:pt>
                <c:pt idx="2896">
                  <c:v>44420</c:v>
                </c:pt>
                <c:pt idx="2897">
                  <c:v>44421</c:v>
                </c:pt>
                <c:pt idx="2898">
                  <c:v>44424</c:v>
                </c:pt>
                <c:pt idx="2899">
                  <c:v>44425</c:v>
                </c:pt>
                <c:pt idx="2900">
                  <c:v>44426</c:v>
                </c:pt>
                <c:pt idx="2901">
                  <c:v>44427</c:v>
                </c:pt>
                <c:pt idx="2902">
                  <c:v>44428</c:v>
                </c:pt>
                <c:pt idx="2903">
                  <c:v>44431</c:v>
                </c:pt>
                <c:pt idx="2904">
                  <c:v>44432</c:v>
                </c:pt>
                <c:pt idx="2905">
                  <c:v>44433</c:v>
                </c:pt>
                <c:pt idx="2906">
                  <c:v>44434</c:v>
                </c:pt>
                <c:pt idx="2907">
                  <c:v>44435</c:v>
                </c:pt>
                <c:pt idx="2908">
                  <c:v>44439</c:v>
                </c:pt>
                <c:pt idx="2909">
                  <c:v>44440</c:v>
                </c:pt>
                <c:pt idx="2910">
                  <c:v>44441</c:v>
                </c:pt>
                <c:pt idx="2911">
                  <c:v>44442</c:v>
                </c:pt>
                <c:pt idx="2912">
                  <c:v>44446</c:v>
                </c:pt>
                <c:pt idx="2913">
                  <c:v>44447</c:v>
                </c:pt>
                <c:pt idx="2914">
                  <c:v>44448</c:v>
                </c:pt>
                <c:pt idx="2915">
                  <c:v>44449</c:v>
                </c:pt>
                <c:pt idx="2916">
                  <c:v>44452</c:v>
                </c:pt>
                <c:pt idx="2917">
                  <c:v>44453</c:v>
                </c:pt>
                <c:pt idx="2918">
                  <c:v>44454</c:v>
                </c:pt>
                <c:pt idx="2919">
                  <c:v>44455</c:v>
                </c:pt>
                <c:pt idx="2920">
                  <c:v>44456</c:v>
                </c:pt>
                <c:pt idx="2921">
                  <c:v>44459</c:v>
                </c:pt>
                <c:pt idx="2922">
                  <c:v>44460</c:v>
                </c:pt>
                <c:pt idx="2923">
                  <c:v>44461</c:v>
                </c:pt>
                <c:pt idx="2924">
                  <c:v>44462</c:v>
                </c:pt>
                <c:pt idx="2925">
                  <c:v>44463</c:v>
                </c:pt>
                <c:pt idx="2926">
                  <c:v>44466</c:v>
                </c:pt>
                <c:pt idx="2927">
                  <c:v>44467</c:v>
                </c:pt>
                <c:pt idx="2928">
                  <c:v>44468</c:v>
                </c:pt>
                <c:pt idx="2929">
                  <c:v>44469</c:v>
                </c:pt>
                <c:pt idx="2930">
                  <c:v>44470</c:v>
                </c:pt>
                <c:pt idx="2931">
                  <c:v>44473</c:v>
                </c:pt>
                <c:pt idx="2932">
                  <c:v>44474</c:v>
                </c:pt>
                <c:pt idx="2933">
                  <c:v>44475</c:v>
                </c:pt>
                <c:pt idx="2934">
                  <c:v>44476</c:v>
                </c:pt>
                <c:pt idx="2935">
                  <c:v>44477</c:v>
                </c:pt>
                <c:pt idx="2936">
                  <c:v>44480</c:v>
                </c:pt>
                <c:pt idx="2937">
                  <c:v>44481</c:v>
                </c:pt>
                <c:pt idx="2938">
                  <c:v>44482</c:v>
                </c:pt>
                <c:pt idx="2939">
                  <c:v>44483</c:v>
                </c:pt>
                <c:pt idx="2940">
                  <c:v>44484</c:v>
                </c:pt>
                <c:pt idx="2941">
                  <c:v>44487</c:v>
                </c:pt>
                <c:pt idx="2942">
                  <c:v>44488</c:v>
                </c:pt>
                <c:pt idx="2943">
                  <c:v>44489</c:v>
                </c:pt>
                <c:pt idx="2944">
                  <c:v>44490</c:v>
                </c:pt>
                <c:pt idx="2945">
                  <c:v>44491</c:v>
                </c:pt>
                <c:pt idx="2946">
                  <c:v>44494</c:v>
                </c:pt>
                <c:pt idx="2947">
                  <c:v>44495</c:v>
                </c:pt>
                <c:pt idx="2948">
                  <c:v>44496</c:v>
                </c:pt>
                <c:pt idx="2949">
                  <c:v>44497</c:v>
                </c:pt>
                <c:pt idx="2950">
                  <c:v>44501</c:v>
                </c:pt>
                <c:pt idx="2951">
                  <c:v>44502</c:v>
                </c:pt>
                <c:pt idx="2952">
                  <c:v>44503</c:v>
                </c:pt>
                <c:pt idx="2953">
                  <c:v>44504</c:v>
                </c:pt>
                <c:pt idx="2954">
                  <c:v>44505</c:v>
                </c:pt>
                <c:pt idx="2955">
                  <c:v>44508</c:v>
                </c:pt>
                <c:pt idx="2956">
                  <c:v>44509</c:v>
                </c:pt>
                <c:pt idx="2957">
                  <c:v>44510</c:v>
                </c:pt>
                <c:pt idx="2958">
                  <c:v>44511</c:v>
                </c:pt>
                <c:pt idx="2959">
                  <c:v>44512</c:v>
                </c:pt>
                <c:pt idx="2960">
                  <c:v>44515</c:v>
                </c:pt>
                <c:pt idx="2961">
                  <c:v>44516</c:v>
                </c:pt>
                <c:pt idx="2962">
                  <c:v>44517</c:v>
                </c:pt>
                <c:pt idx="2963">
                  <c:v>44518</c:v>
                </c:pt>
                <c:pt idx="2964">
                  <c:v>44519</c:v>
                </c:pt>
                <c:pt idx="2965">
                  <c:v>44522</c:v>
                </c:pt>
                <c:pt idx="2966">
                  <c:v>44523</c:v>
                </c:pt>
                <c:pt idx="2967">
                  <c:v>44524</c:v>
                </c:pt>
                <c:pt idx="2968">
                  <c:v>44526</c:v>
                </c:pt>
                <c:pt idx="2969">
                  <c:v>44529</c:v>
                </c:pt>
                <c:pt idx="2970">
                  <c:v>44530</c:v>
                </c:pt>
                <c:pt idx="2971">
                  <c:v>44531</c:v>
                </c:pt>
                <c:pt idx="2972">
                  <c:v>44532</c:v>
                </c:pt>
                <c:pt idx="2973">
                  <c:v>44533</c:v>
                </c:pt>
                <c:pt idx="2974">
                  <c:v>44536</c:v>
                </c:pt>
                <c:pt idx="2975">
                  <c:v>44537</c:v>
                </c:pt>
                <c:pt idx="2976">
                  <c:v>44538</c:v>
                </c:pt>
                <c:pt idx="2977">
                  <c:v>44539</c:v>
                </c:pt>
                <c:pt idx="2978">
                  <c:v>44540</c:v>
                </c:pt>
                <c:pt idx="2979">
                  <c:v>44543</c:v>
                </c:pt>
                <c:pt idx="2980">
                  <c:v>44544</c:v>
                </c:pt>
                <c:pt idx="2981">
                  <c:v>44545</c:v>
                </c:pt>
                <c:pt idx="2982">
                  <c:v>44546</c:v>
                </c:pt>
                <c:pt idx="2983">
                  <c:v>44547</c:v>
                </c:pt>
                <c:pt idx="2984">
                  <c:v>44550</c:v>
                </c:pt>
                <c:pt idx="2985">
                  <c:v>44551</c:v>
                </c:pt>
                <c:pt idx="2986">
                  <c:v>44552</c:v>
                </c:pt>
                <c:pt idx="2987">
                  <c:v>44553</c:v>
                </c:pt>
                <c:pt idx="2988">
                  <c:v>44557</c:v>
                </c:pt>
                <c:pt idx="2989">
                  <c:v>44558</c:v>
                </c:pt>
                <c:pt idx="2990">
                  <c:v>44559</c:v>
                </c:pt>
                <c:pt idx="2991">
                  <c:v>44560</c:v>
                </c:pt>
                <c:pt idx="2992">
                  <c:v>44561</c:v>
                </c:pt>
                <c:pt idx="2993">
                  <c:v>44564</c:v>
                </c:pt>
                <c:pt idx="2994">
                  <c:v>44565</c:v>
                </c:pt>
                <c:pt idx="2995">
                  <c:v>44566</c:v>
                </c:pt>
                <c:pt idx="2996">
                  <c:v>44567</c:v>
                </c:pt>
                <c:pt idx="2997">
                  <c:v>44568</c:v>
                </c:pt>
                <c:pt idx="2998">
                  <c:v>44571</c:v>
                </c:pt>
                <c:pt idx="2999">
                  <c:v>44572</c:v>
                </c:pt>
                <c:pt idx="3000">
                  <c:v>44573</c:v>
                </c:pt>
                <c:pt idx="3001">
                  <c:v>44574</c:v>
                </c:pt>
                <c:pt idx="3002">
                  <c:v>44575</c:v>
                </c:pt>
                <c:pt idx="3003">
                  <c:v>44579</c:v>
                </c:pt>
                <c:pt idx="3004">
                  <c:v>44580</c:v>
                </c:pt>
                <c:pt idx="3005">
                  <c:v>44581</c:v>
                </c:pt>
                <c:pt idx="3006">
                  <c:v>44582</c:v>
                </c:pt>
                <c:pt idx="3007">
                  <c:v>44585</c:v>
                </c:pt>
                <c:pt idx="3008">
                  <c:v>44586</c:v>
                </c:pt>
                <c:pt idx="3009">
                  <c:v>44587</c:v>
                </c:pt>
                <c:pt idx="3010">
                  <c:v>44588</c:v>
                </c:pt>
                <c:pt idx="3011">
                  <c:v>44589</c:v>
                </c:pt>
                <c:pt idx="3012">
                  <c:v>44592</c:v>
                </c:pt>
                <c:pt idx="3013">
                  <c:v>44593</c:v>
                </c:pt>
                <c:pt idx="3014">
                  <c:v>44594</c:v>
                </c:pt>
                <c:pt idx="3015">
                  <c:v>44595</c:v>
                </c:pt>
                <c:pt idx="3016">
                  <c:v>44596</c:v>
                </c:pt>
                <c:pt idx="3017">
                  <c:v>44599</c:v>
                </c:pt>
                <c:pt idx="3018">
                  <c:v>44600</c:v>
                </c:pt>
                <c:pt idx="3019">
                  <c:v>44601</c:v>
                </c:pt>
                <c:pt idx="3020">
                  <c:v>44602</c:v>
                </c:pt>
                <c:pt idx="3021">
                  <c:v>44603</c:v>
                </c:pt>
                <c:pt idx="3022">
                  <c:v>44606</c:v>
                </c:pt>
                <c:pt idx="3023">
                  <c:v>44607</c:v>
                </c:pt>
                <c:pt idx="3024">
                  <c:v>44608</c:v>
                </c:pt>
                <c:pt idx="3025">
                  <c:v>44609</c:v>
                </c:pt>
                <c:pt idx="3026">
                  <c:v>44610</c:v>
                </c:pt>
                <c:pt idx="3027">
                  <c:v>44614</c:v>
                </c:pt>
                <c:pt idx="3028">
                  <c:v>44615</c:v>
                </c:pt>
                <c:pt idx="3029">
                  <c:v>44616</c:v>
                </c:pt>
                <c:pt idx="3030">
                  <c:v>44617</c:v>
                </c:pt>
                <c:pt idx="3031">
                  <c:v>44620</c:v>
                </c:pt>
                <c:pt idx="3032">
                  <c:v>44621</c:v>
                </c:pt>
                <c:pt idx="3033">
                  <c:v>44622</c:v>
                </c:pt>
                <c:pt idx="3034">
                  <c:v>44623</c:v>
                </c:pt>
                <c:pt idx="3035">
                  <c:v>44624</c:v>
                </c:pt>
                <c:pt idx="3036">
                  <c:v>44627</c:v>
                </c:pt>
                <c:pt idx="3037">
                  <c:v>44628</c:v>
                </c:pt>
                <c:pt idx="3038">
                  <c:v>44629</c:v>
                </c:pt>
                <c:pt idx="3039">
                  <c:v>44630</c:v>
                </c:pt>
                <c:pt idx="3040">
                  <c:v>44631</c:v>
                </c:pt>
                <c:pt idx="3041">
                  <c:v>44634</c:v>
                </c:pt>
                <c:pt idx="3042">
                  <c:v>44635</c:v>
                </c:pt>
                <c:pt idx="3043">
                  <c:v>44636</c:v>
                </c:pt>
                <c:pt idx="3044">
                  <c:v>44637</c:v>
                </c:pt>
                <c:pt idx="3045">
                  <c:v>44638</c:v>
                </c:pt>
                <c:pt idx="3046">
                  <c:v>44641</c:v>
                </c:pt>
                <c:pt idx="3047">
                  <c:v>44642</c:v>
                </c:pt>
                <c:pt idx="3048">
                  <c:v>44643</c:v>
                </c:pt>
                <c:pt idx="3049">
                  <c:v>44644</c:v>
                </c:pt>
                <c:pt idx="3050">
                  <c:v>44645</c:v>
                </c:pt>
                <c:pt idx="3051">
                  <c:v>44648</c:v>
                </c:pt>
                <c:pt idx="3052">
                  <c:v>44649</c:v>
                </c:pt>
                <c:pt idx="3053">
                  <c:v>44650</c:v>
                </c:pt>
                <c:pt idx="3054">
                  <c:v>44651</c:v>
                </c:pt>
                <c:pt idx="3055">
                  <c:v>44652</c:v>
                </c:pt>
                <c:pt idx="3056">
                  <c:v>44655</c:v>
                </c:pt>
                <c:pt idx="3057">
                  <c:v>44656</c:v>
                </c:pt>
                <c:pt idx="3058">
                  <c:v>44657</c:v>
                </c:pt>
                <c:pt idx="3059">
                  <c:v>44658</c:v>
                </c:pt>
                <c:pt idx="3060">
                  <c:v>44659</c:v>
                </c:pt>
                <c:pt idx="3061">
                  <c:v>44662</c:v>
                </c:pt>
                <c:pt idx="3062">
                  <c:v>44663</c:v>
                </c:pt>
                <c:pt idx="3063">
                  <c:v>44664</c:v>
                </c:pt>
                <c:pt idx="3064">
                  <c:v>44665</c:v>
                </c:pt>
                <c:pt idx="3065">
                  <c:v>44669</c:v>
                </c:pt>
                <c:pt idx="3066">
                  <c:v>44670</c:v>
                </c:pt>
                <c:pt idx="3067">
                  <c:v>44671</c:v>
                </c:pt>
                <c:pt idx="3068">
                  <c:v>44672</c:v>
                </c:pt>
                <c:pt idx="3069">
                  <c:v>44673</c:v>
                </c:pt>
                <c:pt idx="3070">
                  <c:v>44676</c:v>
                </c:pt>
                <c:pt idx="3071">
                  <c:v>44677</c:v>
                </c:pt>
                <c:pt idx="3072">
                  <c:v>44678</c:v>
                </c:pt>
                <c:pt idx="3073">
                  <c:v>44679</c:v>
                </c:pt>
                <c:pt idx="3074">
                  <c:v>44680</c:v>
                </c:pt>
                <c:pt idx="3075">
                  <c:v>44686</c:v>
                </c:pt>
                <c:pt idx="3076">
                  <c:v>44687</c:v>
                </c:pt>
                <c:pt idx="3077">
                  <c:v>44690</c:v>
                </c:pt>
                <c:pt idx="3078">
                  <c:v>44691</c:v>
                </c:pt>
                <c:pt idx="3079">
                  <c:v>44692</c:v>
                </c:pt>
                <c:pt idx="3080">
                  <c:v>44693</c:v>
                </c:pt>
                <c:pt idx="3081">
                  <c:v>44694</c:v>
                </c:pt>
                <c:pt idx="3082">
                  <c:v>44697</c:v>
                </c:pt>
                <c:pt idx="3083">
                  <c:v>44698</c:v>
                </c:pt>
                <c:pt idx="3084">
                  <c:v>44699</c:v>
                </c:pt>
                <c:pt idx="3085">
                  <c:v>44701</c:v>
                </c:pt>
                <c:pt idx="3086">
                  <c:v>44704</c:v>
                </c:pt>
                <c:pt idx="3087">
                  <c:v>44705</c:v>
                </c:pt>
                <c:pt idx="3088">
                  <c:v>44706</c:v>
                </c:pt>
                <c:pt idx="3089">
                  <c:v>44707</c:v>
                </c:pt>
                <c:pt idx="3090">
                  <c:v>44708</c:v>
                </c:pt>
                <c:pt idx="3091">
                  <c:v>44712</c:v>
                </c:pt>
                <c:pt idx="3092">
                  <c:v>44713</c:v>
                </c:pt>
                <c:pt idx="3093">
                  <c:v>44714</c:v>
                </c:pt>
                <c:pt idx="3094">
                  <c:v>44715</c:v>
                </c:pt>
                <c:pt idx="3095">
                  <c:v>44718</c:v>
                </c:pt>
                <c:pt idx="3096">
                  <c:v>44719</c:v>
                </c:pt>
                <c:pt idx="3097">
                  <c:v>44720</c:v>
                </c:pt>
                <c:pt idx="3098">
                  <c:v>44721</c:v>
                </c:pt>
                <c:pt idx="3099">
                  <c:v>44722</c:v>
                </c:pt>
                <c:pt idx="3100">
                  <c:v>44725</c:v>
                </c:pt>
                <c:pt idx="3101">
                  <c:v>44726</c:v>
                </c:pt>
                <c:pt idx="3102">
                  <c:v>44727</c:v>
                </c:pt>
                <c:pt idx="3103">
                  <c:v>44728</c:v>
                </c:pt>
                <c:pt idx="3104">
                  <c:v>44729</c:v>
                </c:pt>
                <c:pt idx="3105">
                  <c:v>44733</c:v>
                </c:pt>
                <c:pt idx="3106">
                  <c:v>44734</c:v>
                </c:pt>
                <c:pt idx="3107">
                  <c:v>44735</c:v>
                </c:pt>
                <c:pt idx="3108">
                  <c:v>44736</c:v>
                </c:pt>
                <c:pt idx="3109">
                  <c:v>44739</c:v>
                </c:pt>
                <c:pt idx="3110">
                  <c:v>44740</c:v>
                </c:pt>
                <c:pt idx="3111">
                  <c:v>44741</c:v>
                </c:pt>
                <c:pt idx="3112">
                  <c:v>44742</c:v>
                </c:pt>
                <c:pt idx="3113">
                  <c:v>44743</c:v>
                </c:pt>
                <c:pt idx="3114">
                  <c:v>44747</c:v>
                </c:pt>
                <c:pt idx="3115">
                  <c:v>44748</c:v>
                </c:pt>
                <c:pt idx="3116">
                  <c:v>44749</c:v>
                </c:pt>
                <c:pt idx="3117">
                  <c:v>44750</c:v>
                </c:pt>
                <c:pt idx="3118">
                  <c:v>44755</c:v>
                </c:pt>
                <c:pt idx="3119">
                  <c:v>44756</c:v>
                </c:pt>
                <c:pt idx="3120">
                  <c:v>44760</c:v>
                </c:pt>
                <c:pt idx="3121">
                  <c:v>44761</c:v>
                </c:pt>
                <c:pt idx="3122">
                  <c:v>44762</c:v>
                </c:pt>
                <c:pt idx="3123">
                  <c:v>44763</c:v>
                </c:pt>
                <c:pt idx="3124">
                  <c:v>44764</c:v>
                </c:pt>
                <c:pt idx="3125">
                  <c:v>44767</c:v>
                </c:pt>
                <c:pt idx="3126">
                  <c:v>44768</c:v>
                </c:pt>
                <c:pt idx="3127">
                  <c:v>44769</c:v>
                </c:pt>
                <c:pt idx="3128">
                  <c:v>44770</c:v>
                </c:pt>
                <c:pt idx="3129">
                  <c:v>44771</c:v>
                </c:pt>
                <c:pt idx="3130">
                  <c:v>44774</c:v>
                </c:pt>
                <c:pt idx="3131">
                  <c:v>44775</c:v>
                </c:pt>
                <c:pt idx="3132">
                  <c:v>44776</c:v>
                </c:pt>
                <c:pt idx="3133">
                  <c:v>44777</c:v>
                </c:pt>
                <c:pt idx="3134">
                  <c:v>44778</c:v>
                </c:pt>
                <c:pt idx="3135">
                  <c:v>44781</c:v>
                </c:pt>
                <c:pt idx="3136">
                  <c:v>44782</c:v>
                </c:pt>
                <c:pt idx="3137">
                  <c:v>44783</c:v>
                </c:pt>
                <c:pt idx="3138">
                  <c:v>44784</c:v>
                </c:pt>
                <c:pt idx="3139">
                  <c:v>44785</c:v>
                </c:pt>
                <c:pt idx="3140">
                  <c:v>44788</c:v>
                </c:pt>
                <c:pt idx="3141">
                  <c:v>44789</c:v>
                </c:pt>
                <c:pt idx="3142">
                  <c:v>44790</c:v>
                </c:pt>
                <c:pt idx="3143">
                  <c:v>44791</c:v>
                </c:pt>
                <c:pt idx="3144">
                  <c:v>44792</c:v>
                </c:pt>
                <c:pt idx="3145">
                  <c:v>44795</c:v>
                </c:pt>
                <c:pt idx="3146">
                  <c:v>44796</c:v>
                </c:pt>
                <c:pt idx="3147">
                  <c:v>44797</c:v>
                </c:pt>
                <c:pt idx="3148">
                  <c:v>44798</c:v>
                </c:pt>
                <c:pt idx="3149">
                  <c:v>44799</c:v>
                </c:pt>
                <c:pt idx="3150">
                  <c:v>44802</c:v>
                </c:pt>
                <c:pt idx="3151">
                  <c:v>44804</c:v>
                </c:pt>
                <c:pt idx="3152">
                  <c:v>44805</c:v>
                </c:pt>
                <c:pt idx="3153">
                  <c:v>44806</c:v>
                </c:pt>
                <c:pt idx="3154">
                  <c:v>44810</c:v>
                </c:pt>
                <c:pt idx="3155">
                  <c:v>44811</c:v>
                </c:pt>
                <c:pt idx="3156">
                  <c:v>44812</c:v>
                </c:pt>
                <c:pt idx="3157">
                  <c:v>44813</c:v>
                </c:pt>
                <c:pt idx="3158">
                  <c:v>44816</c:v>
                </c:pt>
                <c:pt idx="3159">
                  <c:v>44817</c:v>
                </c:pt>
                <c:pt idx="3160">
                  <c:v>44818</c:v>
                </c:pt>
                <c:pt idx="3161">
                  <c:v>44819</c:v>
                </c:pt>
                <c:pt idx="3162">
                  <c:v>44820</c:v>
                </c:pt>
                <c:pt idx="3163">
                  <c:v>44823</c:v>
                </c:pt>
                <c:pt idx="3164">
                  <c:v>44824</c:v>
                </c:pt>
                <c:pt idx="3165">
                  <c:v>44825</c:v>
                </c:pt>
                <c:pt idx="3166">
                  <c:v>44826</c:v>
                </c:pt>
                <c:pt idx="3167">
                  <c:v>44827</c:v>
                </c:pt>
                <c:pt idx="3168">
                  <c:v>44830</c:v>
                </c:pt>
                <c:pt idx="3169">
                  <c:v>44831</c:v>
                </c:pt>
                <c:pt idx="3170">
                  <c:v>44832</c:v>
                </c:pt>
                <c:pt idx="3171">
                  <c:v>44833</c:v>
                </c:pt>
                <c:pt idx="3172">
                  <c:v>44834</c:v>
                </c:pt>
                <c:pt idx="3173">
                  <c:v>44837</c:v>
                </c:pt>
                <c:pt idx="3174">
                  <c:v>44838</c:v>
                </c:pt>
                <c:pt idx="3175">
                  <c:v>44839</c:v>
                </c:pt>
                <c:pt idx="3176">
                  <c:v>44840</c:v>
                </c:pt>
                <c:pt idx="3177">
                  <c:v>44841</c:v>
                </c:pt>
                <c:pt idx="3178">
                  <c:v>44844</c:v>
                </c:pt>
                <c:pt idx="3179">
                  <c:v>44845</c:v>
                </c:pt>
                <c:pt idx="3180">
                  <c:v>44846</c:v>
                </c:pt>
                <c:pt idx="3181">
                  <c:v>44847</c:v>
                </c:pt>
                <c:pt idx="3182">
                  <c:v>44848</c:v>
                </c:pt>
                <c:pt idx="3183">
                  <c:v>44851</c:v>
                </c:pt>
                <c:pt idx="3184">
                  <c:v>44852</c:v>
                </c:pt>
                <c:pt idx="3185">
                  <c:v>44853</c:v>
                </c:pt>
                <c:pt idx="3186">
                  <c:v>44854</c:v>
                </c:pt>
                <c:pt idx="3187">
                  <c:v>44855</c:v>
                </c:pt>
                <c:pt idx="3188">
                  <c:v>44858</c:v>
                </c:pt>
                <c:pt idx="3189">
                  <c:v>44859</c:v>
                </c:pt>
                <c:pt idx="3190">
                  <c:v>44860</c:v>
                </c:pt>
                <c:pt idx="3191">
                  <c:v>44861</c:v>
                </c:pt>
                <c:pt idx="3192">
                  <c:v>44862</c:v>
                </c:pt>
                <c:pt idx="3193">
                  <c:v>44865</c:v>
                </c:pt>
                <c:pt idx="3194">
                  <c:v>44866</c:v>
                </c:pt>
                <c:pt idx="3195">
                  <c:v>44867</c:v>
                </c:pt>
                <c:pt idx="3196">
                  <c:v>44868</c:v>
                </c:pt>
                <c:pt idx="3197">
                  <c:v>44869</c:v>
                </c:pt>
                <c:pt idx="3198">
                  <c:v>44872</c:v>
                </c:pt>
                <c:pt idx="3199">
                  <c:v>44873</c:v>
                </c:pt>
                <c:pt idx="3200">
                  <c:v>44874</c:v>
                </c:pt>
                <c:pt idx="3201">
                  <c:v>44875</c:v>
                </c:pt>
                <c:pt idx="3202">
                  <c:v>44876</c:v>
                </c:pt>
                <c:pt idx="3203">
                  <c:v>44879</c:v>
                </c:pt>
                <c:pt idx="3204">
                  <c:v>44880</c:v>
                </c:pt>
                <c:pt idx="3205">
                  <c:v>44881</c:v>
                </c:pt>
                <c:pt idx="3206">
                  <c:v>44882</c:v>
                </c:pt>
                <c:pt idx="3207">
                  <c:v>44883</c:v>
                </c:pt>
                <c:pt idx="3208">
                  <c:v>44886</c:v>
                </c:pt>
                <c:pt idx="3209">
                  <c:v>44887</c:v>
                </c:pt>
                <c:pt idx="3210">
                  <c:v>44888</c:v>
                </c:pt>
                <c:pt idx="3211">
                  <c:v>44890</c:v>
                </c:pt>
                <c:pt idx="3212">
                  <c:v>44893</c:v>
                </c:pt>
                <c:pt idx="3213">
                  <c:v>44894</c:v>
                </c:pt>
                <c:pt idx="3214">
                  <c:v>44895</c:v>
                </c:pt>
                <c:pt idx="3215">
                  <c:v>44896</c:v>
                </c:pt>
                <c:pt idx="3216">
                  <c:v>44897</c:v>
                </c:pt>
                <c:pt idx="3217">
                  <c:v>44900</c:v>
                </c:pt>
                <c:pt idx="3218">
                  <c:v>44901</c:v>
                </c:pt>
                <c:pt idx="3219">
                  <c:v>44902</c:v>
                </c:pt>
                <c:pt idx="3220">
                  <c:v>44903</c:v>
                </c:pt>
                <c:pt idx="3221">
                  <c:v>44904</c:v>
                </c:pt>
                <c:pt idx="3222">
                  <c:v>44907</c:v>
                </c:pt>
                <c:pt idx="3223">
                  <c:v>44908</c:v>
                </c:pt>
                <c:pt idx="3224">
                  <c:v>44909</c:v>
                </c:pt>
                <c:pt idx="3225">
                  <c:v>44910</c:v>
                </c:pt>
                <c:pt idx="3226">
                  <c:v>44911</c:v>
                </c:pt>
                <c:pt idx="3227">
                  <c:v>44914</c:v>
                </c:pt>
                <c:pt idx="3228">
                  <c:v>44915</c:v>
                </c:pt>
                <c:pt idx="3229">
                  <c:v>44916</c:v>
                </c:pt>
                <c:pt idx="3230">
                  <c:v>44917</c:v>
                </c:pt>
                <c:pt idx="3231">
                  <c:v>44918</c:v>
                </c:pt>
                <c:pt idx="3232">
                  <c:v>44922</c:v>
                </c:pt>
                <c:pt idx="3233">
                  <c:v>44923</c:v>
                </c:pt>
                <c:pt idx="3234">
                  <c:v>44924</c:v>
                </c:pt>
                <c:pt idx="3235">
                  <c:v>44925</c:v>
                </c:pt>
                <c:pt idx="3236">
                  <c:v>44929</c:v>
                </c:pt>
                <c:pt idx="3237">
                  <c:v>44930</c:v>
                </c:pt>
                <c:pt idx="3238">
                  <c:v>44931</c:v>
                </c:pt>
                <c:pt idx="3239">
                  <c:v>44932</c:v>
                </c:pt>
                <c:pt idx="3240">
                  <c:v>44935</c:v>
                </c:pt>
                <c:pt idx="3241">
                  <c:v>44936</c:v>
                </c:pt>
                <c:pt idx="3242">
                  <c:v>44937</c:v>
                </c:pt>
                <c:pt idx="3243">
                  <c:v>44938</c:v>
                </c:pt>
                <c:pt idx="3244">
                  <c:v>44939</c:v>
                </c:pt>
                <c:pt idx="3245">
                  <c:v>44943</c:v>
                </c:pt>
                <c:pt idx="3246">
                  <c:v>44944</c:v>
                </c:pt>
                <c:pt idx="3247">
                  <c:v>44945</c:v>
                </c:pt>
                <c:pt idx="3248">
                  <c:v>44946</c:v>
                </c:pt>
                <c:pt idx="3249">
                  <c:v>44949</c:v>
                </c:pt>
                <c:pt idx="3250">
                  <c:v>44950</c:v>
                </c:pt>
                <c:pt idx="3251">
                  <c:v>44951</c:v>
                </c:pt>
                <c:pt idx="3252">
                  <c:v>44952</c:v>
                </c:pt>
                <c:pt idx="3253">
                  <c:v>44953</c:v>
                </c:pt>
                <c:pt idx="3254">
                  <c:v>44956</c:v>
                </c:pt>
                <c:pt idx="3255">
                  <c:v>44957</c:v>
                </c:pt>
                <c:pt idx="3256">
                  <c:v>44958</c:v>
                </c:pt>
                <c:pt idx="3257">
                  <c:v>44959</c:v>
                </c:pt>
                <c:pt idx="3258">
                  <c:v>44960</c:v>
                </c:pt>
                <c:pt idx="3259">
                  <c:v>44963</c:v>
                </c:pt>
                <c:pt idx="3260">
                  <c:v>44964</c:v>
                </c:pt>
                <c:pt idx="3261">
                  <c:v>44965</c:v>
                </c:pt>
                <c:pt idx="3262">
                  <c:v>44972</c:v>
                </c:pt>
                <c:pt idx="3263">
                  <c:v>44973</c:v>
                </c:pt>
                <c:pt idx="3264">
                  <c:v>44974</c:v>
                </c:pt>
                <c:pt idx="3265">
                  <c:v>44978</c:v>
                </c:pt>
                <c:pt idx="3266">
                  <c:v>44979</c:v>
                </c:pt>
                <c:pt idx="3267">
                  <c:v>44980</c:v>
                </c:pt>
                <c:pt idx="3268">
                  <c:v>44981</c:v>
                </c:pt>
                <c:pt idx="3269">
                  <c:v>44984</c:v>
                </c:pt>
                <c:pt idx="3270">
                  <c:v>44985</c:v>
                </c:pt>
                <c:pt idx="3271">
                  <c:v>44986</c:v>
                </c:pt>
                <c:pt idx="3272">
                  <c:v>44987</c:v>
                </c:pt>
                <c:pt idx="3273">
                  <c:v>44988</c:v>
                </c:pt>
                <c:pt idx="3274">
                  <c:v>44991</c:v>
                </c:pt>
                <c:pt idx="3275">
                  <c:v>44992</c:v>
                </c:pt>
                <c:pt idx="3276">
                  <c:v>44993</c:v>
                </c:pt>
                <c:pt idx="3277">
                  <c:v>44994</c:v>
                </c:pt>
                <c:pt idx="3278">
                  <c:v>44995</c:v>
                </c:pt>
                <c:pt idx="3279">
                  <c:v>44998</c:v>
                </c:pt>
                <c:pt idx="3280">
                  <c:v>44999</c:v>
                </c:pt>
                <c:pt idx="3281">
                  <c:v>45000</c:v>
                </c:pt>
                <c:pt idx="3282">
                  <c:v>45001</c:v>
                </c:pt>
                <c:pt idx="3283">
                  <c:v>45002</c:v>
                </c:pt>
                <c:pt idx="3284">
                  <c:v>45005</c:v>
                </c:pt>
                <c:pt idx="3285">
                  <c:v>45006</c:v>
                </c:pt>
                <c:pt idx="3286">
                  <c:v>45007</c:v>
                </c:pt>
                <c:pt idx="3287">
                  <c:v>45008</c:v>
                </c:pt>
                <c:pt idx="3288">
                  <c:v>45009</c:v>
                </c:pt>
                <c:pt idx="3289">
                  <c:v>45012</c:v>
                </c:pt>
                <c:pt idx="3290">
                  <c:v>45013</c:v>
                </c:pt>
                <c:pt idx="3291">
                  <c:v>45014</c:v>
                </c:pt>
                <c:pt idx="3292">
                  <c:v>45015</c:v>
                </c:pt>
                <c:pt idx="3293">
                  <c:v>45016</c:v>
                </c:pt>
                <c:pt idx="3294">
                  <c:v>45019</c:v>
                </c:pt>
                <c:pt idx="3295">
                  <c:v>45020</c:v>
                </c:pt>
                <c:pt idx="3296">
                  <c:v>45021</c:v>
                </c:pt>
                <c:pt idx="3297">
                  <c:v>45022</c:v>
                </c:pt>
                <c:pt idx="3298">
                  <c:v>45026</c:v>
                </c:pt>
                <c:pt idx="3299">
                  <c:v>45027</c:v>
                </c:pt>
                <c:pt idx="3300">
                  <c:v>45028</c:v>
                </c:pt>
                <c:pt idx="3301">
                  <c:v>45029</c:v>
                </c:pt>
                <c:pt idx="3302">
                  <c:v>45030</c:v>
                </c:pt>
                <c:pt idx="3303">
                  <c:v>45033</c:v>
                </c:pt>
                <c:pt idx="3304">
                  <c:v>45034</c:v>
                </c:pt>
                <c:pt idx="3305">
                  <c:v>45035</c:v>
                </c:pt>
                <c:pt idx="3306">
                  <c:v>45036</c:v>
                </c:pt>
                <c:pt idx="3307">
                  <c:v>45040</c:v>
                </c:pt>
                <c:pt idx="3308">
                  <c:v>45041</c:v>
                </c:pt>
                <c:pt idx="3309">
                  <c:v>45042</c:v>
                </c:pt>
                <c:pt idx="3310">
                  <c:v>45043</c:v>
                </c:pt>
                <c:pt idx="3311">
                  <c:v>45044</c:v>
                </c:pt>
                <c:pt idx="3312">
                  <c:v>45048</c:v>
                </c:pt>
                <c:pt idx="3313">
                  <c:v>45049</c:v>
                </c:pt>
                <c:pt idx="3314">
                  <c:v>45050</c:v>
                </c:pt>
                <c:pt idx="3315">
                  <c:v>45051</c:v>
                </c:pt>
                <c:pt idx="3316">
                  <c:v>45054</c:v>
                </c:pt>
                <c:pt idx="3317">
                  <c:v>45055</c:v>
                </c:pt>
                <c:pt idx="3318">
                  <c:v>45056</c:v>
                </c:pt>
                <c:pt idx="3319">
                  <c:v>45057</c:v>
                </c:pt>
                <c:pt idx="3320">
                  <c:v>45058</c:v>
                </c:pt>
                <c:pt idx="3321">
                  <c:v>45061</c:v>
                </c:pt>
                <c:pt idx="3322">
                  <c:v>45062</c:v>
                </c:pt>
                <c:pt idx="3323">
                  <c:v>45063</c:v>
                </c:pt>
                <c:pt idx="3324">
                  <c:v>45064</c:v>
                </c:pt>
                <c:pt idx="3325">
                  <c:v>45068</c:v>
                </c:pt>
                <c:pt idx="3326">
                  <c:v>45069</c:v>
                </c:pt>
                <c:pt idx="3327">
                  <c:v>45070</c:v>
                </c:pt>
                <c:pt idx="3328">
                  <c:v>45071</c:v>
                </c:pt>
                <c:pt idx="3329">
                  <c:v>45072</c:v>
                </c:pt>
                <c:pt idx="3330">
                  <c:v>45076</c:v>
                </c:pt>
                <c:pt idx="3331">
                  <c:v>45077</c:v>
                </c:pt>
                <c:pt idx="3332">
                  <c:v>45078</c:v>
                </c:pt>
                <c:pt idx="3333">
                  <c:v>45079</c:v>
                </c:pt>
                <c:pt idx="3334">
                  <c:v>45082</c:v>
                </c:pt>
                <c:pt idx="3335">
                  <c:v>45083</c:v>
                </c:pt>
                <c:pt idx="3336">
                  <c:v>45084</c:v>
                </c:pt>
                <c:pt idx="3337">
                  <c:v>45085</c:v>
                </c:pt>
                <c:pt idx="3338">
                  <c:v>45086</c:v>
                </c:pt>
                <c:pt idx="3339">
                  <c:v>45089</c:v>
                </c:pt>
                <c:pt idx="3340">
                  <c:v>45090</c:v>
                </c:pt>
                <c:pt idx="3341">
                  <c:v>45091</c:v>
                </c:pt>
                <c:pt idx="3342">
                  <c:v>45092</c:v>
                </c:pt>
                <c:pt idx="3343">
                  <c:v>45093</c:v>
                </c:pt>
                <c:pt idx="3344">
                  <c:v>45097</c:v>
                </c:pt>
                <c:pt idx="3345">
                  <c:v>45098</c:v>
                </c:pt>
                <c:pt idx="3346">
                  <c:v>45099</c:v>
                </c:pt>
                <c:pt idx="3347">
                  <c:v>45100</c:v>
                </c:pt>
                <c:pt idx="3348">
                  <c:v>45103</c:v>
                </c:pt>
                <c:pt idx="3349">
                  <c:v>45104</c:v>
                </c:pt>
                <c:pt idx="3350">
                  <c:v>45110</c:v>
                </c:pt>
                <c:pt idx="3351">
                  <c:v>45112</c:v>
                </c:pt>
                <c:pt idx="3352">
                  <c:v>45113</c:v>
                </c:pt>
                <c:pt idx="3353">
                  <c:v>45114</c:v>
                </c:pt>
                <c:pt idx="3354">
                  <c:v>45117</c:v>
                </c:pt>
                <c:pt idx="3355">
                  <c:v>45118</c:v>
                </c:pt>
                <c:pt idx="3356">
                  <c:v>45119</c:v>
                </c:pt>
                <c:pt idx="3357">
                  <c:v>45120</c:v>
                </c:pt>
                <c:pt idx="3358">
                  <c:v>45121</c:v>
                </c:pt>
                <c:pt idx="3359">
                  <c:v>45124</c:v>
                </c:pt>
                <c:pt idx="3360">
                  <c:v>45125</c:v>
                </c:pt>
                <c:pt idx="3361">
                  <c:v>45126</c:v>
                </c:pt>
                <c:pt idx="3362">
                  <c:v>45127</c:v>
                </c:pt>
                <c:pt idx="3363">
                  <c:v>45128</c:v>
                </c:pt>
                <c:pt idx="3364">
                  <c:v>45131</c:v>
                </c:pt>
                <c:pt idx="3365">
                  <c:v>45132</c:v>
                </c:pt>
                <c:pt idx="3366">
                  <c:v>45133</c:v>
                </c:pt>
                <c:pt idx="3367">
                  <c:v>45134</c:v>
                </c:pt>
                <c:pt idx="3368">
                  <c:v>45135</c:v>
                </c:pt>
                <c:pt idx="3369">
                  <c:v>45138</c:v>
                </c:pt>
                <c:pt idx="3370">
                  <c:v>45139</c:v>
                </c:pt>
                <c:pt idx="3371">
                  <c:v>45140</c:v>
                </c:pt>
                <c:pt idx="3372">
                  <c:v>45141</c:v>
                </c:pt>
                <c:pt idx="3373">
                  <c:v>45142</c:v>
                </c:pt>
                <c:pt idx="3374">
                  <c:v>45145</c:v>
                </c:pt>
                <c:pt idx="3375">
                  <c:v>45146</c:v>
                </c:pt>
                <c:pt idx="3376">
                  <c:v>45147</c:v>
                </c:pt>
                <c:pt idx="3377">
                  <c:v>45148</c:v>
                </c:pt>
                <c:pt idx="3378">
                  <c:v>45149</c:v>
                </c:pt>
                <c:pt idx="3379">
                  <c:v>45152</c:v>
                </c:pt>
                <c:pt idx="3380">
                  <c:v>45153</c:v>
                </c:pt>
                <c:pt idx="3381">
                  <c:v>45154</c:v>
                </c:pt>
                <c:pt idx="3382">
                  <c:v>45155</c:v>
                </c:pt>
                <c:pt idx="3383">
                  <c:v>45156</c:v>
                </c:pt>
                <c:pt idx="3384">
                  <c:v>45159</c:v>
                </c:pt>
                <c:pt idx="3385">
                  <c:v>45160</c:v>
                </c:pt>
                <c:pt idx="3386">
                  <c:v>45161</c:v>
                </c:pt>
                <c:pt idx="3387">
                  <c:v>45162</c:v>
                </c:pt>
                <c:pt idx="3388">
                  <c:v>45163</c:v>
                </c:pt>
                <c:pt idx="3389">
                  <c:v>45166</c:v>
                </c:pt>
                <c:pt idx="3390">
                  <c:v>45167</c:v>
                </c:pt>
                <c:pt idx="3391">
                  <c:v>45169</c:v>
                </c:pt>
                <c:pt idx="3392">
                  <c:v>45170</c:v>
                </c:pt>
                <c:pt idx="3393">
                  <c:v>45174</c:v>
                </c:pt>
                <c:pt idx="3394">
                  <c:v>45175</c:v>
                </c:pt>
                <c:pt idx="3395">
                  <c:v>45176</c:v>
                </c:pt>
                <c:pt idx="3396">
                  <c:v>45177</c:v>
                </c:pt>
                <c:pt idx="3397">
                  <c:v>45180</c:v>
                </c:pt>
                <c:pt idx="3398">
                  <c:v>45181</c:v>
                </c:pt>
                <c:pt idx="3399">
                  <c:v>45182</c:v>
                </c:pt>
                <c:pt idx="3400">
                  <c:v>45183</c:v>
                </c:pt>
                <c:pt idx="3401">
                  <c:v>45184</c:v>
                </c:pt>
                <c:pt idx="3402">
                  <c:v>45187</c:v>
                </c:pt>
                <c:pt idx="3403">
                  <c:v>45188</c:v>
                </c:pt>
                <c:pt idx="3404">
                  <c:v>45189</c:v>
                </c:pt>
                <c:pt idx="3405">
                  <c:v>45190</c:v>
                </c:pt>
                <c:pt idx="3406">
                  <c:v>45191</c:v>
                </c:pt>
                <c:pt idx="3407">
                  <c:v>45194</c:v>
                </c:pt>
                <c:pt idx="3408">
                  <c:v>45195</c:v>
                </c:pt>
                <c:pt idx="3409">
                  <c:v>45196</c:v>
                </c:pt>
                <c:pt idx="3410">
                  <c:v>45197</c:v>
                </c:pt>
                <c:pt idx="3411">
                  <c:v>45198</c:v>
                </c:pt>
                <c:pt idx="3412">
                  <c:v>45201</c:v>
                </c:pt>
                <c:pt idx="3413">
                  <c:v>45202</c:v>
                </c:pt>
                <c:pt idx="3414">
                  <c:v>45203</c:v>
                </c:pt>
                <c:pt idx="3415">
                  <c:v>45204</c:v>
                </c:pt>
                <c:pt idx="3416">
                  <c:v>45205</c:v>
                </c:pt>
                <c:pt idx="3417">
                  <c:v>45208</c:v>
                </c:pt>
                <c:pt idx="3418">
                  <c:v>45209</c:v>
                </c:pt>
                <c:pt idx="3419">
                  <c:v>45210</c:v>
                </c:pt>
                <c:pt idx="3420">
                  <c:v>45211</c:v>
                </c:pt>
                <c:pt idx="3421">
                  <c:v>45212</c:v>
                </c:pt>
                <c:pt idx="3422">
                  <c:v>45215</c:v>
                </c:pt>
                <c:pt idx="3423">
                  <c:v>45216</c:v>
                </c:pt>
                <c:pt idx="3424">
                  <c:v>45217</c:v>
                </c:pt>
                <c:pt idx="3425">
                  <c:v>45218</c:v>
                </c:pt>
                <c:pt idx="3426">
                  <c:v>45219</c:v>
                </c:pt>
                <c:pt idx="3427">
                  <c:v>45222</c:v>
                </c:pt>
                <c:pt idx="3428">
                  <c:v>45223</c:v>
                </c:pt>
                <c:pt idx="3429">
                  <c:v>45224</c:v>
                </c:pt>
                <c:pt idx="3430">
                  <c:v>45225</c:v>
                </c:pt>
                <c:pt idx="3431">
                  <c:v>45226</c:v>
                </c:pt>
                <c:pt idx="3432">
                  <c:v>45229</c:v>
                </c:pt>
                <c:pt idx="3433">
                  <c:v>45230</c:v>
                </c:pt>
                <c:pt idx="3434">
                  <c:v>45231</c:v>
                </c:pt>
                <c:pt idx="3435">
                  <c:v>45232</c:v>
                </c:pt>
                <c:pt idx="3436">
                  <c:v>45233</c:v>
                </c:pt>
                <c:pt idx="3437">
                  <c:v>45236</c:v>
                </c:pt>
                <c:pt idx="3438">
                  <c:v>45237</c:v>
                </c:pt>
                <c:pt idx="3439">
                  <c:v>45238</c:v>
                </c:pt>
                <c:pt idx="3440">
                  <c:v>45239</c:v>
                </c:pt>
                <c:pt idx="3441">
                  <c:v>45240</c:v>
                </c:pt>
                <c:pt idx="3442">
                  <c:v>45243</c:v>
                </c:pt>
                <c:pt idx="3443">
                  <c:v>45244</c:v>
                </c:pt>
                <c:pt idx="3444">
                  <c:v>45245</c:v>
                </c:pt>
                <c:pt idx="3445">
                  <c:v>45246</c:v>
                </c:pt>
                <c:pt idx="3446">
                  <c:v>45247</c:v>
                </c:pt>
                <c:pt idx="3447">
                  <c:v>45250</c:v>
                </c:pt>
                <c:pt idx="3448">
                  <c:v>45251</c:v>
                </c:pt>
                <c:pt idx="3449">
                  <c:v>45252</c:v>
                </c:pt>
                <c:pt idx="3450">
                  <c:v>45254</c:v>
                </c:pt>
                <c:pt idx="3451">
                  <c:v>45257</c:v>
                </c:pt>
                <c:pt idx="3452">
                  <c:v>45258</c:v>
                </c:pt>
                <c:pt idx="3453">
                  <c:v>45259</c:v>
                </c:pt>
                <c:pt idx="3454">
                  <c:v>45260</c:v>
                </c:pt>
                <c:pt idx="3455">
                  <c:v>45261</c:v>
                </c:pt>
                <c:pt idx="3456">
                  <c:v>45264</c:v>
                </c:pt>
                <c:pt idx="3457">
                  <c:v>45265</c:v>
                </c:pt>
                <c:pt idx="3458">
                  <c:v>45266</c:v>
                </c:pt>
                <c:pt idx="3459">
                  <c:v>45267</c:v>
                </c:pt>
                <c:pt idx="3460">
                  <c:v>45268</c:v>
                </c:pt>
                <c:pt idx="3461">
                  <c:v>45271</c:v>
                </c:pt>
                <c:pt idx="3462">
                  <c:v>45272</c:v>
                </c:pt>
                <c:pt idx="3463">
                  <c:v>45273</c:v>
                </c:pt>
                <c:pt idx="3464">
                  <c:v>45274</c:v>
                </c:pt>
                <c:pt idx="3465">
                  <c:v>45275</c:v>
                </c:pt>
                <c:pt idx="3466">
                  <c:v>45278</c:v>
                </c:pt>
                <c:pt idx="3467">
                  <c:v>45279</c:v>
                </c:pt>
                <c:pt idx="3468">
                  <c:v>45280</c:v>
                </c:pt>
                <c:pt idx="3469">
                  <c:v>45281</c:v>
                </c:pt>
                <c:pt idx="3470">
                  <c:v>45282</c:v>
                </c:pt>
                <c:pt idx="3471">
                  <c:v>45286</c:v>
                </c:pt>
                <c:pt idx="3472">
                  <c:v>45287</c:v>
                </c:pt>
                <c:pt idx="3473">
                  <c:v>45288</c:v>
                </c:pt>
                <c:pt idx="3474">
                  <c:v>45289</c:v>
                </c:pt>
                <c:pt idx="3475">
                  <c:v>45293</c:v>
                </c:pt>
                <c:pt idx="3476">
                  <c:v>45294</c:v>
                </c:pt>
                <c:pt idx="3477">
                  <c:v>45295</c:v>
                </c:pt>
                <c:pt idx="3478">
                  <c:v>45296</c:v>
                </c:pt>
                <c:pt idx="3479">
                  <c:v>45299</c:v>
                </c:pt>
                <c:pt idx="3480">
                  <c:v>45300</c:v>
                </c:pt>
                <c:pt idx="3481">
                  <c:v>45301</c:v>
                </c:pt>
                <c:pt idx="3482">
                  <c:v>45302</c:v>
                </c:pt>
                <c:pt idx="3483">
                  <c:v>45303</c:v>
                </c:pt>
                <c:pt idx="3484">
                  <c:v>45307</c:v>
                </c:pt>
                <c:pt idx="3485">
                  <c:v>45308</c:v>
                </c:pt>
                <c:pt idx="3486">
                  <c:v>45309</c:v>
                </c:pt>
                <c:pt idx="3487">
                  <c:v>45310</c:v>
                </c:pt>
                <c:pt idx="3488">
                  <c:v>45313</c:v>
                </c:pt>
                <c:pt idx="3489">
                  <c:v>45314</c:v>
                </c:pt>
                <c:pt idx="3490">
                  <c:v>45315</c:v>
                </c:pt>
                <c:pt idx="3491">
                  <c:v>45316</c:v>
                </c:pt>
                <c:pt idx="3492">
                  <c:v>45317</c:v>
                </c:pt>
                <c:pt idx="3493">
                  <c:v>45320</c:v>
                </c:pt>
                <c:pt idx="3494">
                  <c:v>45321</c:v>
                </c:pt>
                <c:pt idx="3495">
                  <c:v>45322</c:v>
                </c:pt>
                <c:pt idx="3496">
                  <c:v>45323</c:v>
                </c:pt>
                <c:pt idx="3497">
                  <c:v>45324</c:v>
                </c:pt>
                <c:pt idx="3498">
                  <c:v>45327</c:v>
                </c:pt>
                <c:pt idx="3499">
                  <c:v>45328</c:v>
                </c:pt>
                <c:pt idx="3500">
                  <c:v>45329</c:v>
                </c:pt>
                <c:pt idx="3501">
                  <c:v>45330</c:v>
                </c:pt>
                <c:pt idx="3502">
                  <c:v>45331</c:v>
                </c:pt>
                <c:pt idx="3503">
                  <c:v>45334</c:v>
                </c:pt>
                <c:pt idx="3504">
                  <c:v>45335</c:v>
                </c:pt>
                <c:pt idx="3505">
                  <c:v>45336</c:v>
                </c:pt>
                <c:pt idx="3506">
                  <c:v>45337</c:v>
                </c:pt>
                <c:pt idx="3507">
                  <c:v>45338</c:v>
                </c:pt>
                <c:pt idx="3508">
                  <c:v>45342</c:v>
                </c:pt>
                <c:pt idx="3509">
                  <c:v>45343</c:v>
                </c:pt>
                <c:pt idx="3510">
                  <c:v>45344</c:v>
                </c:pt>
                <c:pt idx="3511">
                  <c:v>45345</c:v>
                </c:pt>
                <c:pt idx="3512">
                  <c:v>45348</c:v>
                </c:pt>
                <c:pt idx="3513">
                  <c:v>45349</c:v>
                </c:pt>
                <c:pt idx="3514">
                  <c:v>45350</c:v>
                </c:pt>
                <c:pt idx="3515">
                  <c:v>45351</c:v>
                </c:pt>
                <c:pt idx="3516">
                  <c:v>45352</c:v>
                </c:pt>
                <c:pt idx="3517">
                  <c:v>45355</c:v>
                </c:pt>
                <c:pt idx="3518">
                  <c:v>45356</c:v>
                </c:pt>
                <c:pt idx="3519">
                  <c:v>45357</c:v>
                </c:pt>
                <c:pt idx="3520">
                  <c:v>45358</c:v>
                </c:pt>
                <c:pt idx="3521">
                  <c:v>45359</c:v>
                </c:pt>
                <c:pt idx="3522">
                  <c:v>45362</c:v>
                </c:pt>
                <c:pt idx="3523">
                  <c:v>45363</c:v>
                </c:pt>
                <c:pt idx="3524">
                  <c:v>45364</c:v>
                </c:pt>
                <c:pt idx="3525">
                  <c:v>45365</c:v>
                </c:pt>
                <c:pt idx="3526">
                  <c:v>45366</c:v>
                </c:pt>
                <c:pt idx="3527">
                  <c:v>45369</c:v>
                </c:pt>
                <c:pt idx="3528">
                  <c:v>45370</c:v>
                </c:pt>
                <c:pt idx="3529">
                  <c:v>45371</c:v>
                </c:pt>
                <c:pt idx="3530">
                  <c:v>45372</c:v>
                </c:pt>
                <c:pt idx="3531">
                  <c:v>45373</c:v>
                </c:pt>
                <c:pt idx="3532">
                  <c:v>45376</c:v>
                </c:pt>
                <c:pt idx="3533">
                  <c:v>45377</c:v>
                </c:pt>
                <c:pt idx="3534">
                  <c:v>45378</c:v>
                </c:pt>
                <c:pt idx="3535">
                  <c:v>45379</c:v>
                </c:pt>
                <c:pt idx="3536">
                  <c:v>45383</c:v>
                </c:pt>
                <c:pt idx="3537">
                  <c:v>45384</c:v>
                </c:pt>
                <c:pt idx="3538">
                  <c:v>45385</c:v>
                </c:pt>
                <c:pt idx="3539">
                  <c:v>45386</c:v>
                </c:pt>
                <c:pt idx="3540">
                  <c:v>45387</c:v>
                </c:pt>
                <c:pt idx="3541">
                  <c:v>45390</c:v>
                </c:pt>
                <c:pt idx="3542">
                  <c:v>45397</c:v>
                </c:pt>
                <c:pt idx="3543">
                  <c:v>45398</c:v>
                </c:pt>
                <c:pt idx="3544">
                  <c:v>45399</c:v>
                </c:pt>
                <c:pt idx="3545">
                  <c:v>45400</c:v>
                </c:pt>
                <c:pt idx="3546">
                  <c:v>45401</c:v>
                </c:pt>
                <c:pt idx="3547">
                  <c:v>45404</c:v>
                </c:pt>
                <c:pt idx="3548">
                  <c:v>45406</c:v>
                </c:pt>
                <c:pt idx="3549">
                  <c:v>45407</c:v>
                </c:pt>
                <c:pt idx="3550">
                  <c:v>45408</c:v>
                </c:pt>
                <c:pt idx="3551">
                  <c:v>45411</c:v>
                </c:pt>
                <c:pt idx="3552">
                  <c:v>45412</c:v>
                </c:pt>
                <c:pt idx="3553">
                  <c:v>45414</c:v>
                </c:pt>
                <c:pt idx="3554">
                  <c:v>45415</c:v>
                </c:pt>
                <c:pt idx="3555">
                  <c:v>45418</c:v>
                </c:pt>
                <c:pt idx="3556">
                  <c:v>45419</c:v>
                </c:pt>
                <c:pt idx="3557">
                  <c:v>45420</c:v>
                </c:pt>
                <c:pt idx="3558">
                  <c:v>45421</c:v>
                </c:pt>
                <c:pt idx="3559">
                  <c:v>45422</c:v>
                </c:pt>
                <c:pt idx="3560">
                  <c:v>45425</c:v>
                </c:pt>
                <c:pt idx="3561">
                  <c:v>45426</c:v>
                </c:pt>
                <c:pt idx="3562">
                  <c:v>45427</c:v>
                </c:pt>
                <c:pt idx="3563">
                  <c:v>45428</c:v>
                </c:pt>
                <c:pt idx="3564">
                  <c:v>45429</c:v>
                </c:pt>
                <c:pt idx="3565">
                  <c:v>45432</c:v>
                </c:pt>
                <c:pt idx="3566">
                  <c:v>45433</c:v>
                </c:pt>
                <c:pt idx="3567">
                  <c:v>45434</c:v>
                </c:pt>
                <c:pt idx="3568">
                  <c:v>45435</c:v>
                </c:pt>
                <c:pt idx="3569">
                  <c:v>45436</c:v>
                </c:pt>
                <c:pt idx="3570">
                  <c:v>45440</c:v>
                </c:pt>
                <c:pt idx="3571">
                  <c:v>45441</c:v>
                </c:pt>
                <c:pt idx="3572">
                  <c:v>45442</c:v>
                </c:pt>
                <c:pt idx="3573">
                  <c:v>45443</c:v>
                </c:pt>
                <c:pt idx="3574">
                  <c:v>45446</c:v>
                </c:pt>
                <c:pt idx="3575">
                  <c:v>45447</c:v>
                </c:pt>
                <c:pt idx="3576">
                  <c:v>45448</c:v>
                </c:pt>
                <c:pt idx="3577">
                  <c:v>45449</c:v>
                </c:pt>
                <c:pt idx="3578">
                  <c:v>45450</c:v>
                </c:pt>
                <c:pt idx="3579">
                  <c:v>45453</c:v>
                </c:pt>
                <c:pt idx="3580">
                  <c:v>45454</c:v>
                </c:pt>
                <c:pt idx="3581">
                  <c:v>45455</c:v>
                </c:pt>
                <c:pt idx="3582">
                  <c:v>45456</c:v>
                </c:pt>
                <c:pt idx="3583">
                  <c:v>45457</c:v>
                </c:pt>
                <c:pt idx="3584">
                  <c:v>45463</c:v>
                </c:pt>
                <c:pt idx="3585">
                  <c:v>45464</c:v>
                </c:pt>
                <c:pt idx="3586">
                  <c:v>45467</c:v>
                </c:pt>
                <c:pt idx="3587">
                  <c:v>45468</c:v>
                </c:pt>
                <c:pt idx="3588">
                  <c:v>45469</c:v>
                </c:pt>
                <c:pt idx="3589">
                  <c:v>45470</c:v>
                </c:pt>
                <c:pt idx="3590">
                  <c:v>45471</c:v>
                </c:pt>
                <c:pt idx="3591">
                  <c:v>45474</c:v>
                </c:pt>
                <c:pt idx="3592">
                  <c:v>45475</c:v>
                </c:pt>
                <c:pt idx="3593">
                  <c:v>45476</c:v>
                </c:pt>
                <c:pt idx="3594">
                  <c:v>45478</c:v>
                </c:pt>
                <c:pt idx="3595">
                  <c:v>45481</c:v>
                </c:pt>
                <c:pt idx="3596">
                  <c:v>45482</c:v>
                </c:pt>
                <c:pt idx="3597">
                  <c:v>45483</c:v>
                </c:pt>
                <c:pt idx="3598">
                  <c:v>45484</c:v>
                </c:pt>
                <c:pt idx="3599">
                  <c:v>45485</c:v>
                </c:pt>
                <c:pt idx="3600">
                  <c:v>45489</c:v>
                </c:pt>
                <c:pt idx="3601">
                  <c:v>45490</c:v>
                </c:pt>
                <c:pt idx="3602">
                  <c:v>45491</c:v>
                </c:pt>
                <c:pt idx="3603">
                  <c:v>45492</c:v>
                </c:pt>
                <c:pt idx="3604">
                  <c:v>45495</c:v>
                </c:pt>
                <c:pt idx="3605">
                  <c:v>45496</c:v>
                </c:pt>
                <c:pt idx="3606">
                  <c:v>45497</c:v>
                </c:pt>
                <c:pt idx="3607">
                  <c:v>45498</c:v>
                </c:pt>
                <c:pt idx="3608">
                  <c:v>45499</c:v>
                </c:pt>
                <c:pt idx="3609">
                  <c:v>45502</c:v>
                </c:pt>
                <c:pt idx="3610">
                  <c:v>45503</c:v>
                </c:pt>
                <c:pt idx="3611">
                  <c:v>45504</c:v>
                </c:pt>
                <c:pt idx="3612">
                  <c:v>45505</c:v>
                </c:pt>
                <c:pt idx="3613">
                  <c:v>45506</c:v>
                </c:pt>
                <c:pt idx="3614">
                  <c:v>45509</c:v>
                </c:pt>
                <c:pt idx="3615">
                  <c:v>45510</c:v>
                </c:pt>
                <c:pt idx="3616">
                  <c:v>45511</c:v>
                </c:pt>
                <c:pt idx="3617">
                  <c:v>45512</c:v>
                </c:pt>
                <c:pt idx="3618">
                  <c:v>45513</c:v>
                </c:pt>
                <c:pt idx="3619">
                  <c:v>45516</c:v>
                </c:pt>
                <c:pt idx="3620">
                  <c:v>45517</c:v>
                </c:pt>
                <c:pt idx="3621">
                  <c:v>45518</c:v>
                </c:pt>
                <c:pt idx="3622">
                  <c:v>45519</c:v>
                </c:pt>
                <c:pt idx="3623">
                  <c:v>45520</c:v>
                </c:pt>
                <c:pt idx="3624">
                  <c:v>45523</c:v>
                </c:pt>
                <c:pt idx="3625">
                  <c:v>45524</c:v>
                </c:pt>
                <c:pt idx="3626">
                  <c:v>45525</c:v>
                </c:pt>
                <c:pt idx="3627">
                  <c:v>45526</c:v>
                </c:pt>
                <c:pt idx="3628">
                  <c:v>45527</c:v>
                </c:pt>
                <c:pt idx="3629">
                  <c:v>45530</c:v>
                </c:pt>
                <c:pt idx="3630">
                  <c:v>45531</c:v>
                </c:pt>
                <c:pt idx="3631">
                  <c:v>45532</c:v>
                </c:pt>
                <c:pt idx="3632">
                  <c:v>45533</c:v>
                </c:pt>
                <c:pt idx="3633">
                  <c:v>45538</c:v>
                </c:pt>
                <c:pt idx="3634">
                  <c:v>45539</c:v>
                </c:pt>
                <c:pt idx="3635">
                  <c:v>45540</c:v>
                </c:pt>
                <c:pt idx="3636">
                  <c:v>45541</c:v>
                </c:pt>
                <c:pt idx="3637">
                  <c:v>45544</c:v>
                </c:pt>
                <c:pt idx="3638">
                  <c:v>45545</c:v>
                </c:pt>
                <c:pt idx="3639">
                  <c:v>45546</c:v>
                </c:pt>
                <c:pt idx="3640">
                  <c:v>45547</c:v>
                </c:pt>
                <c:pt idx="3641">
                  <c:v>45548</c:v>
                </c:pt>
                <c:pt idx="3642">
                  <c:v>45551</c:v>
                </c:pt>
                <c:pt idx="3643">
                  <c:v>45552</c:v>
                </c:pt>
                <c:pt idx="3644">
                  <c:v>45553</c:v>
                </c:pt>
                <c:pt idx="3645">
                  <c:v>45554</c:v>
                </c:pt>
                <c:pt idx="3646">
                  <c:v>45555</c:v>
                </c:pt>
                <c:pt idx="3647">
                  <c:v>45558</c:v>
                </c:pt>
                <c:pt idx="3648">
                  <c:v>45559</c:v>
                </c:pt>
                <c:pt idx="3649">
                  <c:v>45560</c:v>
                </c:pt>
                <c:pt idx="3650">
                  <c:v>45561</c:v>
                </c:pt>
                <c:pt idx="3651">
                  <c:v>45562</c:v>
                </c:pt>
                <c:pt idx="3652">
                  <c:v>45565</c:v>
                </c:pt>
                <c:pt idx="3653">
                  <c:v>45566</c:v>
                </c:pt>
                <c:pt idx="3654">
                  <c:v>45567</c:v>
                </c:pt>
                <c:pt idx="3655">
                  <c:v>45568</c:v>
                </c:pt>
                <c:pt idx="3656">
                  <c:v>45569</c:v>
                </c:pt>
                <c:pt idx="3657">
                  <c:v>45572</c:v>
                </c:pt>
                <c:pt idx="3658">
                  <c:v>45573</c:v>
                </c:pt>
                <c:pt idx="3659">
                  <c:v>45574</c:v>
                </c:pt>
                <c:pt idx="3660">
                  <c:v>45575</c:v>
                </c:pt>
                <c:pt idx="3661">
                  <c:v>45576</c:v>
                </c:pt>
                <c:pt idx="3662">
                  <c:v>45579</c:v>
                </c:pt>
                <c:pt idx="3663">
                  <c:v>45580</c:v>
                </c:pt>
                <c:pt idx="3664">
                  <c:v>45581</c:v>
                </c:pt>
                <c:pt idx="3665">
                  <c:v>45582</c:v>
                </c:pt>
                <c:pt idx="3666">
                  <c:v>45583</c:v>
                </c:pt>
                <c:pt idx="3667">
                  <c:v>45586</c:v>
                </c:pt>
                <c:pt idx="3668">
                  <c:v>45587</c:v>
                </c:pt>
                <c:pt idx="3669">
                  <c:v>45588</c:v>
                </c:pt>
                <c:pt idx="3670">
                  <c:v>45589</c:v>
                </c:pt>
                <c:pt idx="3671">
                  <c:v>45590</c:v>
                </c:pt>
                <c:pt idx="3672">
                  <c:v>45593</c:v>
                </c:pt>
                <c:pt idx="3673">
                  <c:v>45595</c:v>
                </c:pt>
                <c:pt idx="3674">
                  <c:v>45596</c:v>
                </c:pt>
                <c:pt idx="3675">
                  <c:v>45597</c:v>
                </c:pt>
                <c:pt idx="3676">
                  <c:v>45600</c:v>
                </c:pt>
                <c:pt idx="3677">
                  <c:v>45601</c:v>
                </c:pt>
                <c:pt idx="3678">
                  <c:v>45602</c:v>
                </c:pt>
                <c:pt idx="3679">
                  <c:v>45603</c:v>
                </c:pt>
                <c:pt idx="3680">
                  <c:v>45604</c:v>
                </c:pt>
                <c:pt idx="3681">
                  <c:v>45607</c:v>
                </c:pt>
                <c:pt idx="3682">
                  <c:v>45608</c:v>
                </c:pt>
                <c:pt idx="3683">
                  <c:v>45609</c:v>
                </c:pt>
                <c:pt idx="3684">
                  <c:v>45610</c:v>
                </c:pt>
                <c:pt idx="3685">
                  <c:v>45611</c:v>
                </c:pt>
                <c:pt idx="3686">
                  <c:v>45614</c:v>
                </c:pt>
                <c:pt idx="3687">
                  <c:v>45615</c:v>
                </c:pt>
                <c:pt idx="3688">
                  <c:v>45616</c:v>
                </c:pt>
                <c:pt idx="3689">
                  <c:v>45617</c:v>
                </c:pt>
                <c:pt idx="3690">
                  <c:v>45618</c:v>
                </c:pt>
                <c:pt idx="3691">
                  <c:v>45621</c:v>
                </c:pt>
                <c:pt idx="3692">
                  <c:v>45622</c:v>
                </c:pt>
                <c:pt idx="3693">
                  <c:v>45623</c:v>
                </c:pt>
                <c:pt idx="3694">
                  <c:v>45625</c:v>
                </c:pt>
                <c:pt idx="3695">
                  <c:v>45628</c:v>
                </c:pt>
                <c:pt idx="3696">
                  <c:v>45629</c:v>
                </c:pt>
                <c:pt idx="3697">
                  <c:v>45630</c:v>
                </c:pt>
                <c:pt idx="3698">
                  <c:v>45631</c:v>
                </c:pt>
                <c:pt idx="3699">
                  <c:v>45632</c:v>
                </c:pt>
                <c:pt idx="3700">
                  <c:v>45635</c:v>
                </c:pt>
                <c:pt idx="3701">
                  <c:v>45636</c:v>
                </c:pt>
                <c:pt idx="3702">
                  <c:v>45637</c:v>
                </c:pt>
                <c:pt idx="3703">
                  <c:v>45638</c:v>
                </c:pt>
                <c:pt idx="3704">
                  <c:v>45639</c:v>
                </c:pt>
                <c:pt idx="3705">
                  <c:v>45642</c:v>
                </c:pt>
                <c:pt idx="3706">
                  <c:v>45643</c:v>
                </c:pt>
                <c:pt idx="3707">
                  <c:v>45644</c:v>
                </c:pt>
                <c:pt idx="3708">
                  <c:v>45645</c:v>
                </c:pt>
                <c:pt idx="3709">
                  <c:v>45646</c:v>
                </c:pt>
                <c:pt idx="3710">
                  <c:v>45649</c:v>
                </c:pt>
                <c:pt idx="3711">
                  <c:v>45650</c:v>
                </c:pt>
                <c:pt idx="3712">
                  <c:v>45652</c:v>
                </c:pt>
                <c:pt idx="3713">
                  <c:v>45653</c:v>
                </c:pt>
                <c:pt idx="3714">
                  <c:v>45656</c:v>
                </c:pt>
                <c:pt idx="3715">
                  <c:v>45657</c:v>
                </c:pt>
                <c:pt idx="3716">
                  <c:v>45659</c:v>
                </c:pt>
                <c:pt idx="3717">
                  <c:v>45660</c:v>
                </c:pt>
                <c:pt idx="3718">
                  <c:v>45663</c:v>
                </c:pt>
                <c:pt idx="3719">
                  <c:v>45664</c:v>
                </c:pt>
                <c:pt idx="3720">
                  <c:v>45665</c:v>
                </c:pt>
                <c:pt idx="3721">
                  <c:v>45666</c:v>
                </c:pt>
                <c:pt idx="3722">
                  <c:v>45667</c:v>
                </c:pt>
                <c:pt idx="3723">
                  <c:v>45670</c:v>
                </c:pt>
                <c:pt idx="3724">
                  <c:v>45671</c:v>
                </c:pt>
                <c:pt idx="3725">
                  <c:v>45672</c:v>
                </c:pt>
                <c:pt idx="3726">
                  <c:v>45673</c:v>
                </c:pt>
                <c:pt idx="3727">
                  <c:v>45674</c:v>
                </c:pt>
                <c:pt idx="3728">
                  <c:v>45678</c:v>
                </c:pt>
                <c:pt idx="3729">
                  <c:v>45679</c:v>
                </c:pt>
                <c:pt idx="3730">
                  <c:v>45680</c:v>
                </c:pt>
                <c:pt idx="3731">
                  <c:v>45681</c:v>
                </c:pt>
                <c:pt idx="3732">
                  <c:v>45684</c:v>
                </c:pt>
                <c:pt idx="3733">
                  <c:v>45685</c:v>
                </c:pt>
                <c:pt idx="3734">
                  <c:v>45686</c:v>
                </c:pt>
                <c:pt idx="3735">
                  <c:v>45687</c:v>
                </c:pt>
                <c:pt idx="3736">
                  <c:v>45688</c:v>
                </c:pt>
                <c:pt idx="3737">
                  <c:v>45691</c:v>
                </c:pt>
                <c:pt idx="3738">
                  <c:v>45692</c:v>
                </c:pt>
                <c:pt idx="3739">
                  <c:v>45693</c:v>
                </c:pt>
                <c:pt idx="3740">
                  <c:v>45694</c:v>
                </c:pt>
                <c:pt idx="3741">
                  <c:v>45695</c:v>
                </c:pt>
                <c:pt idx="3742">
                  <c:v>45698</c:v>
                </c:pt>
                <c:pt idx="3743">
                  <c:v>45699</c:v>
                </c:pt>
                <c:pt idx="3744">
                  <c:v>45700</c:v>
                </c:pt>
                <c:pt idx="3745">
                  <c:v>45701</c:v>
                </c:pt>
                <c:pt idx="3746">
                  <c:v>45702</c:v>
                </c:pt>
                <c:pt idx="3747">
                  <c:v>45706</c:v>
                </c:pt>
                <c:pt idx="3748">
                  <c:v>45707</c:v>
                </c:pt>
                <c:pt idx="3749">
                  <c:v>45708</c:v>
                </c:pt>
                <c:pt idx="3750">
                  <c:v>45709</c:v>
                </c:pt>
                <c:pt idx="3751">
                  <c:v>45712</c:v>
                </c:pt>
                <c:pt idx="3752">
                  <c:v>45713</c:v>
                </c:pt>
                <c:pt idx="3753">
                  <c:v>45714</c:v>
                </c:pt>
                <c:pt idx="3754">
                  <c:v>45715</c:v>
                </c:pt>
                <c:pt idx="3755">
                  <c:v>45716</c:v>
                </c:pt>
                <c:pt idx="3756">
                  <c:v>45719</c:v>
                </c:pt>
                <c:pt idx="3757">
                  <c:v>45720</c:v>
                </c:pt>
                <c:pt idx="3758">
                  <c:v>45721</c:v>
                </c:pt>
                <c:pt idx="3759">
                  <c:v>45722</c:v>
                </c:pt>
                <c:pt idx="3760">
                  <c:v>45723</c:v>
                </c:pt>
                <c:pt idx="3761">
                  <c:v>45726</c:v>
                </c:pt>
                <c:pt idx="3762">
                  <c:v>45727</c:v>
                </c:pt>
                <c:pt idx="3763">
                  <c:v>45728</c:v>
                </c:pt>
                <c:pt idx="3764">
                  <c:v>45729</c:v>
                </c:pt>
                <c:pt idx="3765">
                  <c:v>45730</c:v>
                </c:pt>
                <c:pt idx="3766">
                  <c:v>45733</c:v>
                </c:pt>
                <c:pt idx="3767">
                  <c:v>45734</c:v>
                </c:pt>
                <c:pt idx="3768">
                  <c:v>45735</c:v>
                </c:pt>
                <c:pt idx="3769">
                  <c:v>45736</c:v>
                </c:pt>
                <c:pt idx="3770">
                  <c:v>45737</c:v>
                </c:pt>
                <c:pt idx="3771">
                  <c:v>45740</c:v>
                </c:pt>
                <c:pt idx="3772">
                  <c:v>45741</c:v>
                </c:pt>
                <c:pt idx="3773">
                  <c:v>45742</c:v>
                </c:pt>
                <c:pt idx="3774">
                  <c:v>45743</c:v>
                </c:pt>
                <c:pt idx="3775">
                  <c:v>45744</c:v>
                </c:pt>
                <c:pt idx="3776">
                  <c:v>45749</c:v>
                </c:pt>
                <c:pt idx="3777">
                  <c:v>45750</c:v>
                </c:pt>
                <c:pt idx="3778">
                  <c:v>45751</c:v>
                </c:pt>
                <c:pt idx="3779">
                  <c:v>45754</c:v>
                </c:pt>
                <c:pt idx="3780">
                  <c:v>45755</c:v>
                </c:pt>
                <c:pt idx="3781">
                  <c:v>45756</c:v>
                </c:pt>
                <c:pt idx="3782">
                  <c:v>45757</c:v>
                </c:pt>
                <c:pt idx="3783">
                  <c:v>45758</c:v>
                </c:pt>
                <c:pt idx="3784">
                  <c:v>45761</c:v>
                </c:pt>
                <c:pt idx="3785">
                  <c:v>45762</c:v>
                </c:pt>
                <c:pt idx="3786">
                  <c:v>45763</c:v>
                </c:pt>
                <c:pt idx="3787">
                  <c:v>45764</c:v>
                </c:pt>
                <c:pt idx="3788">
                  <c:v>45769</c:v>
                </c:pt>
                <c:pt idx="3789">
                  <c:v>45771</c:v>
                </c:pt>
                <c:pt idx="3790">
                  <c:v>45772</c:v>
                </c:pt>
                <c:pt idx="3791">
                  <c:v>45775</c:v>
                </c:pt>
                <c:pt idx="3792">
                  <c:v>45776</c:v>
                </c:pt>
                <c:pt idx="3793">
                  <c:v>45777</c:v>
                </c:pt>
                <c:pt idx="3794">
                  <c:v>45779</c:v>
                </c:pt>
                <c:pt idx="3795">
                  <c:v>45782</c:v>
                </c:pt>
                <c:pt idx="3796">
                  <c:v>45783</c:v>
                </c:pt>
                <c:pt idx="3797">
                  <c:v>45784</c:v>
                </c:pt>
                <c:pt idx="3798">
                  <c:v>45785</c:v>
                </c:pt>
                <c:pt idx="3799">
                  <c:v>45786</c:v>
                </c:pt>
                <c:pt idx="3800">
                  <c:v>45789</c:v>
                </c:pt>
                <c:pt idx="3801">
                  <c:v>45790</c:v>
                </c:pt>
                <c:pt idx="3802">
                  <c:v>45791</c:v>
                </c:pt>
                <c:pt idx="3803">
                  <c:v>45792</c:v>
                </c:pt>
                <c:pt idx="3804">
                  <c:v>45793</c:v>
                </c:pt>
                <c:pt idx="3805">
                  <c:v>45797</c:v>
                </c:pt>
                <c:pt idx="3806">
                  <c:v>45798</c:v>
                </c:pt>
                <c:pt idx="3807">
                  <c:v>45799</c:v>
                </c:pt>
                <c:pt idx="3808">
                  <c:v>45800</c:v>
                </c:pt>
                <c:pt idx="3809">
                  <c:v>45804</c:v>
                </c:pt>
                <c:pt idx="3810">
                  <c:v>45805</c:v>
                </c:pt>
                <c:pt idx="3811">
                  <c:v>45806</c:v>
                </c:pt>
                <c:pt idx="3812">
                  <c:v>45807</c:v>
                </c:pt>
                <c:pt idx="3813">
                  <c:v>45810</c:v>
                </c:pt>
                <c:pt idx="3814">
                  <c:v>45811</c:v>
                </c:pt>
                <c:pt idx="3815">
                  <c:v>45812</c:v>
                </c:pt>
                <c:pt idx="3816">
                  <c:v>45813</c:v>
                </c:pt>
                <c:pt idx="3817">
                  <c:v>45818</c:v>
                </c:pt>
                <c:pt idx="3818">
                  <c:v>45819</c:v>
                </c:pt>
                <c:pt idx="3819">
                  <c:v>45820</c:v>
                </c:pt>
                <c:pt idx="3820">
                  <c:v>45821</c:v>
                </c:pt>
                <c:pt idx="3821">
                  <c:v>45824</c:v>
                </c:pt>
                <c:pt idx="3822">
                  <c:v>45825</c:v>
                </c:pt>
                <c:pt idx="3823">
                  <c:v>45826</c:v>
                </c:pt>
                <c:pt idx="3824">
                  <c:v>45828</c:v>
                </c:pt>
                <c:pt idx="3825">
                  <c:v>45831</c:v>
                </c:pt>
                <c:pt idx="3826">
                  <c:v>45832</c:v>
                </c:pt>
                <c:pt idx="3827">
                  <c:v>45833</c:v>
                </c:pt>
                <c:pt idx="3828">
                  <c:v>45834</c:v>
                </c:pt>
                <c:pt idx="3829">
                  <c:v>45835</c:v>
                </c:pt>
                <c:pt idx="3830">
                  <c:v>45838</c:v>
                </c:pt>
                <c:pt idx="3831">
                  <c:v>45839</c:v>
                </c:pt>
                <c:pt idx="3832">
                  <c:v>45840</c:v>
                </c:pt>
                <c:pt idx="3833">
                  <c:v>45841</c:v>
                </c:pt>
                <c:pt idx="3834">
                  <c:v>45842</c:v>
                </c:pt>
                <c:pt idx="3835">
                  <c:v>45845</c:v>
                </c:pt>
                <c:pt idx="3836">
                  <c:v>45846</c:v>
                </c:pt>
                <c:pt idx="3837">
                  <c:v>45847</c:v>
                </c:pt>
                <c:pt idx="3838">
                  <c:v>45848</c:v>
                </c:pt>
                <c:pt idx="3839">
                  <c:v>45849</c:v>
                </c:pt>
                <c:pt idx="3840">
                  <c:v>45852</c:v>
                </c:pt>
                <c:pt idx="3841">
                  <c:v>45854</c:v>
                </c:pt>
                <c:pt idx="3842">
                  <c:v>45855</c:v>
                </c:pt>
                <c:pt idx="3843">
                  <c:v>45856</c:v>
                </c:pt>
                <c:pt idx="3844">
                  <c:v>45859</c:v>
                </c:pt>
                <c:pt idx="3845">
                  <c:v>45860</c:v>
                </c:pt>
                <c:pt idx="3846">
                  <c:v>45861</c:v>
                </c:pt>
                <c:pt idx="3847">
                  <c:v>45862</c:v>
                </c:pt>
                <c:pt idx="3848">
                  <c:v>45863</c:v>
                </c:pt>
                <c:pt idx="3849">
                  <c:v>45866</c:v>
                </c:pt>
                <c:pt idx="3850">
                  <c:v>45867</c:v>
                </c:pt>
                <c:pt idx="3851">
                  <c:v>45868</c:v>
                </c:pt>
                <c:pt idx="3852">
                  <c:v>45869</c:v>
                </c:pt>
                <c:pt idx="3853">
                  <c:v>45870</c:v>
                </c:pt>
                <c:pt idx="3854">
                  <c:v>45873</c:v>
                </c:pt>
                <c:pt idx="3855">
                  <c:v>45874</c:v>
                </c:pt>
                <c:pt idx="3856">
                  <c:v>45875</c:v>
                </c:pt>
                <c:pt idx="3857">
                  <c:v>45876</c:v>
                </c:pt>
                <c:pt idx="3858">
                  <c:v>45877</c:v>
                </c:pt>
                <c:pt idx="3859">
                  <c:v>45880</c:v>
                </c:pt>
                <c:pt idx="3860">
                  <c:v>45881</c:v>
                </c:pt>
                <c:pt idx="3861">
                  <c:v>45882</c:v>
                </c:pt>
                <c:pt idx="3862">
                  <c:v>45883</c:v>
                </c:pt>
                <c:pt idx="3863">
                  <c:v>45884</c:v>
                </c:pt>
                <c:pt idx="3864">
                  <c:v>45887</c:v>
                </c:pt>
                <c:pt idx="3865">
                  <c:v>45888</c:v>
                </c:pt>
                <c:pt idx="3866">
                  <c:v>45889</c:v>
                </c:pt>
                <c:pt idx="3867">
                  <c:v>45890</c:v>
                </c:pt>
                <c:pt idx="3868">
                  <c:v>45891</c:v>
                </c:pt>
                <c:pt idx="3869">
                  <c:v>45894</c:v>
                </c:pt>
                <c:pt idx="3870">
                  <c:v>45895</c:v>
                </c:pt>
                <c:pt idx="3871">
                  <c:v>45896</c:v>
                </c:pt>
                <c:pt idx="3872">
                  <c:v>45897</c:v>
                </c:pt>
                <c:pt idx="3873">
                  <c:v>45898</c:v>
                </c:pt>
                <c:pt idx="3874">
                  <c:v>45902</c:v>
                </c:pt>
                <c:pt idx="3875">
                  <c:v>45903</c:v>
                </c:pt>
                <c:pt idx="3876">
                  <c:v>45904</c:v>
                </c:pt>
                <c:pt idx="3877">
                  <c:v>45905</c:v>
                </c:pt>
                <c:pt idx="3878">
                  <c:v>45908</c:v>
                </c:pt>
                <c:pt idx="3879">
                  <c:v>45909</c:v>
                </c:pt>
                <c:pt idx="3880">
                  <c:v>45910</c:v>
                </c:pt>
                <c:pt idx="3881">
                  <c:v>45911</c:v>
                </c:pt>
                <c:pt idx="3882">
                  <c:v>45912</c:v>
                </c:pt>
                <c:pt idx="3883">
                  <c:v>45915</c:v>
                </c:pt>
                <c:pt idx="3884">
                  <c:v>45916</c:v>
                </c:pt>
                <c:pt idx="3885">
                  <c:v>45917</c:v>
                </c:pt>
                <c:pt idx="3886">
                  <c:v>45918</c:v>
                </c:pt>
                <c:pt idx="3887">
                  <c:v>45919</c:v>
                </c:pt>
                <c:pt idx="3888">
                  <c:v>45922</c:v>
                </c:pt>
                <c:pt idx="3889">
                  <c:v>45923</c:v>
                </c:pt>
                <c:pt idx="3890">
                  <c:v>45924</c:v>
                </c:pt>
                <c:pt idx="3891">
                  <c:v>45925</c:v>
                </c:pt>
                <c:pt idx="3892">
                  <c:v>45926</c:v>
                </c:pt>
                <c:pt idx="3893">
                  <c:v>45929</c:v>
                </c:pt>
                <c:pt idx="3894">
                  <c:v>45930</c:v>
                </c:pt>
                <c:pt idx="3895">
                  <c:v>45931</c:v>
                </c:pt>
                <c:pt idx="3896">
                  <c:v>45932</c:v>
                </c:pt>
                <c:pt idx="3897">
                  <c:v>45933</c:v>
                </c:pt>
                <c:pt idx="3898">
                  <c:v>45936</c:v>
                </c:pt>
                <c:pt idx="3899">
                  <c:v>45937</c:v>
                </c:pt>
                <c:pt idx="3900">
                  <c:v>45938</c:v>
                </c:pt>
                <c:pt idx="3901">
                  <c:v>45939</c:v>
                </c:pt>
                <c:pt idx="3902">
                  <c:v>45940</c:v>
                </c:pt>
                <c:pt idx="3903">
                  <c:v>45943</c:v>
                </c:pt>
                <c:pt idx="3904">
                  <c:v>45944</c:v>
                </c:pt>
                <c:pt idx="3905">
                  <c:v>45945</c:v>
                </c:pt>
                <c:pt idx="3906">
                  <c:v>45946</c:v>
                </c:pt>
                <c:pt idx="3907">
                  <c:v>45947</c:v>
                </c:pt>
                <c:pt idx="3908">
                  <c:v>45950</c:v>
                </c:pt>
                <c:pt idx="3909">
                  <c:v>45951</c:v>
                </c:pt>
                <c:pt idx="3910">
                  <c:v>45952</c:v>
                </c:pt>
                <c:pt idx="3911">
                  <c:v>45953</c:v>
                </c:pt>
                <c:pt idx="3912">
                  <c:v>45954</c:v>
                </c:pt>
                <c:pt idx="3913">
                  <c:v>45957</c:v>
                </c:pt>
                <c:pt idx="3914">
                  <c:v>45958</c:v>
                </c:pt>
                <c:pt idx="3915">
                  <c:v>45960</c:v>
                </c:pt>
                <c:pt idx="3916">
                  <c:v>45961</c:v>
                </c:pt>
                <c:pt idx="3917">
                  <c:v>45964</c:v>
                </c:pt>
                <c:pt idx="3918">
                  <c:v>45965</c:v>
                </c:pt>
                <c:pt idx="3919">
                  <c:v>45966</c:v>
                </c:pt>
                <c:pt idx="3920">
                  <c:v>45967</c:v>
                </c:pt>
                <c:pt idx="3921">
                  <c:v>45968</c:v>
                </c:pt>
                <c:pt idx="3922">
                  <c:v>45971</c:v>
                </c:pt>
                <c:pt idx="3923">
                  <c:v>45972</c:v>
                </c:pt>
                <c:pt idx="3924">
                  <c:v>45973</c:v>
                </c:pt>
                <c:pt idx="3925">
                  <c:v>45974</c:v>
                </c:pt>
                <c:pt idx="3926">
                  <c:v>45975</c:v>
                </c:pt>
                <c:pt idx="3927">
                  <c:v>45978</c:v>
                </c:pt>
                <c:pt idx="3928">
                  <c:v>45979</c:v>
                </c:pt>
                <c:pt idx="3929">
                  <c:v>45980</c:v>
                </c:pt>
                <c:pt idx="3930">
                  <c:v>45981</c:v>
                </c:pt>
                <c:pt idx="3931">
                  <c:v>45982</c:v>
                </c:pt>
                <c:pt idx="3932">
                  <c:v>45985</c:v>
                </c:pt>
                <c:pt idx="3933">
                  <c:v>45986</c:v>
                </c:pt>
                <c:pt idx="3934">
                  <c:v>45987</c:v>
                </c:pt>
                <c:pt idx="3935">
                  <c:v>45989</c:v>
                </c:pt>
                <c:pt idx="3936">
                  <c:v>45992</c:v>
                </c:pt>
                <c:pt idx="3937">
                  <c:v>45993</c:v>
                </c:pt>
                <c:pt idx="3938">
                  <c:v>45994</c:v>
                </c:pt>
                <c:pt idx="3939">
                  <c:v>45995</c:v>
                </c:pt>
                <c:pt idx="3940">
                  <c:v>45996</c:v>
                </c:pt>
                <c:pt idx="3941">
                  <c:v>45999</c:v>
                </c:pt>
                <c:pt idx="3942">
                  <c:v>46000</c:v>
                </c:pt>
                <c:pt idx="3943">
                  <c:v>46001</c:v>
                </c:pt>
                <c:pt idx="3944">
                  <c:v>46002</c:v>
                </c:pt>
                <c:pt idx="3945">
                  <c:v>46003</c:v>
                </c:pt>
                <c:pt idx="3946">
                  <c:v>46006</c:v>
                </c:pt>
                <c:pt idx="3947">
                  <c:v>46007</c:v>
                </c:pt>
                <c:pt idx="3948">
                  <c:v>46008</c:v>
                </c:pt>
                <c:pt idx="3949">
                  <c:v>46009</c:v>
                </c:pt>
                <c:pt idx="3950">
                  <c:v>46010</c:v>
                </c:pt>
                <c:pt idx="3951">
                  <c:v>46013</c:v>
                </c:pt>
                <c:pt idx="3952">
                  <c:v>46014</c:v>
                </c:pt>
                <c:pt idx="3953">
                  <c:v>46015</c:v>
                </c:pt>
                <c:pt idx="3954">
                  <c:v>46017</c:v>
                </c:pt>
                <c:pt idx="3955">
                  <c:v>46020</c:v>
                </c:pt>
                <c:pt idx="3956">
                  <c:v>46021</c:v>
                </c:pt>
                <c:pt idx="3957">
                  <c:v>46022</c:v>
                </c:pt>
                <c:pt idx="3958">
                  <c:v>46024</c:v>
                </c:pt>
                <c:pt idx="3959">
                  <c:v>46027</c:v>
                </c:pt>
                <c:pt idx="3960">
                  <c:v>46028</c:v>
                </c:pt>
                <c:pt idx="3961">
                  <c:v>46029</c:v>
                </c:pt>
                <c:pt idx="3962">
                  <c:v>46030</c:v>
                </c:pt>
                <c:pt idx="3963">
                  <c:v>46031</c:v>
                </c:pt>
                <c:pt idx="3964">
                  <c:v>46034</c:v>
                </c:pt>
                <c:pt idx="3965">
                  <c:v>46035</c:v>
                </c:pt>
                <c:pt idx="3966">
                  <c:v>46036</c:v>
                </c:pt>
                <c:pt idx="3967">
                  <c:v>46037</c:v>
                </c:pt>
                <c:pt idx="3968">
                  <c:v>46038</c:v>
                </c:pt>
                <c:pt idx="3969">
                  <c:v>46042</c:v>
                </c:pt>
                <c:pt idx="3970">
                  <c:v>46043</c:v>
                </c:pt>
                <c:pt idx="3971">
                  <c:v>46044</c:v>
                </c:pt>
                <c:pt idx="3972">
                  <c:v>46045</c:v>
                </c:pt>
                <c:pt idx="3973">
                  <c:v>46048</c:v>
                </c:pt>
                <c:pt idx="3974">
                  <c:v>46049</c:v>
                </c:pt>
                <c:pt idx="3975">
                  <c:v>46050</c:v>
                </c:pt>
                <c:pt idx="3976">
                  <c:v>46051</c:v>
                </c:pt>
                <c:pt idx="3977">
                  <c:v>46052</c:v>
                </c:pt>
                <c:pt idx="3978">
                  <c:v>46055</c:v>
                </c:pt>
                <c:pt idx="3979">
                  <c:v>46056</c:v>
                </c:pt>
                <c:pt idx="3980">
                  <c:v>46057</c:v>
                </c:pt>
                <c:pt idx="3981">
                  <c:v>46058</c:v>
                </c:pt>
                <c:pt idx="3982">
                  <c:v>46059</c:v>
                </c:pt>
                <c:pt idx="3983">
                  <c:v>46062</c:v>
                </c:pt>
                <c:pt idx="3984">
                  <c:v>46063</c:v>
                </c:pt>
                <c:pt idx="3985">
                  <c:v>46064</c:v>
                </c:pt>
                <c:pt idx="3986">
                  <c:v>46065</c:v>
                </c:pt>
                <c:pt idx="3987">
                  <c:v>46066</c:v>
                </c:pt>
                <c:pt idx="3988">
                  <c:v>46070</c:v>
                </c:pt>
                <c:pt idx="3989">
                  <c:v>46071</c:v>
                </c:pt>
                <c:pt idx="3990">
                  <c:v>46072</c:v>
                </c:pt>
                <c:pt idx="3991">
                  <c:v>46073</c:v>
                </c:pt>
                <c:pt idx="3992">
                  <c:v>46076</c:v>
                </c:pt>
                <c:pt idx="3993">
                  <c:v>46077</c:v>
                </c:pt>
                <c:pt idx="3994">
                  <c:v>46078</c:v>
                </c:pt>
                <c:pt idx="3995">
                  <c:v>46079</c:v>
                </c:pt>
                <c:pt idx="3996">
                  <c:v>46080</c:v>
                </c:pt>
                <c:pt idx="3997">
                  <c:v>46083</c:v>
                </c:pt>
                <c:pt idx="3998">
                  <c:v>46084</c:v>
                </c:pt>
                <c:pt idx="3999">
                  <c:v>46085</c:v>
                </c:pt>
                <c:pt idx="4000">
                  <c:v>46086</c:v>
                </c:pt>
                <c:pt idx="4001">
                  <c:v>46087</c:v>
                </c:pt>
                <c:pt idx="4002">
                  <c:v>46090</c:v>
                </c:pt>
                <c:pt idx="4003">
                  <c:v>46091</c:v>
                </c:pt>
                <c:pt idx="4004">
                  <c:v>46092</c:v>
                </c:pt>
                <c:pt idx="4005">
                  <c:v>46093</c:v>
                </c:pt>
                <c:pt idx="4006">
                  <c:v>46094</c:v>
                </c:pt>
                <c:pt idx="4007">
                  <c:v>46097</c:v>
                </c:pt>
                <c:pt idx="4008">
                  <c:v>46098</c:v>
                </c:pt>
                <c:pt idx="4009">
                  <c:v>46099</c:v>
                </c:pt>
                <c:pt idx="4010">
                  <c:v>46100</c:v>
                </c:pt>
                <c:pt idx="4011">
                  <c:v>46104</c:v>
                </c:pt>
                <c:pt idx="4012">
                  <c:v>46105</c:v>
                </c:pt>
                <c:pt idx="4013">
                  <c:v>46106</c:v>
                </c:pt>
                <c:pt idx="4014">
                  <c:v>46107</c:v>
                </c:pt>
                <c:pt idx="4015">
                  <c:v>46108</c:v>
                </c:pt>
                <c:pt idx="4016">
                  <c:v>46111</c:v>
                </c:pt>
                <c:pt idx="4017">
                  <c:v>46112</c:v>
                </c:pt>
                <c:pt idx="4018">
                  <c:v>46113</c:v>
                </c:pt>
                <c:pt idx="4019">
                  <c:v>46114</c:v>
                </c:pt>
                <c:pt idx="4020">
                  <c:v>46118</c:v>
                </c:pt>
                <c:pt idx="4021">
                  <c:v>46119</c:v>
                </c:pt>
                <c:pt idx="4022">
                  <c:v>46120</c:v>
                </c:pt>
                <c:pt idx="4023">
                  <c:v>46121</c:v>
                </c:pt>
                <c:pt idx="4024">
                  <c:v>46122</c:v>
                </c:pt>
                <c:pt idx="4025">
                  <c:v>46125</c:v>
                </c:pt>
                <c:pt idx="4026">
                  <c:v>46126</c:v>
                </c:pt>
                <c:pt idx="4027">
                  <c:v>46127</c:v>
                </c:pt>
                <c:pt idx="4028">
                  <c:v>46128</c:v>
                </c:pt>
                <c:pt idx="4029">
                  <c:v>46129</c:v>
                </c:pt>
                <c:pt idx="4030">
                  <c:v>46132</c:v>
                </c:pt>
                <c:pt idx="4031">
                  <c:v>46133</c:v>
                </c:pt>
                <c:pt idx="4032">
                  <c:v>46134</c:v>
                </c:pt>
                <c:pt idx="4033">
                  <c:v>46136</c:v>
                </c:pt>
                <c:pt idx="4034">
                  <c:v>46139</c:v>
                </c:pt>
                <c:pt idx="4035">
                  <c:v>46140</c:v>
                </c:pt>
                <c:pt idx="4036">
                  <c:v>46141</c:v>
                </c:pt>
                <c:pt idx="4037">
                  <c:v>46142</c:v>
                </c:pt>
                <c:pt idx="4038">
                  <c:v>46146</c:v>
                </c:pt>
                <c:pt idx="4039">
                  <c:v>46147</c:v>
                </c:pt>
                <c:pt idx="4040">
                  <c:v>46148</c:v>
                </c:pt>
                <c:pt idx="4041">
                  <c:v>46149</c:v>
                </c:pt>
                <c:pt idx="4042">
                  <c:v>46150</c:v>
                </c:pt>
                <c:pt idx="4043">
                  <c:v>46153</c:v>
                </c:pt>
                <c:pt idx="4044">
                  <c:v>46154</c:v>
                </c:pt>
                <c:pt idx="4045">
                  <c:v>46155</c:v>
                </c:pt>
                <c:pt idx="4046">
                  <c:v>46156</c:v>
                </c:pt>
                <c:pt idx="4047">
                  <c:v>46157</c:v>
                </c:pt>
                <c:pt idx="4048">
                  <c:v>46160</c:v>
                </c:pt>
                <c:pt idx="4049">
                  <c:v>46162</c:v>
                </c:pt>
                <c:pt idx="4050">
                  <c:v>46163</c:v>
                </c:pt>
                <c:pt idx="4051">
                  <c:v>46164</c:v>
                </c:pt>
                <c:pt idx="4052">
                  <c:v>46168</c:v>
                </c:pt>
                <c:pt idx="4053">
                  <c:v>46169</c:v>
                </c:pt>
                <c:pt idx="4054">
                  <c:v>46170</c:v>
                </c:pt>
                <c:pt idx="4055">
                  <c:v>46171</c:v>
                </c:pt>
                <c:pt idx="4056">
                  <c:v>46174</c:v>
                </c:pt>
                <c:pt idx="4057">
                  <c:v>46175</c:v>
                </c:pt>
                <c:pt idx="4058">
                  <c:v>46176</c:v>
                </c:pt>
                <c:pt idx="4059">
                  <c:v>46177</c:v>
                </c:pt>
                <c:pt idx="4060">
                  <c:v>46178</c:v>
                </c:pt>
                <c:pt idx="4061">
                  <c:v>46181</c:v>
                </c:pt>
                <c:pt idx="4062">
                  <c:v>46182</c:v>
                </c:pt>
                <c:pt idx="4063">
                  <c:v>46183</c:v>
                </c:pt>
                <c:pt idx="4064">
                  <c:v>46184</c:v>
                </c:pt>
                <c:pt idx="4065">
                  <c:v>46185</c:v>
                </c:pt>
                <c:pt idx="4066">
                  <c:v>46188</c:v>
                </c:pt>
                <c:pt idx="4067">
                  <c:v>46189</c:v>
                </c:pt>
                <c:pt idx="4068">
                  <c:v>46190</c:v>
                </c:pt>
                <c:pt idx="4069">
                  <c:v>46191</c:v>
                </c:pt>
                <c:pt idx="4070">
                  <c:v>46195</c:v>
                </c:pt>
                <c:pt idx="4071">
                  <c:v>46196</c:v>
                </c:pt>
                <c:pt idx="4072">
                  <c:v>46197</c:v>
                </c:pt>
                <c:pt idx="4073">
                  <c:v>46198</c:v>
                </c:pt>
                <c:pt idx="4074">
                  <c:v>46199</c:v>
                </c:pt>
                <c:pt idx="4075">
                  <c:v>46202</c:v>
                </c:pt>
                <c:pt idx="4076">
                  <c:v>46203</c:v>
                </c:pt>
                <c:pt idx="4077">
                  <c:v>46204</c:v>
                </c:pt>
                <c:pt idx="4078">
                  <c:v>46205</c:v>
                </c:pt>
                <c:pt idx="4079">
                  <c:v>46209</c:v>
                </c:pt>
                <c:pt idx="4080">
                  <c:v>46210</c:v>
                </c:pt>
                <c:pt idx="4081">
                  <c:v>46211</c:v>
                </c:pt>
                <c:pt idx="4082">
                  <c:v>46212</c:v>
                </c:pt>
                <c:pt idx="4083">
                  <c:v>46213</c:v>
                </c:pt>
                <c:pt idx="4084">
                  <c:v>46216</c:v>
                </c:pt>
                <c:pt idx="4085">
                  <c:v>46217</c:v>
                </c:pt>
                <c:pt idx="4086">
                  <c:v>46219</c:v>
                </c:pt>
                <c:pt idx="4087">
                  <c:v>46220</c:v>
                </c:pt>
                <c:pt idx="4088">
                  <c:v>46223</c:v>
                </c:pt>
                <c:pt idx="4089">
                  <c:v>46224</c:v>
                </c:pt>
                <c:pt idx="4090">
                  <c:v>46225</c:v>
                </c:pt>
                <c:pt idx="4091">
                  <c:v>46226</c:v>
                </c:pt>
                <c:pt idx="4092">
                  <c:v>46227</c:v>
                </c:pt>
                <c:pt idx="4093">
                  <c:v>46230</c:v>
                </c:pt>
                <c:pt idx="4094">
                  <c:v>46231</c:v>
                </c:pt>
                <c:pt idx="4095">
                  <c:v>46232</c:v>
                </c:pt>
                <c:pt idx="4096">
                  <c:v>46233</c:v>
                </c:pt>
                <c:pt idx="4097">
                  <c:v>46234</c:v>
                </c:pt>
                <c:pt idx="4098">
                  <c:v>46237</c:v>
                </c:pt>
                <c:pt idx="4099">
                  <c:v>46238</c:v>
                </c:pt>
                <c:pt idx="4100">
                  <c:v>46239</c:v>
                </c:pt>
                <c:pt idx="4101">
                  <c:v>46240</c:v>
                </c:pt>
                <c:pt idx="4102">
                  <c:v>46241</c:v>
                </c:pt>
                <c:pt idx="4103">
                  <c:v>46244</c:v>
                </c:pt>
                <c:pt idx="4104">
                  <c:v>46245</c:v>
                </c:pt>
                <c:pt idx="4105">
                  <c:v>46246</c:v>
                </c:pt>
                <c:pt idx="4106">
                  <c:v>46247</c:v>
                </c:pt>
                <c:pt idx="4107">
                  <c:v>46248</c:v>
                </c:pt>
                <c:pt idx="4108">
                  <c:v>46251</c:v>
                </c:pt>
                <c:pt idx="4109">
                  <c:v>46252</c:v>
                </c:pt>
                <c:pt idx="4110">
                  <c:v>46253</c:v>
                </c:pt>
                <c:pt idx="4111">
                  <c:v>46254</c:v>
                </c:pt>
                <c:pt idx="4112">
                  <c:v>46255</c:v>
                </c:pt>
                <c:pt idx="4113">
                  <c:v>46258</c:v>
                </c:pt>
                <c:pt idx="4114">
                  <c:v>46259</c:v>
                </c:pt>
                <c:pt idx="4115">
                  <c:v>46260</c:v>
                </c:pt>
                <c:pt idx="4116">
                  <c:v>46261</c:v>
                </c:pt>
                <c:pt idx="4117">
                  <c:v>46262</c:v>
                </c:pt>
                <c:pt idx="4118">
                  <c:v>46265</c:v>
                </c:pt>
                <c:pt idx="4119">
                  <c:v>46266</c:v>
                </c:pt>
                <c:pt idx="4120">
                  <c:v>46267</c:v>
                </c:pt>
                <c:pt idx="4121">
                  <c:v>46268</c:v>
                </c:pt>
              </c:numCache>
            </c:numRef>
          </c:xVal>
          <c:yVal>
            <c:numRef>
              <c:f>Sheet2!$E$2:$E$4123</c:f>
              <c:numCache>
                <c:formatCode>General</c:formatCode>
                <c:ptCount val="4122"/>
                <c:pt idx="0">
                  <c:v>68.8703</c:v>
                </c:pt>
                <c:pt idx="1">
                  <c:v>68.864400000000003</c:v>
                </c:pt>
                <c:pt idx="2">
                  <c:v>67.255200000000002</c:v>
                </c:pt>
                <c:pt idx="3">
                  <c:v>66.234099999999998</c:v>
                </c:pt>
                <c:pt idx="4">
                  <c:v>65.359499999999997</c:v>
                </c:pt>
                <c:pt idx="5">
                  <c:v>64.997200000000007</c:v>
                </c:pt>
                <c:pt idx="6">
                  <c:v>64.900099999999995</c:v>
                </c:pt>
                <c:pt idx="7">
                  <c:v>66.947100000000006</c:v>
                </c:pt>
                <c:pt idx="8">
                  <c:v>67.619100000000003</c:v>
                </c:pt>
                <c:pt idx="9">
                  <c:v>67.116900000000001</c:v>
                </c:pt>
                <c:pt idx="10">
                  <c:v>66.574399999999997</c:v>
                </c:pt>
                <c:pt idx="11">
                  <c:v>67.431399999999996</c:v>
                </c:pt>
                <c:pt idx="12">
                  <c:v>66.196899999999999</c:v>
                </c:pt>
                <c:pt idx="13">
                  <c:v>65.683899999999994</c:v>
                </c:pt>
                <c:pt idx="14">
                  <c:v>65.429599999999994</c:v>
                </c:pt>
                <c:pt idx="15">
                  <c:v>66.897099999999995</c:v>
                </c:pt>
                <c:pt idx="16">
                  <c:v>66.743600000000001</c:v>
                </c:pt>
                <c:pt idx="17">
                  <c:v>66.868700000000004</c:v>
                </c:pt>
                <c:pt idx="18">
                  <c:v>66.328500000000005</c:v>
                </c:pt>
                <c:pt idx="19">
                  <c:v>67.466300000000004</c:v>
                </c:pt>
                <c:pt idx="20">
                  <c:v>65.295299999999997</c:v>
                </c:pt>
                <c:pt idx="21">
                  <c:v>66.009200000000007</c:v>
                </c:pt>
                <c:pt idx="22">
                  <c:v>67.736999999999995</c:v>
                </c:pt>
                <c:pt idx="23">
                  <c:v>64.408699999999996</c:v>
                </c:pt>
                <c:pt idx="24">
                  <c:v>60.7834</c:v>
                </c:pt>
                <c:pt idx="25">
                  <c:v>61.9846</c:v>
                </c:pt>
                <c:pt idx="26">
                  <c:v>61.700800000000001</c:v>
                </c:pt>
                <c:pt idx="27">
                  <c:v>62.0246</c:v>
                </c:pt>
                <c:pt idx="28">
                  <c:v>60.9651</c:v>
                </c:pt>
                <c:pt idx="29">
                  <c:v>63.2042</c:v>
                </c:pt>
                <c:pt idx="30">
                  <c:v>62.937899999999999</c:v>
                </c:pt>
                <c:pt idx="31">
                  <c:v>61.287500000000001</c:v>
                </c:pt>
                <c:pt idx="32">
                  <c:v>64.009</c:v>
                </c:pt>
                <c:pt idx="33">
                  <c:v>62.603299999999997</c:v>
                </c:pt>
                <c:pt idx="34">
                  <c:v>61.128100000000003</c:v>
                </c:pt>
                <c:pt idx="35">
                  <c:v>58.128999999999998</c:v>
                </c:pt>
                <c:pt idx="36">
                  <c:v>55.256100000000004</c:v>
                </c:pt>
                <c:pt idx="37">
                  <c:v>55.200499999999998</c:v>
                </c:pt>
                <c:pt idx="38">
                  <c:v>58.130200000000002</c:v>
                </c:pt>
                <c:pt idx="39">
                  <c:v>58.238500000000002</c:v>
                </c:pt>
                <c:pt idx="40">
                  <c:v>58.391199999999998</c:v>
                </c:pt>
                <c:pt idx="41">
                  <c:v>58.945300000000003</c:v>
                </c:pt>
                <c:pt idx="42">
                  <c:v>60.501600000000003</c:v>
                </c:pt>
                <c:pt idx="43">
                  <c:v>61.9176</c:v>
                </c:pt>
                <c:pt idx="44">
                  <c:v>61.3476</c:v>
                </c:pt>
                <c:pt idx="45">
                  <c:v>61.593400000000003</c:v>
                </c:pt>
                <c:pt idx="46">
                  <c:v>61.6145</c:v>
                </c:pt>
                <c:pt idx="47">
                  <c:v>62.726599999999998</c:v>
                </c:pt>
                <c:pt idx="48">
                  <c:v>61.381799999999998</c:v>
                </c:pt>
                <c:pt idx="49">
                  <c:v>61.267000000000003</c:v>
                </c:pt>
                <c:pt idx="50">
                  <c:v>62.121899999999997</c:v>
                </c:pt>
                <c:pt idx="51">
                  <c:v>60.187399999999997</c:v>
                </c:pt>
                <c:pt idx="52">
                  <c:v>60.930999999999997</c:v>
                </c:pt>
                <c:pt idx="53">
                  <c:v>60.708300000000001</c:v>
                </c:pt>
                <c:pt idx="54">
                  <c:v>59.880200000000002</c:v>
                </c:pt>
                <c:pt idx="55">
                  <c:v>60.182899999999997</c:v>
                </c:pt>
                <c:pt idx="56">
                  <c:v>61.9953</c:v>
                </c:pt>
                <c:pt idx="57">
                  <c:v>59.924100000000003</c:v>
                </c:pt>
                <c:pt idx="58">
                  <c:v>60.480800000000002</c:v>
                </c:pt>
                <c:pt idx="59">
                  <c:v>60.758600000000001</c:v>
                </c:pt>
                <c:pt idx="60">
                  <c:v>60.775500000000001</c:v>
                </c:pt>
                <c:pt idx="61">
                  <c:v>60.181699999999999</c:v>
                </c:pt>
                <c:pt idx="62">
                  <c:v>61.834400000000002</c:v>
                </c:pt>
                <c:pt idx="63">
                  <c:v>60.665799999999997</c:v>
                </c:pt>
                <c:pt idx="64">
                  <c:v>58.837200000000003</c:v>
                </c:pt>
                <c:pt idx="65">
                  <c:v>57.842599999999997</c:v>
                </c:pt>
                <c:pt idx="66">
                  <c:v>57.6616</c:v>
                </c:pt>
                <c:pt idx="67">
                  <c:v>56.5411</c:v>
                </c:pt>
                <c:pt idx="68">
                  <c:v>57.133899999999997</c:v>
                </c:pt>
                <c:pt idx="69">
                  <c:v>57.248399999999997</c:v>
                </c:pt>
                <c:pt idx="70">
                  <c:v>58.3431</c:v>
                </c:pt>
                <c:pt idx="71">
                  <c:v>59.760599999999997</c:v>
                </c:pt>
                <c:pt idx="72">
                  <c:v>58.524500000000003</c:v>
                </c:pt>
                <c:pt idx="73">
                  <c:v>57.702599999999997</c:v>
                </c:pt>
                <c:pt idx="74">
                  <c:v>57.289700000000003</c:v>
                </c:pt>
                <c:pt idx="75">
                  <c:v>57.376300000000001</c:v>
                </c:pt>
                <c:pt idx="76">
                  <c:v>56.826799999999999</c:v>
                </c:pt>
                <c:pt idx="77">
                  <c:v>57.599600000000002</c:v>
                </c:pt>
                <c:pt idx="78">
                  <c:v>55.576599999999999</c:v>
                </c:pt>
                <c:pt idx="79">
                  <c:v>55.607900000000001</c:v>
                </c:pt>
                <c:pt idx="80">
                  <c:v>56.063699999999997</c:v>
                </c:pt>
                <c:pt idx="81">
                  <c:v>55.254199999999997</c:v>
                </c:pt>
                <c:pt idx="82">
                  <c:v>54.618400000000001</c:v>
                </c:pt>
                <c:pt idx="83">
                  <c:v>53.728000000000002</c:v>
                </c:pt>
                <c:pt idx="84">
                  <c:v>51.8444</c:v>
                </c:pt>
                <c:pt idx="85">
                  <c:v>47.890099999999997</c:v>
                </c:pt>
                <c:pt idx="86">
                  <c:v>45.298499999999997</c:v>
                </c:pt>
                <c:pt idx="87">
                  <c:v>49.985500000000002</c:v>
                </c:pt>
                <c:pt idx="88">
                  <c:v>49.5916</c:v>
                </c:pt>
                <c:pt idx="89">
                  <c:v>50.646500000000003</c:v>
                </c:pt>
                <c:pt idx="90">
                  <c:v>50.4193</c:v>
                </c:pt>
                <c:pt idx="91">
                  <c:v>48.331299999999999</c:v>
                </c:pt>
                <c:pt idx="92">
                  <c:v>46.677500000000002</c:v>
                </c:pt>
                <c:pt idx="93">
                  <c:v>45.562899999999999</c:v>
                </c:pt>
                <c:pt idx="94">
                  <c:v>46.216000000000001</c:v>
                </c:pt>
                <c:pt idx="95">
                  <c:v>43.272500000000001</c:v>
                </c:pt>
                <c:pt idx="96">
                  <c:v>43.224800000000002</c:v>
                </c:pt>
                <c:pt idx="97">
                  <c:v>43.626300000000001</c:v>
                </c:pt>
                <c:pt idx="98">
                  <c:v>42.1327</c:v>
                </c:pt>
                <c:pt idx="99">
                  <c:v>43.0563</c:v>
                </c:pt>
                <c:pt idx="100">
                  <c:v>44.934399999999997</c:v>
                </c:pt>
                <c:pt idx="101">
                  <c:v>45.730200000000004</c:v>
                </c:pt>
                <c:pt idx="102">
                  <c:v>44.380400000000002</c:v>
                </c:pt>
                <c:pt idx="103">
                  <c:v>45.072800000000001</c:v>
                </c:pt>
                <c:pt idx="104">
                  <c:v>46.5608</c:v>
                </c:pt>
                <c:pt idx="105">
                  <c:v>43.390500000000003</c:v>
                </c:pt>
                <c:pt idx="106">
                  <c:v>42.433700000000002</c:v>
                </c:pt>
                <c:pt idx="107">
                  <c:v>43.502200000000002</c:v>
                </c:pt>
                <c:pt idx="108">
                  <c:v>44.697400000000002</c:v>
                </c:pt>
                <c:pt idx="109">
                  <c:v>45.643700000000003</c:v>
                </c:pt>
                <c:pt idx="110">
                  <c:v>45.411900000000003</c:v>
                </c:pt>
                <c:pt idx="111">
                  <c:v>47.506500000000003</c:v>
                </c:pt>
                <c:pt idx="112">
                  <c:v>49.295299999999997</c:v>
                </c:pt>
                <c:pt idx="113">
                  <c:v>49.136899999999997</c:v>
                </c:pt>
                <c:pt idx="114">
                  <c:v>48.855200000000004</c:v>
                </c:pt>
                <c:pt idx="115">
                  <c:v>48.4908</c:v>
                </c:pt>
                <c:pt idx="116">
                  <c:v>48.818600000000004</c:v>
                </c:pt>
                <c:pt idx="117">
                  <c:v>47.3812</c:v>
                </c:pt>
                <c:pt idx="118">
                  <c:v>46.309899999999999</c:v>
                </c:pt>
                <c:pt idx="119">
                  <c:v>45.740299999999998</c:v>
                </c:pt>
                <c:pt idx="120">
                  <c:v>44.983499999999999</c:v>
                </c:pt>
                <c:pt idx="121">
                  <c:v>45.819499999999998</c:v>
                </c:pt>
                <c:pt idx="122">
                  <c:v>44.740099999999998</c:v>
                </c:pt>
                <c:pt idx="123">
                  <c:v>44.862699999999997</c:v>
                </c:pt>
                <c:pt idx="124">
                  <c:v>45.952599999999997</c:v>
                </c:pt>
                <c:pt idx="125">
                  <c:v>48.771900000000002</c:v>
                </c:pt>
                <c:pt idx="126">
                  <c:v>50.530900000000003</c:v>
                </c:pt>
                <c:pt idx="127">
                  <c:v>49.9636</c:v>
                </c:pt>
                <c:pt idx="128">
                  <c:v>50.944600000000001</c:v>
                </c:pt>
                <c:pt idx="129">
                  <c:v>49.970500000000001</c:v>
                </c:pt>
                <c:pt idx="130">
                  <c:v>50.365099999999998</c:v>
                </c:pt>
                <c:pt idx="131">
                  <c:v>50.587400000000002</c:v>
                </c:pt>
                <c:pt idx="132">
                  <c:v>51.254899999999999</c:v>
                </c:pt>
                <c:pt idx="133">
                  <c:v>52.151600000000002</c:v>
                </c:pt>
                <c:pt idx="134">
                  <c:v>53.254800000000003</c:v>
                </c:pt>
                <c:pt idx="135">
                  <c:v>54.363599999999998</c:v>
                </c:pt>
                <c:pt idx="136">
                  <c:v>55.231900000000003</c:v>
                </c:pt>
                <c:pt idx="137">
                  <c:v>55.580599999999997</c:v>
                </c:pt>
                <c:pt idx="138">
                  <c:v>55.431699999999999</c:v>
                </c:pt>
                <c:pt idx="139">
                  <c:v>55.435899999999997</c:v>
                </c:pt>
                <c:pt idx="140">
                  <c:v>55.935899999999997</c:v>
                </c:pt>
                <c:pt idx="141">
                  <c:v>58.569899999999997</c:v>
                </c:pt>
                <c:pt idx="142">
                  <c:v>57.853299999999997</c:v>
                </c:pt>
                <c:pt idx="143">
                  <c:v>56.976599999999998</c:v>
                </c:pt>
                <c:pt idx="144">
                  <c:v>55.262500000000003</c:v>
                </c:pt>
                <c:pt idx="145">
                  <c:v>55.637900000000002</c:v>
                </c:pt>
                <c:pt idx="146">
                  <c:v>56.359400000000001</c:v>
                </c:pt>
                <c:pt idx="147">
                  <c:v>55.704900000000002</c:v>
                </c:pt>
                <c:pt idx="148">
                  <c:v>56.329099999999997</c:v>
                </c:pt>
                <c:pt idx="149">
                  <c:v>55.688299999999998</c:v>
                </c:pt>
                <c:pt idx="150">
                  <c:v>56.829300000000003</c:v>
                </c:pt>
                <c:pt idx="151">
                  <c:v>56.6372</c:v>
                </c:pt>
                <c:pt idx="152">
                  <c:v>55.838299999999997</c:v>
                </c:pt>
                <c:pt idx="153">
                  <c:v>55.049100000000003</c:v>
                </c:pt>
                <c:pt idx="154">
                  <c:v>55.503</c:v>
                </c:pt>
                <c:pt idx="155">
                  <c:v>55.648400000000002</c:v>
                </c:pt>
                <c:pt idx="156">
                  <c:v>56.0473</c:v>
                </c:pt>
                <c:pt idx="157">
                  <c:v>57.847799999999999</c:v>
                </c:pt>
                <c:pt idx="158">
                  <c:v>58.035499999999999</c:v>
                </c:pt>
                <c:pt idx="159">
                  <c:v>58.212000000000003</c:v>
                </c:pt>
                <c:pt idx="160">
                  <c:v>55.815300000000001</c:v>
                </c:pt>
                <c:pt idx="161">
                  <c:v>56.524500000000003</c:v>
                </c:pt>
                <c:pt idx="162">
                  <c:v>55.785699999999999</c:v>
                </c:pt>
                <c:pt idx="163">
                  <c:v>56.945500000000003</c:v>
                </c:pt>
                <c:pt idx="164">
                  <c:v>56.835299999999997</c:v>
                </c:pt>
                <c:pt idx="165">
                  <c:v>57.352400000000003</c:v>
                </c:pt>
                <c:pt idx="166">
                  <c:v>56.897799999999997</c:v>
                </c:pt>
                <c:pt idx="167">
                  <c:v>58.119100000000003</c:v>
                </c:pt>
                <c:pt idx="168">
                  <c:v>58.052599999999998</c:v>
                </c:pt>
                <c:pt idx="169">
                  <c:v>58.344499999999996</c:v>
                </c:pt>
                <c:pt idx="170">
                  <c:v>58.058100000000003</c:v>
                </c:pt>
                <c:pt idx="171">
                  <c:v>57.6145</c:v>
                </c:pt>
                <c:pt idx="172">
                  <c:v>57.927399999999999</c:v>
                </c:pt>
                <c:pt idx="173">
                  <c:v>58.347999999999999</c:v>
                </c:pt>
                <c:pt idx="174">
                  <c:v>59.672800000000002</c:v>
                </c:pt>
                <c:pt idx="175">
                  <c:v>60.354999999999997</c:v>
                </c:pt>
                <c:pt idx="176">
                  <c:v>62.114100000000001</c:v>
                </c:pt>
                <c:pt idx="177">
                  <c:v>61.935000000000002</c:v>
                </c:pt>
                <c:pt idx="178">
                  <c:v>61.5032</c:v>
                </c:pt>
                <c:pt idx="179">
                  <c:v>62.628300000000003</c:v>
                </c:pt>
                <c:pt idx="180">
                  <c:v>63.075800000000001</c:v>
                </c:pt>
                <c:pt idx="181">
                  <c:v>62.318600000000004</c:v>
                </c:pt>
                <c:pt idx="182">
                  <c:v>61.651299999999999</c:v>
                </c:pt>
                <c:pt idx="183">
                  <c:v>61.483400000000003</c:v>
                </c:pt>
                <c:pt idx="184">
                  <c:v>62.464500000000001</c:v>
                </c:pt>
                <c:pt idx="185">
                  <c:v>65.158299999999997</c:v>
                </c:pt>
                <c:pt idx="186">
                  <c:v>67.114500000000007</c:v>
                </c:pt>
                <c:pt idx="187">
                  <c:v>70.100800000000007</c:v>
                </c:pt>
                <c:pt idx="188">
                  <c:v>68.700699999999998</c:v>
                </c:pt>
                <c:pt idx="189">
                  <c:v>70.096900000000005</c:v>
                </c:pt>
                <c:pt idx="190">
                  <c:v>71.736599999999996</c:v>
                </c:pt>
                <c:pt idx="191">
                  <c:v>71.573599999999999</c:v>
                </c:pt>
                <c:pt idx="192">
                  <c:v>71.5869</c:v>
                </c:pt>
                <c:pt idx="193">
                  <c:v>70.584800000000001</c:v>
                </c:pt>
                <c:pt idx="194">
                  <c:v>72.077699999999993</c:v>
                </c:pt>
                <c:pt idx="195">
                  <c:v>72.810299999999998</c:v>
                </c:pt>
                <c:pt idx="196">
                  <c:v>70.0227</c:v>
                </c:pt>
                <c:pt idx="197">
                  <c:v>67.5886</c:v>
                </c:pt>
                <c:pt idx="198">
                  <c:v>68.367000000000004</c:v>
                </c:pt>
                <c:pt idx="199">
                  <c:v>68.1875</c:v>
                </c:pt>
                <c:pt idx="200">
                  <c:v>69.9221</c:v>
                </c:pt>
                <c:pt idx="201">
                  <c:v>69.458699999999993</c:v>
                </c:pt>
                <c:pt idx="202">
                  <c:v>71.221900000000005</c:v>
                </c:pt>
                <c:pt idx="203">
                  <c:v>72.226900000000001</c:v>
                </c:pt>
                <c:pt idx="204">
                  <c:v>72.249899999999997</c:v>
                </c:pt>
                <c:pt idx="205">
                  <c:v>73.162000000000006</c:v>
                </c:pt>
                <c:pt idx="206">
                  <c:v>71.171300000000002</c:v>
                </c:pt>
                <c:pt idx="207">
                  <c:v>69.275000000000006</c:v>
                </c:pt>
                <c:pt idx="208">
                  <c:v>69.137200000000007</c:v>
                </c:pt>
                <c:pt idx="209">
                  <c:v>68.7911</c:v>
                </c:pt>
                <c:pt idx="210">
                  <c:v>68.341700000000003</c:v>
                </c:pt>
                <c:pt idx="211">
                  <c:v>70.798299999999998</c:v>
                </c:pt>
                <c:pt idx="212">
                  <c:v>71.377399999999994</c:v>
                </c:pt>
                <c:pt idx="213">
                  <c:v>70.408299999999997</c:v>
                </c:pt>
                <c:pt idx="214">
                  <c:v>70.211799999999997</c:v>
                </c:pt>
                <c:pt idx="215">
                  <c:v>70.081500000000005</c:v>
                </c:pt>
                <c:pt idx="216">
                  <c:v>69.476699999999994</c:v>
                </c:pt>
                <c:pt idx="217">
                  <c:v>69.273700000000005</c:v>
                </c:pt>
                <c:pt idx="218">
                  <c:v>67.685900000000004</c:v>
                </c:pt>
                <c:pt idx="219">
                  <c:v>68.051100000000005</c:v>
                </c:pt>
                <c:pt idx="220">
                  <c:v>69.254099999999994</c:v>
                </c:pt>
                <c:pt idx="221">
                  <c:v>68.506600000000006</c:v>
                </c:pt>
                <c:pt idx="222">
                  <c:v>68.138800000000003</c:v>
                </c:pt>
                <c:pt idx="223">
                  <c:v>68.713499999999996</c:v>
                </c:pt>
                <c:pt idx="224">
                  <c:v>66.989500000000007</c:v>
                </c:pt>
                <c:pt idx="225">
                  <c:v>62.389600000000002</c:v>
                </c:pt>
                <c:pt idx="226">
                  <c:v>61.607700000000001</c:v>
                </c:pt>
                <c:pt idx="227">
                  <c:v>63.2136</c:v>
                </c:pt>
                <c:pt idx="228">
                  <c:v>59.0946</c:v>
                </c:pt>
                <c:pt idx="229">
                  <c:v>59.128999999999998</c:v>
                </c:pt>
                <c:pt idx="230">
                  <c:v>59.9039</c:v>
                </c:pt>
                <c:pt idx="231">
                  <c:v>61.077599999999997</c:v>
                </c:pt>
                <c:pt idx="232">
                  <c:v>58.502499999999998</c:v>
                </c:pt>
                <c:pt idx="233">
                  <c:v>57.461599999999997</c:v>
                </c:pt>
                <c:pt idx="234">
                  <c:v>56.764899999999997</c:v>
                </c:pt>
                <c:pt idx="235">
                  <c:v>57.877499999999998</c:v>
                </c:pt>
                <c:pt idx="236">
                  <c:v>55.324300000000001</c:v>
                </c:pt>
                <c:pt idx="237">
                  <c:v>54.020299999999999</c:v>
                </c:pt>
                <c:pt idx="238">
                  <c:v>54.304000000000002</c:v>
                </c:pt>
                <c:pt idx="239">
                  <c:v>55.8904</c:v>
                </c:pt>
                <c:pt idx="240">
                  <c:v>55.407499999999999</c:v>
                </c:pt>
                <c:pt idx="241">
                  <c:v>54.606999999999999</c:v>
                </c:pt>
                <c:pt idx="242">
                  <c:v>52.752699999999997</c:v>
                </c:pt>
                <c:pt idx="243">
                  <c:v>51.539700000000003</c:v>
                </c:pt>
                <c:pt idx="244">
                  <c:v>52.549700000000001</c:v>
                </c:pt>
                <c:pt idx="245">
                  <c:v>54.596400000000003</c:v>
                </c:pt>
                <c:pt idx="246">
                  <c:v>55.317900000000002</c:v>
                </c:pt>
                <c:pt idx="247">
                  <c:v>55.543700000000001</c:v>
                </c:pt>
                <c:pt idx="248">
                  <c:v>55.122300000000003</c:v>
                </c:pt>
                <c:pt idx="249">
                  <c:v>55.038400000000003</c:v>
                </c:pt>
                <c:pt idx="250">
                  <c:v>56.313899999999997</c:v>
                </c:pt>
                <c:pt idx="251">
                  <c:v>55.172600000000003</c:v>
                </c:pt>
                <c:pt idx="252">
                  <c:v>57.141300000000001</c:v>
                </c:pt>
                <c:pt idx="253">
                  <c:v>58.273400000000002</c:v>
                </c:pt>
                <c:pt idx="254">
                  <c:v>58.0276</c:v>
                </c:pt>
                <c:pt idx="255">
                  <c:v>57.939</c:v>
                </c:pt>
                <c:pt idx="256">
                  <c:v>57.538800000000002</c:v>
                </c:pt>
                <c:pt idx="257">
                  <c:v>53.900700000000001</c:v>
                </c:pt>
                <c:pt idx="258">
                  <c:v>52.929900000000004</c:v>
                </c:pt>
                <c:pt idx="259">
                  <c:v>53.4709</c:v>
                </c:pt>
                <c:pt idx="260">
                  <c:v>54.191400000000002</c:v>
                </c:pt>
                <c:pt idx="261">
                  <c:v>55.315199999999997</c:v>
                </c:pt>
                <c:pt idx="262">
                  <c:v>53.495600000000003</c:v>
                </c:pt>
                <c:pt idx="263">
                  <c:v>54.256500000000003</c:v>
                </c:pt>
                <c:pt idx="264">
                  <c:v>53.444699999999997</c:v>
                </c:pt>
                <c:pt idx="265">
                  <c:v>52.958599999999997</c:v>
                </c:pt>
                <c:pt idx="266">
                  <c:v>52.767000000000003</c:v>
                </c:pt>
                <c:pt idx="267">
                  <c:v>56.365299999999998</c:v>
                </c:pt>
                <c:pt idx="268">
                  <c:v>57.213799999999999</c:v>
                </c:pt>
                <c:pt idx="269">
                  <c:v>57.354500000000002</c:v>
                </c:pt>
                <c:pt idx="270">
                  <c:v>55.209499999999998</c:v>
                </c:pt>
                <c:pt idx="271">
                  <c:v>54.368000000000002</c:v>
                </c:pt>
                <c:pt idx="272">
                  <c:v>55.373699999999999</c:v>
                </c:pt>
                <c:pt idx="273">
                  <c:v>55.597999999999999</c:v>
                </c:pt>
                <c:pt idx="274">
                  <c:v>53.518799999999999</c:v>
                </c:pt>
                <c:pt idx="275">
                  <c:v>53.7074</c:v>
                </c:pt>
                <c:pt idx="276">
                  <c:v>54.078000000000003</c:v>
                </c:pt>
                <c:pt idx="277">
                  <c:v>53.502699999999997</c:v>
                </c:pt>
                <c:pt idx="278">
                  <c:v>54.561599999999999</c:v>
                </c:pt>
                <c:pt idx="279">
                  <c:v>53.556899999999999</c:v>
                </c:pt>
                <c:pt idx="280">
                  <c:v>54.7637</c:v>
                </c:pt>
                <c:pt idx="281">
                  <c:v>53.528500000000001</c:v>
                </c:pt>
                <c:pt idx="282">
                  <c:v>52.103700000000003</c:v>
                </c:pt>
                <c:pt idx="283">
                  <c:v>52.244799999999998</c:v>
                </c:pt>
                <c:pt idx="284">
                  <c:v>52.081499999999998</c:v>
                </c:pt>
                <c:pt idx="285">
                  <c:v>52.197699999999998</c:v>
                </c:pt>
                <c:pt idx="286">
                  <c:v>47.598500000000001</c:v>
                </c:pt>
                <c:pt idx="287">
                  <c:v>44.292999999999999</c:v>
                </c:pt>
                <c:pt idx="288">
                  <c:v>42.912199999999999</c:v>
                </c:pt>
                <c:pt idx="289">
                  <c:v>46.070300000000003</c:v>
                </c:pt>
                <c:pt idx="290">
                  <c:v>45.044699999999999</c:v>
                </c:pt>
                <c:pt idx="291">
                  <c:v>41.555700000000002</c:v>
                </c:pt>
                <c:pt idx="292">
                  <c:v>40.799100000000003</c:v>
                </c:pt>
                <c:pt idx="293">
                  <c:v>43.932600000000001</c:v>
                </c:pt>
                <c:pt idx="294">
                  <c:v>43.773600000000002</c:v>
                </c:pt>
                <c:pt idx="295">
                  <c:v>42.883200000000002</c:v>
                </c:pt>
                <c:pt idx="296">
                  <c:v>44.209099999999999</c:v>
                </c:pt>
                <c:pt idx="297">
                  <c:v>44.677300000000002</c:v>
                </c:pt>
                <c:pt idx="298">
                  <c:v>45.475900000000003</c:v>
                </c:pt>
                <c:pt idx="299">
                  <c:v>46.017899999999997</c:v>
                </c:pt>
                <c:pt idx="300">
                  <c:v>46.688499999999998</c:v>
                </c:pt>
                <c:pt idx="301">
                  <c:v>47.601999999999997</c:v>
                </c:pt>
                <c:pt idx="302">
                  <c:v>45.7607</c:v>
                </c:pt>
                <c:pt idx="303">
                  <c:v>45.9009</c:v>
                </c:pt>
                <c:pt idx="304">
                  <c:v>46.083300000000001</c:v>
                </c:pt>
                <c:pt idx="305">
                  <c:v>45.710999999999999</c:v>
                </c:pt>
                <c:pt idx="306">
                  <c:v>45.7303</c:v>
                </c:pt>
                <c:pt idx="307">
                  <c:v>45.246600000000001</c:v>
                </c:pt>
                <c:pt idx="308">
                  <c:v>43.941000000000003</c:v>
                </c:pt>
                <c:pt idx="309">
                  <c:v>43.387999999999998</c:v>
                </c:pt>
                <c:pt idx="310">
                  <c:v>43.552100000000003</c:v>
                </c:pt>
                <c:pt idx="311">
                  <c:v>43.287100000000002</c:v>
                </c:pt>
                <c:pt idx="312">
                  <c:v>44.091000000000001</c:v>
                </c:pt>
                <c:pt idx="313">
                  <c:v>43.4238</c:v>
                </c:pt>
                <c:pt idx="314">
                  <c:v>44.563800000000001</c:v>
                </c:pt>
                <c:pt idx="315">
                  <c:v>45.594000000000001</c:v>
                </c:pt>
                <c:pt idx="316">
                  <c:v>45.359499999999997</c:v>
                </c:pt>
                <c:pt idx="317">
                  <c:v>45.5565</c:v>
                </c:pt>
                <c:pt idx="318">
                  <c:v>45.946599999999997</c:v>
                </c:pt>
                <c:pt idx="319">
                  <c:v>44.473100000000002</c:v>
                </c:pt>
                <c:pt idx="320">
                  <c:v>45.049599999999998</c:v>
                </c:pt>
                <c:pt idx="321">
                  <c:v>45.9666</c:v>
                </c:pt>
                <c:pt idx="322">
                  <c:v>45.512700000000002</c:v>
                </c:pt>
                <c:pt idx="323">
                  <c:v>44.735300000000002</c:v>
                </c:pt>
                <c:pt idx="324">
                  <c:v>42.838700000000003</c:v>
                </c:pt>
                <c:pt idx="325">
                  <c:v>43.391199999999998</c:v>
                </c:pt>
                <c:pt idx="326">
                  <c:v>43.626800000000003</c:v>
                </c:pt>
                <c:pt idx="327">
                  <c:v>43.872900000000001</c:v>
                </c:pt>
                <c:pt idx="328">
                  <c:v>44.487099999999998</c:v>
                </c:pt>
                <c:pt idx="329">
                  <c:v>44.061999999999998</c:v>
                </c:pt>
                <c:pt idx="330">
                  <c:v>43.233400000000003</c:v>
                </c:pt>
                <c:pt idx="331">
                  <c:v>43.404400000000003</c:v>
                </c:pt>
                <c:pt idx="332">
                  <c:v>42.787700000000001</c:v>
                </c:pt>
                <c:pt idx="333">
                  <c:v>42.754800000000003</c:v>
                </c:pt>
                <c:pt idx="334">
                  <c:v>43.504399999999997</c:v>
                </c:pt>
                <c:pt idx="335">
                  <c:v>44.9497</c:v>
                </c:pt>
                <c:pt idx="336">
                  <c:v>45.777099999999997</c:v>
                </c:pt>
                <c:pt idx="337">
                  <c:v>45.777900000000002</c:v>
                </c:pt>
                <c:pt idx="338">
                  <c:v>45.194699999999997</c:v>
                </c:pt>
                <c:pt idx="339">
                  <c:v>43.9617</c:v>
                </c:pt>
                <c:pt idx="340">
                  <c:v>42.9739</c:v>
                </c:pt>
                <c:pt idx="341">
                  <c:v>43.139400000000002</c:v>
                </c:pt>
                <c:pt idx="342">
                  <c:v>42.396099999999997</c:v>
                </c:pt>
                <c:pt idx="343">
                  <c:v>41.694099999999999</c:v>
                </c:pt>
                <c:pt idx="344">
                  <c:v>43.202300000000001</c:v>
                </c:pt>
                <c:pt idx="345">
                  <c:v>41.007599999999996</c:v>
                </c:pt>
                <c:pt idx="346">
                  <c:v>42.114199999999997</c:v>
                </c:pt>
                <c:pt idx="347">
                  <c:v>40.756100000000004</c:v>
                </c:pt>
                <c:pt idx="348">
                  <c:v>40.147199999999998</c:v>
                </c:pt>
                <c:pt idx="349">
                  <c:v>40.1265</c:v>
                </c:pt>
                <c:pt idx="350">
                  <c:v>39.582799999999999</c:v>
                </c:pt>
                <c:pt idx="351">
                  <c:v>39.471400000000003</c:v>
                </c:pt>
                <c:pt idx="352">
                  <c:v>38.096499999999999</c:v>
                </c:pt>
                <c:pt idx="353">
                  <c:v>38.972200000000001</c:v>
                </c:pt>
                <c:pt idx="354">
                  <c:v>39.285600000000002</c:v>
                </c:pt>
                <c:pt idx="355">
                  <c:v>39.144799999999996</c:v>
                </c:pt>
                <c:pt idx="356">
                  <c:v>39.174799999999998</c:v>
                </c:pt>
                <c:pt idx="357">
                  <c:v>39.436999999999998</c:v>
                </c:pt>
                <c:pt idx="358">
                  <c:v>39.894300000000001</c:v>
                </c:pt>
                <c:pt idx="359">
                  <c:v>39.601900000000001</c:v>
                </c:pt>
                <c:pt idx="360">
                  <c:v>39.104399999999998</c:v>
                </c:pt>
                <c:pt idx="361">
                  <c:v>39.599499999999999</c:v>
                </c:pt>
                <c:pt idx="362">
                  <c:v>40.1111</c:v>
                </c:pt>
                <c:pt idx="363">
                  <c:v>39.023099999999999</c:v>
                </c:pt>
                <c:pt idx="364">
                  <c:v>38.163600000000002</c:v>
                </c:pt>
                <c:pt idx="365">
                  <c:v>37.516800000000003</c:v>
                </c:pt>
                <c:pt idx="366">
                  <c:v>37.720100000000002</c:v>
                </c:pt>
                <c:pt idx="367">
                  <c:v>38.111400000000003</c:v>
                </c:pt>
                <c:pt idx="368">
                  <c:v>38.178100000000001</c:v>
                </c:pt>
                <c:pt idx="369">
                  <c:v>37.460099999999997</c:v>
                </c:pt>
                <c:pt idx="370">
                  <c:v>38.686700000000002</c:v>
                </c:pt>
                <c:pt idx="371">
                  <c:v>39.409500000000001</c:v>
                </c:pt>
                <c:pt idx="372">
                  <c:v>39.6111</c:v>
                </c:pt>
                <c:pt idx="373">
                  <c:v>39.418999999999997</c:v>
                </c:pt>
                <c:pt idx="374">
                  <c:v>38.655299999999997</c:v>
                </c:pt>
                <c:pt idx="375">
                  <c:v>39.537199999999999</c:v>
                </c:pt>
                <c:pt idx="376">
                  <c:v>40.137300000000003</c:v>
                </c:pt>
                <c:pt idx="377">
                  <c:v>38.687899999999999</c:v>
                </c:pt>
                <c:pt idx="378">
                  <c:v>37.909100000000002</c:v>
                </c:pt>
                <c:pt idx="379">
                  <c:v>37.482599999999998</c:v>
                </c:pt>
                <c:pt idx="380">
                  <c:v>37.349499999999999</c:v>
                </c:pt>
                <c:pt idx="381">
                  <c:v>37.198399999999999</c:v>
                </c:pt>
                <c:pt idx="382">
                  <c:v>36.209600000000002</c:v>
                </c:pt>
                <c:pt idx="383">
                  <c:v>35.771799999999999</c:v>
                </c:pt>
                <c:pt idx="384">
                  <c:v>35.434699999999999</c:v>
                </c:pt>
                <c:pt idx="385">
                  <c:v>34.685600000000001</c:v>
                </c:pt>
                <c:pt idx="386">
                  <c:v>33.336399999999998</c:v>
                </c:pt>
                <c:pt idx="387">
                  <c:v>32.607100000000003</c:v>
                </c:pt>
                <c:pt idx="388">
                  <c:v>32.3232</c:v>
                </c:pt>
                <c:pt idx="389">
                  <c:v>31.585100000000001</c:v>
                </c:pt>
                <c:pt idx="390">
                  <c:v>31.344200000000001</c:v>
                </c:pt>
                <c:pt idx="391">
                  <c:v>30.9831</c:v>
                </c:pt>
                <c:pt idx="392">
                  <c:v>30.8432</c:v>
                </c:pt>
                <c:pt idx="393">
                  <c:v>31.184899999999999</c:v>
                </c:pt>
                <c:pt idx="394">
                  <c:v>31.5547</c:v>
                </c:pt>
                <c:pt idx="395">
                  <c:v>31.383299999999998</c:v>
                </c:pt>
                <c:pt idx="396">
                  <c:v>30.903500000000001</c:v>
                </c:pt>
                <c:pt idx="397">
                  <c:v>30.290400000000002</c:v>
                </c:pt>
                <c:pt idx="398">
                  <c:v>29.166</c:v>
                </c:pt>
                <c:pt idx="399">
                  <c:v>28.839500000000001</c:v>
                </c:pt>
                <c:pt idx="400">
                  <c:v>26.5717</c:v>
                </c:pt>
                <c:pt idx="401">
                  <c:v>23.319800000000001</c:v>
                </c:pt>
                <c:pt idx="402">
                  <c:v>22.955400000000001</c:v>
                </c:pt>
                <c:pt idx="403">
                  <c:v>21.736599999999999</c:v>
                </c:pt>
                <c:pt idx="404">
                  <c:v>22.2209</c:v>
                </c:pt>
                <c:pt idx="405">
                  <c:v>22.203099999999999</c:v>
                </c:pt>
                <c:pt idx="406">
                  <c:v>22.0381</c:v>
                </c:pt>
                <c:pt idx="407">
                  <c:v>21.5091</c:v>
                </c:pt>
                <c:pt idx="408">
                  <c:v>21.527200000000001</c:v>
                </c:pt>
                <c:pt idx="409">
                  <c:v>20.265799999999999</c:v>
                </c:pt>
                <c:pt idx="410">
                  <c:v>19.693899999999999</c:v>
                </c:pt>
                <c:pt idx="411">
                  <c:v>19.6068</c:v>
                </c:pt>
                <c:pt idx="412">
                  <c:v>19.573399999999999</c:v>
                </c:pt>
                <c:pt idx="413">
                  <c:v>20.924900000000001</c:v>
                </c:pt>
                <c:pt idx="414">
                  <c:v>20.541599999999999</c:v>
                </c:pt>
                <c:pt idx="415">
                  <c:v>20.555599999999998</c:v>
                </c:pt>
                <c:pt idx="416">
                  <c:v>20.689599999999999</c:v>
                </c:pt>
                <c:pt idx="417">
                  <c:v>20.464300000000001</c:v>
                </c:pt>
                <c:pt idx="418">
                  <c:v>20.421700000000001</c:v>
                </c:pt>
                <c:pt idx="419">
                  <c:v>20.648900000000001</c:v>
                </c:pt>
                <c:pt idx="420">
                  <c:v>20.501100000000001</c:v>
                </c:pt>
                <c:pt idx="421">
                  <c:v>19.8856</c:v>
                </c:pt>
                <c:pt idx="422">
                  <c:v>21.446400000000001</c:v>
                </c:pt>
                <c:pt idx="423">
                  <c:v>21.673300000000001</c:v>
                </c:pt>
                <c:pt idx="424">
                  <c:v>21.703399999999998</c:v>
                </c:pt>
                <c:pt idx="425">
                  <c:v>22.8993</c:v>
                </c:pt>
                <c:pt idx="426">
                  <c:v>23.3032</c:v>
                </c:pt>
                <c:pt idx="427">
                  <c:v>23.122800000000002</c:v>
                </c:pt>
                <c:pt idx="428">
                  <c:v>23.6479</c:v>
                </c:pt>
                <c:pt idx="429">
                  <c:v>23.399699999999999</c:v>
                </c:pt>
                <c:pt idx="430">
                  <c:v>24.019500000000001</c:v>
                </c:pt>
                <c:pt idx="431">
                  <c:v>23.808</c:v>
                </c:pt>
                <c:pt idx="432">
                  <c:v>24.104500000000002</c:v>
                </c:pt>
                <c:pt idx="433">
                  <c:v>23.3659</c:v>
                </c:pt>
                <c:pt idx="434">
                  <c:v>23.441700000000001</c:v>
                </c:pt>
                <c:pt idx="435">
                  <c:v>24.119299999999999</c:v>
                </c:pt>
                <c:pt idx="436">
                  <c:v>23.3856</c:v>
                </c:pt>
                <c:pt idx="437">
                  <c:v>24.707100000000001</c:v>
                </c:pt>
                <c:pt idx="438">
                  <c:v>24.844100000000001</c:v>
                </c:pt>
                <c:pt idx="439">
                  <c:v>24.542000000000002</c:v>
                </c:pt>
                <c:pt idx="440">
                  <c:v>24.131</c:v>
                </c:pt>
                <c:pt idx="441">
                  <c:v>23.250599999999999</c:v>
                </c:pt>
                <c:pt idx="442">
                  <c:v>23.101600000000001</c:v>
                </c:pt>
                <c:pt idx="443">
                  <c:v>22.785299999999999</c:v>
                </c:pt>
                <c:pt idx="444">
                  <c:v>23.541399999999999</c:v>
                </c:pt>
                <c:pt idx="445">
                  <c:v>22.787700000000001</c:v>
                </c:pt>
                <c:pt idx="446">
                  <c:v>23.384599999999999</c:v>
                </c:pt>
                <c:pt idx="447">
                  <c:v>23.111000000000001</c:v>
                </c:pt>
                <c:pt idx="448">
                  <c:v>23.3933</c:v>
                </c:pt>
                <c:pt idx="449">
                  <c:v>22.972899999999999</c:v>
                </c:pt>
                <c:pt idx="450">
                  <c:v>22.8002</c:v>
                </c:pt>
                <c:pt idx="451">
                  <c:v>22.561299999999999</c:v>
                </c:pt>
                <c:pt idx="452">
                  <c:v>22.323499999999999</c:v>
                </c:pt>
                <c:pt idx="453">
                  <c:v>22.3916</c:v>
                </c:pt>
                <c:pt idx="454">
                  <c:v>22.623799999999999</c:v>
                </c:pt>
                <c:pt idx="455">
                  <c:v>22.553799999999999</c:v>
                </c:pt>
                <c:pt idx="456">
                  <c:v>22.4894</c:v>
                </c:pt>
                <c:pt idx="457">
                  <c:v>22.102799999999998</c:v>
                </c:pt>
                <c:pt idx="458">
                  <c:v>22.833300000000001</c:v>
                </c:pt>
                <c:pt idx="459">
                  <c:v>23.3401</c:v>
                </c:pt>
                <c:pt idx="460">
                  <c:v>22.9663</c:v>
                </c:pt>
                <c:pt idx="461">
                  <c:v>22.175799999999999</c:v>
                </c:pt>
                <c:pt idx="462">
                  <c:v>21.73</c:v>
                </c:pt>
                <c:pt idx="463">
                  <c:v>21.6205</c:v>
                </c:pt>
                <c:pt idx="464">
                  <c:v>21.8123</c:v>
                </c:pt>
                <c:pt idx="465">
                  <c:v>21.2621</c:v>
                </c:pt>
                <c:pt idx="466">
                  <c:v>21.010200000000001</c:v>
                </c:pt>
                <c:pt idx="467">
                  <c:v>21.1829</c:v>
                </c:pt>
                <c:pt idx="468">
                  <c:v>20.765799999999999</c:v>
                </c:pt>
                <c:pt idx="469">
                  <c:v>20.6173</c:v>
                </c:pt>
                <c:pt idx="470">
                  <c:v>21.5776</c:v>
                </c:pt>
                <c:pt idx="471">
                  <c:v>22.0077</c:v>
                </c:pt>
                <c:pt idx="472">
                  <c:v>22.0503</c:v>
                </c:pt>
                <c:pt idx="473">
                  <c:v>22.538599999999999</c:v>
                </c:pt>
                <c:pt idx="474">
                  <c:v>21.837700000000002</c:v>
                </c:pt>
                <c:pt idx="475">
                  <c:v>21.1859</c:v>
                </c:pt>
                <c:pt idx="476">
                  <c:v>20.528600000000001</c:v>
                </c:pt>
                <c:pt idx="477">
                  <c:v>20.349299999999999</c:v>
                </c:pt>
                <c:pt idx="478">
                  <c:v>19.839200000000002</c:v>
                </c:pt>
                <c:pt idx="479">
                  <c:v>19.8111</c:v>
                </c:pt>
                <c:pt idx="480">
                  <c:v>19.546800000000001</c:v>
                </c:pt>
                <c:pt idx="481">
                  <c:v>19.850300000000001</c:v>
                </c:pt>
                <c:pt idx="482">
                  <c:v>20.241700000000002</c:v>
                </c:pt>
                <c:pt idx="483">
                  <c:v>20.008099999999999</c:v>
                </c:pt>
                <c:pt idx="484">
                  <c:v>20.39</c:v>
                </c:pt>
                <c:pt idx="485">
                  <c:v>20.074300000000001</c:v>
                </c:pt>
                <c:pt idx="486">
                  <c:v>19.997199999999999</c:v>
                </c:pt>
                <c:pt idx="487">
                  <c:v>19.8034</c:v>
                </c:pt>
                <c:pt idx="488">
                  <c:v>19.654800000000002</c:v>
                </c:pt>
                <c:pt idx="489">
                  <c:v>19.782699999999998</c:v>
                </c:pt>
                <c:pt idx="490">
                  <c:v>19.7303</c:v>
                </c:pt>
                <c:pt idx="491">
                  <c:v>19.430499999999999</c:v>
                </c:pt>
                <c:pt idx="492">
                  <c:v>19.967700000000001</c:v>
                </c:pt>
                <c:pt idx="493">
                  <c:v>20.234200000000001</c:v>
                </c:pt>
                <c:pt idx="494">
                  <c:v>19.808700000000002</c:v>
                </c:pt>
                <c:pt idx="495">
                  <c:v>19.909700000000001</c:v>
                </c:pt>
                <c:pt idx="496">
                  <c:v>19.783300000000001</c:v>
                </c:pt>
                <c:pt idx="497">
                  <c:v>19.8139</c:v>
                </c:pt>
                <c:pt idx="498">
                  <c:v>19.823599999999999</c:v>
                </c:pt>
                <c:pt idx="499">
                  <c:v>19.750399999999999</c:v>
                </c:pt>
                <c:pt idx="500">
                  <c:v>19.707699999999999</c:v>
                </c:pt>
                <c:pt idx="501">
                  <c:v>19.596699999999998</c:v>
                </c:pt>
                <c:pt idx="502">
                  <c:v>19.208600000000001</c:v>
                </c:pt>
                <c:pt idx="503">
                  <c:v>19.795000000000002</c:v>
                </c:pt>
                <c:pt idx="504">
                  <c:v>19.27</c:v>
                </c:pt>
                <c:pt idx="505">
                  <c:v>18.761800000000001</c:v>
                </c:pt>
                <c:pt idx="506">
                  <c:v>18.344899999999999</c:v>
                </c:pt>
                <c:pt idx="507">
                  <c:v>17.9039</c:v>
                </c:pt>
                <c:pt idx="508">
                  <c:v>18.021899999999999</c:v>
                </c:pt>
                <c:pt idx="509">
                  <c:v>18.198699999999999</c:v>
                </c:pt>
                <c:pt idx="510">
                  <c:v>18.784500000000001</c:v>
                </c:pt>
                <c:pt idx="511">
                  <c:v>18.454000000000001</c:v>
                </c:pt>
                <c:pt idx="512">
                  <c:v>18.813500000000001</c:v>
                </c:pt>
                <c:pt idx="513">
                  <c:v>19.311699999999998</c:v>
                </c:pt>
                <c:pt idx="514">
                  <c:v>19.388100000000001</c:v>
                </c:pt>
                <c:pt idx="515">
                  <c:v>19.501799999999999</c:v>
                </c:pt>
                <c:pt idx="516">
                  <c:v>19.975200000000001</c:v>
                </c:pt>
                <c:pt idx="517">
                  <c:v>19.7758</c:v>
                </c:pt>
                <c:pt idx="518">
                  <c:v>19.243300000000001</c:v>
                </c:pt>
                <c:pt idx="519">
                  <c:v>20.144200000000001</c:v>
                </c:pt>
                <c:pt idx="520">
                  <c:v>20.300699999999999</c:v>
                </c:pt>
                <c:pt idx="521">
                  <c:v>20.889500000000002</c:v>
                </c:pt>
                <c:pt idx="522">
                  <c:v>20.4773</c:v>
                </c:pt>
                <c:pt idx="523">
                  <c:v>21.811299999999999</c:v>
                </c:pt>
                <c:pt idx="524">
                  <c:v>23.164100000000001</c:v>
                </c:pt>
                <c:pt idx="525">
                  <c:v>23.9209</c:v>
                </c:pt>
                <c:pt idx="526">
                  <c:v>24.907900000000001</c:v>
                </c:pt>
                <c:pt idx="527">
                  <c:v>24.2425</c:v>
                </c:pt>
                <c:pt idx="528">
                  <c:v>24.802900000000001</c:v>
                </c:pt>
                <c:pt idx="529">
                  <c:v>23.632300000000001</c:v>
                </c:pt>
                <c:pt idx="530">
                  <c:v>23.658899999999999</c:v>
                </c:pt>
                <c:pt idx="531">
                  <c:v>24.366700000000002</c:v>
                </c:pt>
                <c:pt idx="532">
                  <c:v>23.906600000000001</c:v>
                </c:pt>
                <c:pt idx="533">
                  <c:v>24.111799999999999</c:v>
                </c:pt>
                <c:pt idx="534">
                  <c:v>23.987300000000001</c:v>
                </c:pt>
                <c:pt idx="535">
                  <c:v>24.585100000000001</c:v>
                </c:pt>
                <c:pt idx="536">
                  <c:v>25.427900000000001</c:v>
                </c:pt>
                <c:pt idx="537">
                  <c:v>24.349</c:v>
                </c:pt>
                <c:pt idx="538">
                  <c:v>23.4649</c:v>
                </c:pt>
                <c:pt idx="539">
                  <c:v>23.6005</c:v>
                </c:pt>
                <c:pt idx="540">
                  <c:v>22.247499999999999</c:v>
                </c:pt>
                <c:pt idx="541">
                  <c:v>22.5642</c:v>
                </c:pt>
                <c:pt idx="542">
                  <c:v>24.035900000000002</c:v>
                </c:pt>
                <c:pt idx="543">
                  <c:v>23.6372</c:v>
                </c:pt>
                <c:pt idx="544">
                  <c:v>23.6721</c:v>
                </c:pt>
                <c:pt idx="545">
                  <c:v>22.921800000000001</c:v>
                </c:pt>
                <c:pt idx="546">
                  <c:v>23.2163</c:v>
                </c:pt>
                <c:pt idx="547">
                  <c:v>22.962599999999998</c:v>
                </c:pt>
                <c:pt idx="548">
                  <c:v>22.729299999999999</c:v>
                </c:pt>
                <c:pt idx="549">
                  <c:v>22.454799999999999</c:v>
                </c:pt>
                <c:pt idx="550">
                  <c:v>22.118400000000001</c:v>
                </c:pt>
                <c:pt idx="551">
                  <c:v>22.0838</c:v>
                </c:pt>
                <c:pt idx="552">
                  <c:v>23.4224</c:v>
                </c:pt>
                <c:pt idx="553">
                  <c:v>23.478100000000001</c:v>
                </c:pt>
                <c:pt idx="554">
                  <c:v>24.112500000000001</c:v>
                </c:pt>
                <c:pt idx="555">
                  <c:v>23.792100000000001</c:v>
                </c:pt>
                <c:pt idx="556">
                  <c:v>23.59</c:v>
                </c:pt>
                <c:pt idx="557">
                  <c:v>23.681899999999999</c:v>
                </c:pt>
                <c:pt idx="558">
                  <c:v>24.170500000000001</c:v>
                </c:pt>
                <c:pt idx="559">
                  <c:v>23.230799999999999</c:v>
                </c:pt>
                <c:pt idx="560">
                  <c:v>23.461500000000001</c:v>
                </c:pt>
                <c:pt idx="561">
                  <c:v>23.746600000000001</c:v>
                </c:pt>
                <c:pt idx="562">
                  <c:v>23.637799999999999</c:v>
                </c:pt>
                <c:pt idx="563">
                  <c:v>23.544699999999999</c:v>
                </c:pt>
                <c:pt idx="564">
                  <c:v>23.6159</c:v>
                </c:pt>
                <c:pt idx="565">
                  <c:v>24.008900000000001</c:v>
                </c:pt>
                <c:pt idx="566">
                  <c:v>24.6327</c:v>
                </c:pt>
                <c:pt idx="567">
                  <c:v>24.956</c:v>
                </c:pt>
                <c:pt idx="568">
                  <c:v>24.557400000000001</c:v>
                </c:pt>
                <c:pt idx="569">
                  <c:v>24.2454</c:v>
                </c:pt>
                <c:pt idx="570">
                  <c:v>23.6663</c:v>
                </c:pt>
                <c:pt idx="571">
                  <c:v>23.835999999999999</c:v>
                </c:pt>
                <c:pt idx="572">
                  <c:v>24.514700000000001</c:v>
                </c:pt>
                <c:pt idx="573">
                  <c:v>25.917899999999999</c:v>
                </c:pt>
                <c:pt idx="574">
                  <c:v>25.755099999999999</c:v>
                </c:pt>
                <c:pt idx="575">
                  <c:v>25.457899999999999</c:v>
                </c:pt>
                <c:pt idx="576">
                  <c:v>25.2087</c:v>
                </c:pt>
                <c:pt idx="577">
                  <c:v>24.742000000000001</c:v>
                </c:pt>
                <c:pt idx="578">
                  <c:v>24.819099999999999</c:v>
                </c:pt>
                <c:pt idx="579">
                  <c:v>24.997900000000001</c:v>
                </c:pt>
                <c:pt idx="580">
                  <c:v>24.124700000000001</c:v>
                </c:pt>
                <c:pt idx="581">
                  <c:v>24.53</c:v>
                </c:pt>
                <c:pt idx="582">
                  <c:v>25.053899999999999</c:v>
                </c:pt>
                <c:pt idx="583">
                  <c:v>24.777899999999999</c:v>
                </c:pt>
                <c:pt idx="584">
                  <c:v>24.8643</c:v>
                </c:pt>
                <c:pt idx="585">
                  <c:v>24.932300000000001</c:v>
                </c:pt>
                <c:pt idx="586">
                  <c:v>24.345500000000001</c:v>
                </c:pt>
                <c:pt idx="587">
                  <c:v>24.8325</c:v>
                </c:pt>
                <c:pt idx="588">
                  <c:v>25.122699999999998</c:v>
                </c:pt>
                <c:pt idx="589">
                  <c:v>25.679500000000001</c:v>
                </c:pt>
                <c:pt idx="590">
                  <c:v>26.539899999999999</c:v>
                </c:pt>
                <c:pt idx="591">
                  <c:v>25.781500000000001</c:v>
                </c:pt>
                <c:pt idx="592">
                  <c:v>25.993099999999998</c:v>
                </c:pt>
                <c:pt idx="593">
                  <c:v>26.583100000000002</c:v>
                </c:pt>
                <c:pt idx="594">
                  <c:v>26.983899999999998</c:v>
                </c:pt>
                <c:pt idx="595">
                  <c:v>26.200800000000001</c:v>
                </c:pt>
                <c:pt idx="596">
                  <c:v>26.564699999999998</c:v>
                </c:pt>
                <c:pt idx="597">
                  <c:v>25.5457</c:v>
                </c:pt>
                <c:pt idx="598">
                  <c:v>24.910799999999998</c:v>
                </c:pt>
                <c:pt idx="599">
                  <c:v>25.539000000000001</c:v>
                </c:pt>
                <c:pt idx="600">
                  <c:v>25.9603</c:v>
                </c:pt>
                <c:pt idx="601">
                  <c:v>25.5809</c:v>
                </c:pt>
                <c:pt idx="602">
                  <c:v>24.412400000000002</c:v>
                </c:pt>
                <c:pt idx="603">
                  <c:v>23.625800000000002</c:v>
                </c:pt>
                <c:pt idx="604">
                  <c:v>24.354900000000001</c:v>
                </c:pt>
                <c:pt idx="605">
                  <c:v>23.824000000000002</c:v>
                </c:pt>
                <c:pt idx="606">
                  <c:v>23.5137</c:v>
                </c:pt>
                <c:pt idx="607">
                  <c:v>23.187100000000001</c:v>
                </c:pt>
                <c:pt idx="608">
                  <c:v>23.552099999999999</c:v>
                </c:pt>
                <c:pt idx="609">
                  <c:v>23.691500000000001</c:v>
                </c:pt>
                <c:pt idx="610">
                  <c:v>24.235499999999998</c:v>
                </c:pt>
                <c:pt idx="611">
                  <c:v>25.0853</c:v>
                </c:pt>
                <c:pt idx="612">
                  <c:v>25.438500000000001</c:v>
                </c:pt>
                <c:pt idx="613">
                  <c:v>25.6035</c:v>
                </c:pt>
                <c:pt idx="614">
                  <c:v>25.221499999999999</c:v>
                </c:pt>
                <c:pt idx="615">
                  <c:v>25.297999999999998</c:v>
                </c:pt>
                <c:pt idx="616">
                  <c:v>25.826499999999999</c:v>
                </c:pt>
                <c:pt idx="617">
                  <c:v>25.396999999999998</c:v>
                </c:pt>
                <c:pt idx="618">
                  <c:v>26.019600000000001</c:v>
                </c:pt>
                <c:pt idx="619">
                  <c:v>26.616700000000002</c:v>
                </c:pt>
                <c:pt idx="620">
                  <c:v>26.806100000000001</c:v>
                </c:pt>
                <c:pt idx="621">
                  <c:v>29.1998</c:v>
                </c:pt>
                <c:pt idx="622">
                  <c:v>29.0166</c:v>
                </c:pt>
                <c:pt idx="623">
                  <c:v>27.536899999999999</c:v>
                </c:pt>
                <c:pt idx="624">
                  <c:v>28.528600000000001</c:v>
                </c:pt>
                <c:pt idx="625">
                  <c:v>29.966100000000001</c:v>
                </c:pt>
                <c:pt idx="626">
                  <c:v>30.8063</c:v>
                </c:pt>
                <c:pt idx="627">
                  <c:v>29.363099999999999</c:v>
                </c:pt>
                <c:pt idx="628">
                  <c:v>30.1265</c:v>
                </c:pt>
                <c:pt idx="629">
                  <c:v>29.407800000000002</c:v>
                </c:pt>
                <c:pt idx="630">
                  <c:v>29.2471</c:v>
                </c:pt>
                <c:pt idx="631">
                  <c:v>30.204999999999998</c:v>
                </c:pt>
                <c:pt idx="632">
                  <c:v>29.770499999999998</c:v>
                </c:pt>
                <c:pt idx="633">
                  <c:v>30.7241</c:v>
                </c:pt>
                <c:pt idx="634">
                  <c:v>31.889600000000002</c:v>
                </c:pt>
                <c:pt idx="635">
                  <c:v>32.066200000000002</c:v>
                </c:pt>
                <c:pt idx="636">
                  <c:v>30.837399999999999</c:v>
                </c:pt>
                <c:pt idx="637">
                  <c:v>30.3461</c:v>
                </c:pt>
                <c:pt idx="638">
                  <c:v>29.7639</c:v>
                </c:pt>
                <c:pt idx="639">
                  <c:v>30.942399999999999</c:v>
                </c:pt>
                <c:pt idx="640">
                  <c:v>30.698399999999999</c:v>
                </c:pt>
                <c:pt idx="641">
                  <c:v>30.160599999999999</c:v>
                </c:pt>
                <c:pt idx="642">
                  <c:v>29.969100000000001</c:v>
                </c:pt>
                <c:pt idx="643">
                  <c:v>30.200600000000001</c:v>
                </c:pt>
                <c:pt idx="644">
                  <c:v>29.8383</c:v>
                </c:pt>
                <c:pt idx="645">
                  <c:v>30.6248</c:v>
                </c:pt>
                <c:pt idx="646">
                  <c:v>30.851400000000002</c:v>
                </c:pt>
                <c:pt idx="647">
                  <c:v>31.0425</c:v>
                </c:pt>
                <c:pt idx="648">
                  <c:v>31.987400000000001</c:v>
                </c:pt>
                <c:pt idx="649">
                  <c:v>31.977</c:v>
                </c:pt>
                <c:pt idx="650">
                  <c:v>31.912500000000001</c:v>
                </c:pt>
                <c:pt idx="651">
                  <c:v>32.101999999999997</c:v>
                </c:pt>
                <c:pt idx="652">
                  <c:v>32.536200000000001</c:v>
                </c:pt>
                <c:pt idx="653">
                  <c:v>32.080800000000004</c:v>
                </c:pt>
                <c:pt idx="654">
                  <c:v>30.531600000000001</c:v>
                </c:pt>
                <c:pt idx="655">
                  <c:v>30.842199999999998</c:v>
                </c:pt>
                <c:pt idx="656">
                  <c:v>31.013300000000001</c:v>
                </c:pt>
                <c:pt idx="657">
                  <c:v>30.613</c:v>
                </c:pt>
                <c:pt idx="658">
                  <c:v>30.9297</c:v>
                </c:pt>
                <c:pt idx="659">
                  <c:v>31.3825</c:v>
                </c:pt>
                <c:pt idx="660">
                  <c:v>32.135599999999997</c:v>
                </c:pt>
                <c:pt idx="661">
                  <c:v>32.845700000000001</c:v>
                </c:pt>
                <c:pt idx="662">
                  <c:v>32.635800000000003</c:v>
                </c:pt>
                <c:pt idx="663">
                  <c:v>32.236400000000003</c:v>
                </c:pt>
                <c:pt idx="664">
                  <c:v>32.687899999999999</c:v>
                </c:pt>
                <c:pt idx="665">
                  <c:v>31.6218</c:v>
                </c:pt>
                <c:pt idx="666">
                  <c:v>31.715399999999999</c:v>
                </c:pt>
                <c:pt idx="667">
                  <c:v>32.297800000000002</c:v>
                </c:pt>
                <c:pt idx="668">
                  <c:v>32.332999999999998</c:v>
                </c:pt>
                <c:pt idx="669">
                  <c:v>31.8062</c:v>
                </c:pt>
                <c:pt idx="670">
                  <c:v>31.698499999999999</c:v>
                </c:pt>
                <c:pt idx="671">
                  <c:v>31.644400000000001</c:v>
                </c:pt>
                <c:pt idx="672">
                  <c:v>31.9801</c:v>
                </c:pt>
                <c:pt idx="673">
                  <c:v>33.415700000000001</c:v>
                </c:pt>
                <c:pt idx="674">
                  <c:v>33.293799999999997</c:v>
                </c:pt>
                <c:pt idx="675">
                  <c:v>33.556100000000001</c:v>
                </c:pt>
                <c:pt idx="676">
                  <c:v>33.714599999999997</c:v>
                </c:pt>
                <c:pt idx="677">
                  <c:v>33.365499999999997</c:v>
                </c:pt>
                <c:pt idx="678">
                  <c:v>33.784599999999998</c:v>
                </c:pt>
                <c:pt idx="679">
                  <c:v>32.663699999999999</c:v>
                </c:pt>
                <c:pt idx="680">
                  <c:v>32.542700000000004</c:v>
                </c:pt>
                <c:pt idx="681">
                  <c:v>33.300400000000003</c:v>
                </c:pt>
                <c:pt idx="682">
                  <c:v>33.3735</c:v>
                </c:pt>
                <c:pt idx="683">
                  <c:v>33.537399999999998</c:v>
                </c:pt>
                <c:pt idx="684">
                  <c:v>33.467799999999997</c:v>
                </c:pt>
                <c:pt idx="685">
                  <c:v>33.489600000000003</c:v>
                </c:pt>
                <c:pt idx="686">
                  <c:v>33.779400000000003</c:v>
                </c:pt>
                <c:pt idx="687">
                  <c:v>34.217500000000001</c:v>
                </c:pt>
                <c:pt idx="688">
                  <c:v>35.029400000000003</c:v>
                </c:pt>
                <c:pt idx="689">
                  <c:v>32.785299999999999</c:v>
                </c:pt>
                <c:pt idx="690">
                  <c:v>32.121499999999997</c:v>
                </c:pt>
                <c:pt idx="691">
                  <c:v>32.637</c:v>
                </c:pt>
                <c:pt idx="692">
                  <c:v>33.478299999999997</c:v>
                </c:pt>
                <c:pt idx="693">
                  <c:v>33.152700000000003</c:v>
                </c:pt>
                <c:pt idx="694">
                  <c:v>32.929299999999998</c:v>
                </c:pt>
                <c:pt idx="695">
                  <c:v>33.612299999999998</c:v>
                </c:pt>
                <c:pt idx="696">
                  <c:v>33.627000000000002</c:v>
                </c:pt>
                <c:pt idx="697">
                  <c:v>33.696800000000003</c:v>
                </c:pt>
                <c:pt idx="698">
                  <c:v>33.607300000000002</c:v>
                </c:pt>
                <c:pt idx="699">
                  <c:v>33.630699999999997</c:v>
                </c:pt>
                <c:pt idx="700">
                  <c:v>34.406100000000002</c:v>
                </c:pt>
                <c:pt idx="701">
                  <c:v>35.189799999999998</c:v>
                </c:pt>
                <c:pt idx="702">
                  <c:v>34.950000000000003</c:v>
                </c:pt>
                <c:pt idx="703">
                  <c:v>34.994700000000002</c:v>
                </c:pt>
                <c:pt idx="704">
                  <c:v>34.768999999999998</c:v>
                </c:pt>
                <c:pt idx="705">
                  <c:v>35.202300000000001</c:v>
                </c:pt>
                <c:pt idx="706">
                  <c:v>35.388500000000001</c:v>
                </c:pt>
                <c:pt idx="707">
                  <c:v>35.944600000000001</c:v>
                </c:pt>
                <c:pt idx="708">
                  <c:v>35.941099999999999</c:v>
                </c:pt>
                <c:pt idx="709">
                  <c:v>35.676499999999997</c:v>
                </c:pt>
                <c:pt idx="710">
                  <c:v>35.758800000000001</c:v>
                </c:pt>
                <c:pt idx="711">
                  <c:v>36.377099999999999</c:v>
                </c:pt>
                <c:pt idx="712">
                  <c:v>36.9831</c:v>
                </c:pt>
                <c:pt idx="713">
                  <c:v>37.791899999999998</c:v>
                </c:pt>
                <c:pt idx="714">
                  <c:v>38.503799999999998</c:v>
                </c:pt>
                <c:pt idx="715">
                  <c:v>38.197499999999998</c:v>
                </c:pt>
                <c:pt idx="716">
                  <c:v>37.850299999999997</c:v>
                </c:pt>
                <c:pt idx="717">
                  <c:v>38.302399999999999</c:v>
                </c:pt>
                <c:pt idx="718">
                  <c:v>36.773899999999998</c:v>
                </c:pt>
                <c:pt idx="719">
                  <c:v>37.109299999999998</c:v>
                </c:pt>
                <c:pt idx="720">
                  <c:v>37.982700000000001</c:v>
                </c:pt>
                <c:pt idx="721">
                  <c:v>38.246099999999998</c:v>
                </c:pt>
                <c:pt idx="722">
                  <c:v>39.6935</c:v>
                </c:pt>
                <c:pt idx="723">
                  <c:v>38.639299999999999</c:v>
                </c:pt>
                <c:pt idx="724">
                  <c:v>41.761899999999997</c:v>
                </c:pt>
                <c:pt idx="725">
                  <c:v>41.437800000000003</c:v>
                </c:pt>
                <c:pt idx="726">
                  <c:v>41.394599999999997</c:v>
                </c:pt>
                <c:pt idx="727">
                  <c:v>41.340600000000002</c:v>
                </c:pt>
                <c:pt idx="728">
                  <c:v>42.735700000000001</c:v>
                </c:pt>
                <c:pt idx="729">
                  <c:v>43.613999999999997</c:v>
                </c:pt>
                <c:pt idx="730">
                  <c:v>45.2286</c:v>
                </c:pt>
                <c:pt idx="731">
                  <c:v>44.613500000000002</c:v>
                </c:pt>
                <c:pt idx="732">
                  <c:v>46.581600000000002</c:v>
                </c:pt>
                <c:pt idx="733">
                  <c:v>49.3279</c:v>
                </c:pt>
                <c:pt idx="734">
                  <c:v>52.5764</c:v>
                </c:pt>
                <c:pt idx="735">
                  <c:v>51.4178</c:v>
                </c:pt>
                <c:pt idx="736">
                  <c:v>52.904299999999999</c:v>
                </c:pt>
                <c:pt idx="737">
                  <c:v>51.811300000000003</c:v>
                </c:pt>
                <c:pt idx="738">
                  <c:v>51.892699999999998</c:v>
                </c:pt>
                <c:pt idx="739">
                  <c:v>52.07</c:v>
                </c:pt>
                <c:pt idx="740">
                  <c:v>51.838999999999999</c:v>
                </c:pt>
                <c:pt idx="741">
                  <c:v>52.445</c:v>
                </c:pt>
                <c:pt idx="742">
                  <c:v>52.489600000000003</c:v>
                </c:pt>
                <c:pt idx="743">
                  <c:v>55.382399999999997</c:v>
                </c:pt>
                <c:pt idx="744">
                  <c:v>56.4938</c:v>
                </c:pt>
                <c:pt idx="745">
                  <c:v>55.844000000000001</c:v>
                </c:pt>
                <c:pt idx="746">
                  <c:v>57.713900000000002</c:v>
                </c:pt>
                <c:pt idx="747">
                  <c:v>57.501100000000001</c:v>
                </c:pt>
                <c:pt idx="748">
                  <c:v>58.378700000000002</c:v>
                </c:pt>
                <c:pt idx="749">
                  <c:v>58.378500000000003</c:v>
                </c:pt>
                <c:pt idx="750">
                  <c:v>56.601300000000002</c:v>
                </c:pt>
                <c:pt idx="751">
                  <c:v>56.668799999999997</c:v>
                </c:pt>
                <c:pt idx="752">
                  <c:v>56.5184</c:v>
                </c:pt>
                <c:pt idx="753">
                  <c:v>57.208500000000001</c:v>
                </c:pt>
                <c:pt idx="754">
                  <c:v>57.084099999999999</c:v>
                </c:pt>
                <c:pt idx="755">
                  <c:v>58.130099999999999</c:v>
                </c:pt>
                <c:pt idx="756">
                  <c:v>59.4514</c:v>
                </c:pt>
                <c:pt idx="757">
                  <c:v>59.104900000000001</c:v>
                </c:pt>
                <c:pt idx="758">
                  <c:v>61.614800000000002</c:v>
                </c:pt>
                <c:pt idx="759">
                  <c:v>60.308300000000003</c:v>
                </c:pt>
                <c:pt idx="760">
                  <c:v>62.169699999999999</c:v>
                </c:pt>
                <c:pt idx="761">
                  <c:v>60.817399999999999</c:v>
                </c:pt>
                <c:pt idx="762">
                  <c:v>60.883099999999999</c:v>
                </c:pt>
                <c:pt idx="763">
                  <c:v>60.713200000000001</c:v>
                </c:pt>
                <c:pt idx="764">
                  <c:v>61.508400000000002</c:v>
                </c:pt>
                <c:pt idx="765">
                  <c:v>62.012599999999999</c:v>
                </c:pt>
                <c:pt idx="766">
                  <c:v>61.945099999999996</c:v>
                </c:pt>
                <c:pt idx="767">
                  <c:v>62.963000000000001</c:v>
                </c:pt>
                <c:pt idx="768">
                  <c:v>66.420100000000005</c:v>
                </c:pt>
                <c:pt idx="769">
                  <c:v>68.148099999999999</c:v>
                </c:pt>
                <c:pt idx="770">
                  <c:v>64.294799999999995</c:v>
                </c:pt>
                <c:pt idx="771">
                  <c:v>65.766900000000007</c:v>
                </c:pt>
                <c:pt idx="772">
                  <c:v>61.948999999999998</c:v>
                </c:pt>
                <c:pt idx="773">
                  <c:v>60.237000000000002</c:v>
                </c:pt>
                <c:pt idx="774">
                  <c:v>60.348399999999998</c:v>
                </c:pt>
                <c:pt idx="775">
                  <c:v>62.236499999999999</c:v>
                </c:pt>
                <c:pt idx="776">
                  <c:v>62.241</c:v>
                </c:pt>
                <c:pt idx="777">
                  <c:v>62.819200000000002</c:v>
                </c:pt>
                <c:pt idx="778">
                  <c:v>61.146500000000003</c:v>
                </c:pt>
                <c:pt idx="779">
                  <c:v>60.433700000000002</c:v>
                </c:pt>
                <c:pt idx="780">
                  <c:v>60.249099999999999</c:v>
                </c:pt>
                <c:pt idx="781">
                  <c:v>60.447899999999997</c:v>
                </c:pt>
                <c:pt idx="782">
                  <c:v>60.715899999999998</c:v>
                </c:pt>
                <c:pt idx="783">
                  <c:v>63.802700000000002</c:v>
                </c:pt>
                <c:pt idx="784">
                  <c:v>67.335800000000006</c:v>
                </c:pt>
                <c:pt idx="785">
                  <c:v>65.141599999999997</c:v>
                </c:pt>
                <c:pt idx="786">
                  <c:v>66.820499999999996</c:v>
                </c:pt>
                <c:pt idx="787">
                  <c:v>66.646199999999993</c:v>
                </c:pt>
                <c:pt idx="788">
                  <c:v>65.250100000000003</c:v>
                </c:pt>
                <c:pt idx="789">
                  <c:v>65.965199999999996</c:v>
                </c:pt>
                <c:pt idx="790">
                  <c:v>65.12</c:v>
                </c:pt>
                <c:pt idx="791">
                  <c:v>66.141099999999994</c:v>
                </c:pt>
                <c:pt idx="792">
                  <c:v>71.207700000000003</c:v>
                </c:pt>
                <c:pt idx="793">
                  <c:v>70.222999999999999</c:v>
                </c:pt>
                <c:pt idx="794">
                  <c:v>71.757400000000004</c:v>
                </c:pt>
                <c:pt idx="795">
                  <c:v>72.0608</c:v>
                </c:pt>
                <c:pt idx="796">
                  <c:v>73.865300000000005</c:v>
                </c:pt>
                <c:pt idx="797">
                  <c:v>72.0428</c:v>
                </c:pt>
                <c:pt idx="798">
                  <c:v>72.372100000000003</c:v>
                </c:pt>
                <c:pt idx="799">
                  <c:v>71.262699999999995</c:v>
                </c:pt>
                <c:pt idx="800">
                  <c:v>71.819400000000002</c:v>
                </c:pt>
                <c:pt idx="801">
                  <c:v>71.058400000000006</c:v>
                </c:pt>
                <c:pt idx="802">
                  <c:v>69.086399999999998</c:v>
                </c:pt>
                <c:pt idx="803">
                  <c:v>68.525400000000005</c:v>
                </c:pt>
                <c:pt idx="804">
                  <c:v>67.022599999999997</c:v>
                </c:pt>
                <c:pt idx="805">
                  <c:v>67.613699999999994</c:v>
                </c:pt>
                <c:pt idx="806">
                  <c:v>68.400800000000004</c:v>
                </c:pt>
                <c:pt idx="807">
                  <c:v>68.098500000000001</c:v>
                </c:pt>
                <c:pt idx="808">
                  <c:v>67.8309</c:v>
                </c:pt>
                <c:pt idx="809">
                  <c:v>69.428200000000004</c:v>
                </c:pt>
                <c:pt idx="810">
                  <c:v>68.702100000000002</c:v>
                </c:pt>
                <c:pt idx="811">
                  <c:v>68.369</c:v>
                </c:pt>
                <c:pt idx="812">
                  <c:v>69.268900000000002</c:v>
                </c:pt>
                <c:pt idx="813">
                  <c:v>69.706800000000001</c:v>
                </c:pt>
                <c:pt idx="814">
                  <c:v>70.630099999999999</c:v>
                </c:pt>
                <c:pt idx="815">
                  <c:v>71.696100000000001</c:v>
                </c:pt>
                <c:pt idx="816">
                  <c:v>71.193600000000004</c:v>
                </c:pt>
                <c:pt idx="817">
                  <c:v>68.044300000000007</c:v>
                </c:pt>
                <c:pt idx="818">
                  <c:v>68.374099999999999</c:v>
                </c:pt>
                <c:pt idx="819">
                  <c:v>68.587400000000002</c:v>
                </c:pt>
                <c:pt idx="820">
                  <c:v>68.725999999999999</c:v>
                </c:pt>
                <c:pt idx="821">
                  <c:v>68.598299999999995</c:v>
                </c:pt>
                <c:pt idx="822">
                  <c:v>69.69</c:v>
                </c:pt>
                <c:pt idx="823">
                  <c:v>78.433700000000002</c:v>
                </c:pt>
                <c:pt idx="824">
                  <c:v>78.0779</c:v>
                </c:pt>
                <c:pt idx="825">
                  <c:v>79.498699999999999</c:v>
                </c:pt>
                <c:pt idx="826">
                  <c:v>76.709900000000005</c:v>
                </c:pt>
                <c:pt idx="827">
                  <c:v>76.444699999999997</c:v>
                </c:pt>
                <c:pt idx="828">
                  <c:v>75.667500000000004</c:v>
                </c:pt>
                <c:pt idx="829">
                  <c:v>76.211299999999994</c:v>
                </c:pt>
                <c:pt idx="830">
                  <c:v>78.231700000000004</c:v>
                </c:pt>
                <c:pt idx="831">
                  <c:v>76.591099999999997</c:v>
                </c:pt>
                <c:pt idx="832">
                  <c:v>78.843599999999995</c:v>
                </c:pt>
                <c:pt idx="833">
                  <c:v>76.1751</c:v>
                </c:pt>
                <c:pt idx="834">
                  <c:v>76.410899999999998</c:v>
                </c:pt>
                <c:pt idx="835">
                  <c:v>77.887799999999999</c:v>
                </c:pt>
                <c:pt idx="836">
                  <c:v>78.569400000000002</c:v>
                </c:pt>
                <c:pt idx="837">
                  <c:v>81.173699999999997</c:v>
                </c:pt>
                <c:pt idx="838">
                  <c:v>83.627499999999998</c:v>
                </c:pt>
                <c:pt idx="839">
                  <c:v>82.7196</c:v>
                </c:pt>
                <c:pt idx="840">
                  <c:v>82.142700000000005</c:v>
                </c:pt>
                <c:pt idx="841">
                  <c:v>82.333200000000005</c:v>
                </c:pt>
                <c:pt idx="842">
                  <c:v>84.297499999999999</c:v>
                </c:pt>
                <c:pt idx="843">
                  <c:v>83.675200000000004</c:v>
                </c:pt>
                <c:pt idx="844">
                  <c:v>84.941100000000006</c:v>
                </c:pt>
                <c:pt idx="845">
                  <c:v>89.219499999999996</c:v>
                </c:pt>
                <c:pt idx="846">
                  <c:v>88.392200000000003</c:v>
                </c:pt>
                <c:pt idx="847">
                  <c:v>90.881</c:v>
                </c:pt>
                <c:pt idx="848">
                  <c:v>88.883099999999999</c:v>
                </c:pt>
                <c:pt idx="849">
                  <c:v>92.156199999999998</c:v>
                </c:pt>
                <c:pt idx="850">
                  <c:v>92.974500000000006</c:v>
                </c:pt>
                <c:pt idx="851">
                  <c:v>91.903800000000004</c:v>
                </c:pt>
                <c:pt idx="852">
                  <c:v>93.408000000000001</c:v>
                </c:pt>
                <c:pt idx="853">
                  <c:v>95.564599999999999</c:v>
                </c:pt>
                <c:pt idx="854">
                  <c:v>91.983400000000003</c:v>
                </c:pt>
                <c:pt idx="855">
                  <c:v>90.001400000000004</c:v>
                </c:pt>
                <c:pt idx="856">
                  <c:v>90.289100000000005</c:v>
                </c:pt>
                <c:pt idx="857">
                  <c:v>75.181700000000006</c:v>
                </c:pt>
                <c:pt idx="858">
                  <c:v>82.837699999999998</c:v>
                </c:pt>
                <c:pt idx="859">
                  <c:v>84.337299999999999</c:v>
                </c:pt>
                <c:pt idx="860">
                  <c:v>77.962299999999999</c:v>
                </c:pt>
                <c:pt idx="861">
                  <c:v>83.508600000000001</c:v>
                </c:pt>
                <c:pt idx="862">
                  <c:v>82.6982</c:v>
                </c:pt>
                <c:pt idx="863">
                  <c:v>77.773499999999999</c:v>
                </c:pt>
                <c:pt idx="864">
                  <c:v>78.135300000000001</c:v>
                </c:pt>
                <c:pt idx="865">
                  <c:v>80.267600000000002</c:v>
                </c:pt>
                <c:pt idx="866">
                  <c:v>84.063900000000004</c:v>
                </c:pt>
                <c:pt idx="867">
                  <c:v>82.7346</c:v>
                </c:pt>
                <c:pt idx="868">
                  <c:v>85.546499999999995</c:v>
                </c:pt>
                <c:pt idx="869">
                  <c:v>85.225099999999998</c:v>
                </c:pt>
                <c:pt idx="870">
                  <c:v>87.344700000000003</c:v>
                </c:pt>
                <c:pt idx="871">
                  <c:v>82.521299999999997</c:v>
                </c:pt>
                <c:pt idx="872">
                  <c:v>80.509799999999998</c:v>
                </c:pt>
                <c:pt idx="873">
                  <c:v>87.302199999999999</c:v>
                </c:pt>
                <c:pt idx="874">
                  <c:v>94.070400000000006</c:v>
                </c:pt>
                <c:pt idx="875">
                  <c:v>101.7058</c:v>
                </c:pt>
                <c:pt idx="876">
                  <c:v>99.4</c:v>
                </c:pt>
                <c:pt idx="877">
                  <c:v>97.597099999999998</c:v>
                </c:pt>
                <c:pt idx="878">
                  <c:v>97.792599999999993</c:v>
                </c:pt>
                <c:pt idx="879">
                  <c:v>94.348100000000002</c:v>
                </c:pt>
                <c:pt idx="880">
                  <c:v>98.823499999999996</c:v>
                </c:pt>
                <c:pt idx="881">
                  <c:v>97.067400000000006</c:v>
                </c:pt>
                <c:pt idx="882">
                  <c:v>102.10080000000001</c:v>
                </c:pt>
                <c:pt idx="883">
                  <c:v>103.3417</c:v>
                </c:pt>
                <c:pt idx="884">
                  <c:v>101.2684</c:v>
                </c:pt>
                <c:pt idx="885">
                  <c:v>100.91119999999999</c:v>
                </c:pt>
                <c:pt idx="886">
                  <c:v>100.04259999999999</c:v>
                </c:pt>
                <c:pt idx="887">
                  <c:v>100.5312</c:v>
                </c:pt>
                <c:pt idx="888">
                  <c:v>101.4295</c:v>
                </c:pt>
                <c:pt idx="889">
                  <c:v>102.1639</c:v>
                </c:pt>
                <c:pt idx="890">
                  <c:v>99.440100000000001</c:v>
                </c:pt>
                <c:pt idx="891">
                  <c:v>97.947599999999994</c:v>
                </c:pt>
                <c:pt idx="892">
                  <c:v>98.990899999999996</c:v>
                </c:pt>
                <c:pt idx="893">
                  <c:v>100.4868</c:v>
                </c:pt>
                <c:pt idx="894">
                  <c:v>97.905000000000001</c:v>
                </c:pt>
                <c:pt idx="895">
                  <c:v>99.454300000000003</c:v>
                </c:pt>
                <c:pt idx="896">
                  <c:v>98.546899999999994</c:v>
                </c:pt>
                <c:pt idx="897">
                  <c:v>100.2257</c:v>
                </c:pt>
                <c:pt idx="898">
                  <c:v>100.5954</c:v>
                </c:pt>
                <c:pt idx="899">
                  <c:v>99.402900000000002</c:v>
                </c:pt>
                <c:pt idx="900">
                  <c:v>100.045</c:v>
                </c:pt>
                <c:pt idx="901">
                  <c:v>102.1477</c:v>
                </c:pt>
                <c:pt idx="902">
                  <c:v>105.0772</c:v>
                </c:pt>
                <c:pt idx="903">
                  <c:v>106.004</c:v>
                </c:pt>
                <c:pt idx="904">
                  <c:v>102.7979</c:v>
                </c:pt>
                <c:pt idx="905">
                  <c:v>103.07429999999999</c:v>
                </c:pt>
                <c:pt idx="906">
                  <c:v>105.5852</c:v>
                </c:pt>
                <c:pt idx="907">
                  <c:v>104.7256</c:v>
                </c:pt>
                <c:pt idx="908">
                  <c:v>102.3631</c:v>
                </c:pt>
                <c:pt idx="909">
                  <c:v>98.5702</c:v>
                </c:pt>
                <c:pt idx="910">
                  <c:v>100.2323</c:v>
                </c:pt>
                <c:pt idx="911">
                  <c:v>98.438299999999998</c:v>
                </c:pt>
                <c:pt idx="912">
                  <c:v>93.247799999999998</c:v>
                </c:pt>
                <c:pt idx="913">
                  <c:v>86.672700000000006</c:v>
                </c:pt>
                <c:pt idx="914">
                  <c:v>83.859899999999996</c:v>
                </c:pt>
                <c:pt idx="915">
                  <c:v>82.043899999999994</c:v>
                </c:pt>
                <c:pt idx="916">
                  <c:v>83.719499999999996</c:v>
                </c:pt>
                <c:pt idx="917">
                  <c:v>74.601399999999998</c:v>
                </c:pt>
                <c:pt idx="918">
                  <c:v>68.958299999999994</c:v>
                </c:pt>
                <c:pt idx="919">
                  <c:v>68.588399999999993</c:v>
                </c:pt>
                <c:pt idx="920">
                  <c:v>69.395600000000002</c:v>
                </c:pt>
                <c:pt idx="921">
                  <c:v>68.099100000000007</c:v>
                </c:pt>
                <c:pt idx="922">
                  <c:v>67.690100000000001</c:v>
                </c:pt>
                <c:pt idx="923">
                  <c:v>66.604699999999994</c:v>
                </c:pt>
                <c:pt idx="924">
                  <c:v>64.642499999999998</c:v>
                </c:pt>
                <c:pt idx="925">
                  <c:v>68.216200000000001</c:v>
                </c:pt>
                <c:pt idx="926">
                  <c:v>77.952200000000005</c:v>
                </c:pt>
                <c:pt idx="927">
                  <c:v>77.863100000000003</c:v>
                </c:pt>
                <c:pt idx="928">
                  <c:v>81.138900000000007</c:v>
                </c:pt>
                <c:pt idx="929">
                  <c:v>79.780199999999994</c:v>
                </c:pt>
                <c:pt idx="930">
                  <c:v>83.699600000000004</c:v>
                </c:pt>
                <c:pt idx="931">
                  <c:v>84.309700000000007</c:v>
                </c:pt>
                <c:pt idx="932">
                  <c:v>85.570300000000003</c:v>
                </c:pt>
                <c:pt idx="933">
                  <c:v>89.533799999999999</c:v>
                </c:pt>
                <c:pt idx="934">
                  <c:v>93.123099999999994</c:v>
                </c:pt>
                <c:pt idx="935">
                  <c:v>91.594499999999996</c:v>
                </c:pt>
                <c:pt idx="936">
                  <c:v>93.621899999999997</c:v>
                </c:pt>
                <c:pt idx="937">
                  <c:v>90.793000000000006</c:v>
                </c:pt>
                <c:pt idx="938">
                  <c:v>89.389899999999997</c:v>
                </c:pt>
                <c:pt idx="939">
                  <c:v>86.766199999999998</c:v>
                </c:pt>
                <c:pt idx="940">
                  <c:v>88.585599999999999</c:v>
                </c:pt>
                <c:pt idx="941">
                  <c:v>92.949799999999996</c:v>
                </c:pt>
                <c:pt idx="942">
                  <c:v>90.054599999999994</c:v>
                </c:pt>
                <c:pt idx="943">
                  <c:v>91.468500000000006</c:v>
                </c:pt>
                <c:pt idx="944">
                  <c:v>92.517700000000005</c:v>
                </c:pt>
                <c:pt idx="945">
                  <c:v>91.494799999999998</c:v>
                </c:pt>
                <c:pt idx="946">
                  <c:v>89.590500000000006</c:v>
                </c:pt>
                <c:pt idx="947">
                  <c:v>92.221599999999995</c:v>
                </c:pt>
                <c:pt idx="948">
                  <c:v>96.628399999999999</c:v>
                </c:pt>
                <c:pt idx="949">
                  <c:v>95.415099999999995</c:v>
                </c:pt>
                <c:pt idx="950">
                  <c:v>95.947199999999995</c:v>
                </c:pt>
                <c:pt idx="951">
                  <c:v>95.119</c:v>
                </c:pt>
                <c:pt idx="952">
                  <c:v>92.693399999999997</c:v>
                </c:pt>
                <c:pt idx="953">
                  <c:v>93.640199999999993</c:v>
                </c:pt>
                <c:pt idx="954">
                  <c:v>98.9268</c:v>
                </c:pt>
                <c:pt idx="955">
                  <c:v>97.871799999999993</c:v>
                </c:pt>
                <c:pt idx="956">
                  <c:v>96.741200000000006</c:v>
                </c:pt>
                <c:pt idx="957">
                  <c:v>97.337100000000007</c:v>
                </c:pt>
                <c:pt idx="958">
                  <c:v>96.197400000000002</c:v>
                </c:pt>
                <c:pt idx="959">
                  <c:v>95.898099999999999</c:v>
                </c:pt>
                <c:pt idx="960">
                  <c:v>96.345399999999998</c:v>
                </c:pt>
                <c:pt idx="961">
                  <c:v>92.685599999999994</c:v>
                </c:pt>
                <c:pt idx="962">
                  <c:v>92.209599999999995</c:v>
                </c:pt>
                <c:pt idx="963">
                  <c:v>93.9893</c:v>
                </c:pt>
                <c:pt idx="964">
                  <c:v>92.278499999999994</c:v>
                </c:pt>
                <c:pt idx="965">
                  <c:v>90.411199999999994</c:v>
                </c:pt>
                <c:pt idx="966">
                  <c:v>90.280500000000004</c:v>
                </c:pt>
                <c:pt idx="967">
                  <c:v>89.981399999999994</c:v>
                </c:pt>
                <c:pt idx="968">
                  <c:v>89.732200000000006</c:v>
                </c:pt>
                <c:pt idx="969">
                  <c:v>85.270899999999997</c:v>
                </c:pt>
                <c:pt idx="970">
                  <c:v>86.5214</c:v>
                </c:pt>
                <c:pt idx="971">
                  <c:v>85.050399999999996</c:v>
                </c:pt>
                <c:pt idx="972">
                  <c:v>87.178600000000003</c:v>
                </c:pt>
                <c:pt idx="973">
                  <c:v>88.837199999999996</c:v>
                </c:pt>
                <c:pt idx="974">
                  <c:v>92.006200000000007</c:v>
                </c:pt>
                <c:pt idx="975">
                  <c:v>89.465100000000007</c:v>
                </c:pt>
                <c:pt idx="976">
                  <c:v>93.031800000000004</c:v>
                </c:pt>
                <c:pt idx="977">
                  <c:v>92.868300000000005</c:v>
                </c:pt>
                <c:pt idx="978">
                  <c:v>93.552400000000006</c:v>
                </c:pt>
                <c:pt idx="979">
                  <c:v>95.635000000000005</c:v>
                </c:pt>
                <c:pt idx="980">
                  <c:v>93.161900000000003</c:v>
                </c:pt>
                <c:pt idx="981">
                  <c:v>92.715599999999995</c:v>
                </c:pt>
                <c:pt idx="982">
                  <c:v>92.416300000000007</c:v>
                </c:pt>
                <c:pt idx="983">
                  <c:v>94.278300000000002</c:v>
                </c:pt>
                <c:pt idx="984">
                  <c:v>89.191999999999993</c:v>
                </c:pt>
                <c:pt idx="985">
                  <c:v>86.393100000000004</c:v>
                </c:pt>
                <c:pt idx="986">
                  <c:v>86.235100000000003</c:v>
                </c:pt>
                <c:pt idx="987">
                  <c:v>89.442700000000002</c:v>
                </c:pt>
                <c:pt idx="988">
                  <c:v>89.815799999999996</c:v>
                </c:pt>
                <c:pt idx="989">
                  <c:v>87.090599999999995</c:v>
                </c:pt>
                <c:pt idx="990">
                  <c:v>88.3279</c:v>
                </c:pt>
                <c:pt idx="991">
                  <c:v>87.696200000000005</c:v>
                </c:pt>
                <c:pt idx="992">
                  <c:v>88.747900000000001</c:v>
                </c:pt>
                <c:pt idx="993">
                  <c:v>88.558300000000003</c:v>
                </c:pt>
                <c:pt idx="994">
                  <c:v>84.774299999999997</c:v>
                </c:pt>
                <c:pt idx="995">
                  <c:v>85.571100000000001</c:v>
                </c:pt>
                <c:pt idx="996">
                  <c:v>83.581500000000005</c:v>
                </c:pt>
                <c:pt idx="997">
                  <c:v>82.218100000000007</c:v>
                </c:pt>
                <c:pt idx="998">
                  <c:v>78.728099999999998</c:v>
                </c:pt>
                <c:pt idx="999">
                  <c:v>80.9786</c:v>
                </c:pt>
                <c:pt idx="1000">
                  <c:v>73.360399999999998</c:v>
                </c:pt>
                <c:pt idx="1001">
                  <c:v>69.906300000000002</c:v>
                </c:pt>
                <c:pt idx="1002">
                  <c:v>76.298699999999997</c:v>
                </c:pt>
                <c:pt idx="1003">
                  <c:v>78.5916</c:v>
                </c:pt>
                <c:pt idx="1004">
                  <c:v>75.234999999999999</c:v>
                </c:pt>
                <c:pt idx="1005">
                  <c:v>74.235699999999994</c:v>
                </c:pt>
                <c:pt idx="1006">
                  <c:v>77.525000000000006</c:v>
                </c:pt>
                <c:pt idx="1007">
                  <c:v>79.762100000000004</c:v>
                </c:pt>
                <c:pt idx="1008">
                  <c:v>79.576400000000007</c:v>
                </c:pt>
                <c:pt idx="1009">
                  <c:v>79.608800000000002</c:v>
                </c:pt>
                <c:pt idx="1010">
                  <c:v>81.482500000000002</c:v>
                </c:pt>
                <c:pt idx="1011">
                  <c:v>82.394599999999997</c:v>
                </c:pt>
                <c:pt idx="1012">
                  <c:v>82.787300000000002</c:v>
                </c:pt>
                <c:pt idx="1013">
                  <c:v>84.278300000000002</c:v>
                </c:pt>
                <c:pt idx="1014">
                  <c:v>82.272099999999995</c:v>
                </c:pt>
                <c:pt idx="1015">
                  <c:v>76.475099999999998</c:v>
                </c:pt>
                <c:pt idx="1016">
                  <c:v>79.741100000000003</c:v>
                </c:pt>
                <c:pt idx="1017">
                  <c:v>80.955600000000004</c:v>
                </c:pt>
                <c:pt idx="1018">
                  <c:v>76.250900000000001</c:v>
                </c:pt>
                <c:pt idx="1019">
                  <c:v>75.931700000000006</c:v>
                </c:pt>
                <c:pt idx="1020">
                  <c:v>74.697500000000005</c:v>
                </c:pt>
                <c:pt idx="1021">
                  <c:v>75.468699999999998</c:v>
                </c:pt>
                <c:pt idx="1022">
                  <c:v>79.143199999999993</c:v>
                </c:pt>
                <c:pt idx="1023">
                  <c:v>77.354900000000001</c:v>
                </c:pt>
                <c:pt idx="1024">
                  <c:v>74.676500000000004</c:v>
                </c:pt>
                <c:pt idx="1025">
                  <c:v>73.709100000000007</c:v>
                </c:pt>
                <c:pt idx="1026">
                  <c:v>75.752499999999998</c:v>
                </c:pt>
                <c:pt idx="1027">
                  <c:v>77.338399999999993</c:v>
                </c:pt>
                <c:pt idx="1028">
                  <c:v>78.845600000000005</c:v>
                </c:pt>
                <c:pt idx="1029">
                  <c:v>78.520099999999999</c:v>
                </c:pt>
                <c:pt idx="1030">
                  <c:v>77.434299999999993</c:v>
                </c:pt>
                <c:pt idx="1031">
                  <c:v>76.419300000000007</c:v>
                </c:pt>
                <c:pt idx="1032">
                  <c:v>77.340199999999996</c:v>
                </c:pt>
                <c:pt idx="1033">
                  <c:v>78.504499999999993</c:v>
                </c:pt>
                <c:pt idx="1034">
                  <c:v>76.803700000000006</c:v>
                </c:pt>
                <c:pt idx="1035">
                  <c:v>73.910399999999996</c:v>
                </c:pt>
                <c:pt idx="1036">
                  <c:v>73.345799999999997</c:v>
                </c:pt>
                <c:pt idx="1037">
                  <c:v>73.778599999999997</c:v>
                </c:pt>
                <c:pt idx="1038">
                  <c:v>73.181200000000004</c:v>
                </c:pt>
                <c:pt idx="1039">
                  <c:v>73.346900000000005</c:v>
                </c:pt>
                <c:pt idx="1040">
                  <c:v>70.108599999999996</c:v>
                </c:pt>
                <c:pt idx="1041">
                  <c:v>69.684100000000001</c:v>
                </c:pt>
                <c:pt idx="1042">
                  <c:v>68.412899999999993</c:v>
                </c:pt>
                <c:pt idx="1043">
                  <c:v>70.0548</c:v>
                </c:pt>
                <c:pt idx="1044">
                  <c:v>65.563800000000001</c:v>
                </c:pt>
                <c:pt idx="1045">
                  <c:v>68.364099999999993</c:v>
                </c:pt>
                <c:pt idx="1046">
                  <c:v>68.934600000000003</c:v>
                </c:pt>
                <c:pt idx="1047">
                  <c:v>69.815700000000007</c:v>
                </c:pt>
                <c:pt idx="1048">
                  <c:v>67.330299999999994</c:v>
                </c:pt>
                <c:pt idx="1049">
                  <c:v>63.366300000000003</c:v>
                </c:pt>
                <c:pt idx="1050">
                  <c:v>63.4313</c:v>
                </c:pt>
                <c:pt idx="1051">
                  <c:v>62.526400000000002</c:v>
                </c:pt>
                <c:pt idx="1052">
                  <c:v>63.7883</c:v>
                </c:pt>
                <c:pt idx="1053">
                  <c:v>62.920699999999997</c:v>
                </c:pt>
                <c:pt idx="1054">
                  <c:v>64.168099999999995</c:v>
                </c:pt>
                <c:pt idx="1055">
                  <c:v>66.023200000000003</c:v>
                </c:pt>
                <c:pt idx="1056">
                  <c:v>64.122500000000002</c:v>
                </c:pt>
                <c:pt idx="1057">
                  <c:v>64.6691</c:v>
                </c:pt>
                <c:pt idx="1058">
                  <c:v>64.090900000000005</c:v>
                </c:pt>
                <c:pt idx="1059">
                  <c:v>63.681600000000003</c:v>
                </c:pt>
                <c:pt idx="1060">
                  <c:v>64.593500000000006</c:v>
                </c:pt>
                <c:pt idx="1061">
                  <c:v>67.643100000000004</c:v>
                </c:pt>
                <c:pt idx="1062">
                  <c:v>67.996499999999997</c:v>
                </c:pt>
                <c:pt idx="1063">
                  <c:v>69.908299999999997</c:v>
                </c:pt>
                <c:pt idx="1064">
                  <c:v>73.403599999999997</c:v>
                </c:pt>
                <c:pt idx="1065">
                  <c:v>75.740700000000004</c:v>
                </c:pt>
                <c:pt idx="1066">
                  <c:v>77.159599999999998</c:v>
                </c:pt>
                <c:pt idx="1067">
                  <c:v>77.659300000000002</c:v>
                </c:pt>
                <c:pt idx="1068">
                  <c:v>76.439099999999996</c:v>
                </c:pt>
                <c:pt idx="1069">
                  <c:v>77.936999999999998</c:v>
                </c:pt>
                <c:pt idx="1070">
                  <c:v>77.807000000000002</c:v>
                </c:pt>
                <c:pt idx="1071">
                  <c:v>76.597700000000003</c:v>
                </c:pt>
                <c:pt idx="1072">
                  <c:v>75.682500000000005</c:v>
                </c:pt>
                <c:pt idx="1073">
                  <c:v>75.000900000000001</c:v>
                </c:pt>
                <c:pt idx="1074">
                  <c:v>75.076300000000003</c:v>
                </c:pt>
                <c:pt idx="1075">
                  <c:v>75.121600000000001</c:v>
                </c:pt>
                <c:pt idx="1076">
                  <c:v>74.884100000000004</c:v>
                </c:pt>
                <c:pt idx="1077">
                  <c:v>76.260900000000007</c:v>
                </c:pt>
                <c:pt idx="1078">
                  <c:v>78.231099999999998</c:v>
                </c:pt>
                <c:pt idx="1079">
                  <c:v>77.674599999999998</c:v>
                </c:pt>
                <c:pt idx="1080">
                  <c:v>77.138900000000007</c:v>
                </c:pt>
                <c:pt idx="1081">
                  <c:v>75.185699999999997</c:v>
                </c:pt>
                <c:pt idx="1082">
                  <c:v>73.286799999999999</c:v>
                </c:pt>
                <c:pt idx="1083">
                  <c:v>73.9054</c:v>
                </c:pt>
                <c:pt idx="1084">
                  <c:v>73.999099999999999</c:v>
                </c:pt>
                <c:pt idx="1085">
                  <c:v>76.401399999999995</c:v>
                </c:pt>
                <c:pt idx="1086">
                  <c:v>77.508200000000002</c:v>
                </c:pt>
                <c:pt idx="1087">
                  <c:v>76.537199999999999</c:v>
                </c:pt>
                <c:pt idx="1088">
                  <c:v>75.102000000000004</c:v>
                </c:pt>
                <c:pt idx="1089">
                  <c:v>75.766300000000001</c:v>
                </c:pt>
                <c:pt idx="1090">
                  <c:v>76.946200000000005</c:v>
                </c:pt>
                <c:pt idx="1091">
                  <c:v>78.497900000000001</c:v>
                </c:pt>
                <c:pt idx="1092">
                  <c:v>77.984099999999998</c:v>
                </c:pt>
                <c:pt idx="1093">
                  <c:v>78.663399999999996</c:v>
                </c:pt>
                <c:pt idx="1094">
                  <c:v>80.020600000000002</c:v>
                </c:pt>
                <c:pt idx="1095">
                  <c:v>81.578699999999998</c:v>
                </c:pt>
                <c:pt idx="1096">
                  <c:v>79.778599999999997</c:v>
                </c:pt>
                <c:pt idx="1097">
                  <c:v>78.974000000000004</c:v>
                </c:pt>
                <c:pt idx="1098">
                  <c:v>79.015900000000002</c:v>
                </c:pt>
                <c:pt idx="1099">
                  <c:v>78.791200000000003</c:v>
                </c:pt>
                <c:pt idx="1100">
                  <c:v>79.711399999999998</c:v>
                </c:pt>
                <c:pt idx="1101">
                  <c:v>80.909800000000004</c:v>
                </c:pt>
                <c:pt idx="1102">
                  <c:v>81.571799999999996</c:v>
                </c:pt>
                <c:pt idx="1103">
                  <c:v>83.450800000000001</c:v>
                </c:pt>
                <c:pt idx="1104">
                  <c:v>82.767899999999997</c:v>
                </c:pt>
                <c:pt idx="1105">
                  <c:v>84.050700000000006</c:v>
                </c:pt>
                <c:pt idx="1106">
                  <c:v>85.3018</c:v>
                </c:pt>
                <c:pt idx="1107">
                  <c:v>85.812700000000007</c:v>
                </c:pt>
                <c:pt idx="1108">
                  <c:v>84.587699999999998</c:v>
                </c:pt>
                <c:pt idx="1109">
                  <c:v>83.146299999999997</c:v>
                </c:pt>
                <c:pt idx="1110">
                  <c:v>83.7072</c:v>
                </c:pt>
                <c:pt idx="1111">
                  <c:v>85.394999999999996</c:v>
                </c:pt>
                <c:pt idx="1112">
                  <c:v>85.769099999999995</c:v>
                </c:pt>
                <c:pt idx="1113">
                  <c:v>85.103899999999996</c:v>
                </c:pt>
                <c:pt idx="1114">
                  <c:v>81.770099999999999</c:v>
                </c:pt>
                <c:pt idx="1115">
                  <c:v>79.513099999999994</c:v>
                </c:pt>
                <c:pt idx="1116">
                  <c:v>77.151600000000002</c:v>
                </c:pt>
                <c:pt idx="1117">
                  <c:v>76.069100000000006</c:v>
                </c:pt>
                <c:pt idx="1118">
                  <c:v>76.029799999999994</c:v>
                </c:pt>
                <c:pt idx="1119">
                  <c:v>76.097999999999999</c:v>
                </c:pt>
                <c:pt idx="1120">
                  <c:v>74.7089</c:v>
                </c:pt>
                <c:pt idx="1121">
                  <c:v>73.317400000000006</c:v>
                </c:pt>
                <c:pt idx="1122">
                  <c:v>73.124700000000004</c:v>
                </c:pt>
                <c:pt idx="1123">
                  <c:v>72.771500000000003</c:v>
                </c:pt>
                <c:pt idx="1124">
                  <c:v>72.833299999999994</c:v>
                </c:pt>
                <c:pt idx="1125">
                  <c:v>72.692300000000003</c:v>
                </c:pt>
                <c:pt idx="1126">
                  <c:v>72.790499999999994</c:v>
                </c:pt>
                <c:pt idx="1127">
                  <c:v>71.918099999999995</c:v>
                </c:pt>
                <c:pt idx="1128">
                  <c:v>70.216899999999995</c:v>
                </c:pt>
                <c:pt idx="1129">
                  <c:v>69.635800000000003</c:v>
                </c:pt>
                <c:pt idx="1130">
                  <c:v>71.796899999999994</c:v>
                </c:pt>
                <c:pt idx="1131">
                  <c:v>73.356499999999997</c:v>
                </c:pt>
                <c:pt idx="1132">
                  <c:v>72.2881</c:v>
                </c:pt>
                <c:pt idx="1133">
                  <c:v>73.897400000000005</c:v>
                </c:pt>
                <c:pt idx="1134">
                  <c:v>72.5077</c:v>
                </c:pt>
                <c:pt idx="1135">
                  <c:v>73.977099999999993</c:v>
                </c:pt>
                <c:pt idx="1136">
                  <c:v>76.183499999999995</c:v>
                </c:pt>
                <c:pt idx="1137">
                  <c:v>77.412599999999998</c:v>
                </c:pt>
                <c:pt idx="1138">
                  <c:v>76.869900000000001</c:v>
                </c:pt>
                <c:pt idx="1139">
                  <c:v>75.084100000000007</c:v>
                </c:pt>
                <c:pt idx="1140">
                  <c:v>73.610500000000002</c:v>
                </c:pt>
                <c:pt idx="1141">
                  <c:v>73.766099999999994</c:v>
                </c:pt>
                <c:pt idx="1142">
                  <c:v>74.781800000000004</c:v>
                </c:pt>
                <c:pt idx="1143">
                  <c:v>75.293099999999995</c:v>
                </c:pt>
                <c:pt idx="1144">
                  <c:v>76.770799999999994</c:v>
                </c:pt>
                <c:pt idx="1145">
                  <c:v>75.594999999999999</c:v>
                </c:pt>
                <c:pt idx="1146">
                  <c:v>75.480199999999996</c:v>
                </c:pt>
                <c:pt idx="1147">
                  <c:v>75.587400000000002</c:v>
                </c:pt>
                <c:pt idx="1148">
                  <c:v>75.282499999999999</c:v>
                </c:pt>
                <c:pt idx="1149">
                  <c:v>73.461399999999998</c:v>
                </c:pt>
                <c:pt idx="1150">
                  <c:v>72.017700000000005</c:v>
                </c:pt>
                <c:pt idx="1151">
                  <c:v>73.129900000000006</c:v>
                </c:pt>
                <c:pt idx="1152">
                  <c:v>73.478200000000001</c:v>
                </c:pt>
                <c:pt idx="1153">
                  <c:v>70.474100000000007</c:v>
                </c:pt>
                <c:pt idx="1154">
                  <c:v>69.365899999999996</c:v>
                </c:pt>
                <c:pt idx="1155">
                  <c:v>69.167000000000002</c:v>
                </c:pt>
                <c:pt idx="1156">
                  <c:v>68.622299999999996</c:v>
                </c:pt>
                <c:pt idx="1157">
                  <c:v>69.110699999999994</c:v>
                </c:pt>
                <c:pt idx="1158">
                  <c:v>69.211299999999994</c:v>
                </c:pt>
                <c:pt idx="1159">
                  <c:v>68.760300000000001</c:v>
                </c:pt>
                <c:pt idx="1160">
                  <c:v>67.3613</c:v>
                </c:pt>
                <c:pt idx="1161">
                  <c:v>69.72</c:v>
                </c:pt>
                <c:pt idx="1162">
                  <c:v>71.492599999999996</c:v>
                </c:pt>
                <c:pt idx="1163">
                  <c:v>75.726399999999998</c:v>
                </c:pt>
                <c:pt idx="1164">
                  <c:v>75.861900000000006</c:v>
                </c:pt>
                <c:pt idx="1165">
                  <c:v>75.995699999999999</c:v>
                </c:pt>
                <c:pt idx="1166">
                  <c:v>77.547700000000006</c:v>
                </c:pt>
                <c:pt idx="1167">
                  <c:v>77.508799999999994</c:v>
                </c:pt>
                <c:pt idx="1168">
                  <c:v>77.224000000000004</c:v>
                </c:pt>
                <c:pt idx="1169">
                  <c:v>77.000500000000002</c:v>
                </c:pt>
                <c:pt idx="1170">
                  <c:v>76.813900000000004</c:v>
                </c:pt>
                <c:pt idx="1171">
                  <c:v>78.905500000000004</c:v>
                </c:pt>
                <c:pt idx="1172">
                  <c:v>80.099999999999994</c:v>
                </c:pt>
                <c:pt idx="1173">
                  <c:v>80.784400000000005</c:v>
                </c:pt>
                <c:pt idx="1174">
                  <c:v>81.005300000000005</c:v>
                </c:pt>
                <c:pt idx="1175">
                  <c:v>82.167000000000002</c:v>
                </c:pt>
                <c:pt idx="1176">
                  <c:v>79.119200000000006</c:v>
                </c:pt>
                <c:pt idx="1177">
                  <c:v>77.907899999999998</c:v>
                </c:pt>
                <c:pt idx="1178">
                  <c:v>78.537300000000002</c:v>
                </c:pt>
                <c:pt idx="1179">
                  <c:v>77.872100000000003</c:v>
                </c:pt>
                <c:pt idx="1180">
                  <c:v>77.900000000000006</c:v>
                </c:pt>
                <c:pt idx="1181">
                  <c:v>77.382800000000003</c:v>
                </c:pt>
                <c:pt idx="1182">
                  <c:v>78.570599999999999</c:v>
                </c:pt>
                <c:pt idx="1183">
                  <c:v>76.9816</c:v>
                </c:pt>
                <c:pt idx="1184">
                  <c:v>76.403999999999996</c:v>
                </c:pt>
                <c:pt idx="1185">
                  <c:v>75.617900000000006</c:v>
                </c:pt>
                <c:pt idx="1186">
                  <c:v>74.712900000000005</c:v>
                </c:pt>
                <c:pt idx="1187">
                  <c:v>73.021100000000004</c:v>
                </c:pt>
                <c:pt idx="1188">
                  <c:v>71.958699999999993</c:v>
                </c:pt>
                <c:pt idx="1189">
                  <c:v>73.010300000000001</c:v>
                </c:pt>
                <c:pt idx="1190">
                  <c:v>74.024500000000003</c:v>
                </c:pt>
                <c:pt idx="1191">
                  <c:v>72.932699999999997</c:v>
                </c:pt>
                <c:pt idx="1192">
                  <c:v>72.514300000000006</c:v>
                </c:pt>
                <c:pt idx="1193">
                  <c:v>73.263000000000005</c:v>
                </c:pt>
                <c:pt idx="1194">
                  <c:v>75.600099999999998</c:v>
                </c:pt>
                <c:pt idx="1195">
                  <c:v>73.393699999999995</c:v>
                </c:pt>
                <c:pt idx="1196">
                  <c:v>73.953100000000006</c:v>
                </c:pt>
                <c:pt idx="1197">
                  <c:v>72.058300000000003</c:v>
                </c:pt>
                <c:pt idx="1198">
                  <c:v>73.211600000000004</c:v>
                </c:pt>
                <c:pt idx="1199">
                  <c:v>71.035200000000003</c:v>
                </c:pt>
                <c:pt idx="1200">
                  <c:v>70.554100000000005</c:v>
                </c:pt>
                <c:pt idx="1201">
                  <c:v>69.409700000000001</c:v>
                </c:pt>
                <c:pt idx="1202">
                  <c:v>69.944900000000004</c:v>
                </c:pt>
                <c:pt idx="1203">
                  <c:v>69.489599999999996</c:v>
                </c:pt>
                <c:pt idx="1204">
                  <c:v>70.325599999999994</c:v>
                </c:pt>
                <c:pt idx="1205">
                  <c:v>72.841899999999995</c:v>
                </c:pt>
                <c:pt idx="1206">
                  <c:v>76.8078</c:v>
                </c:pt>
                <c:pt idx="1207">
                  <c:v>77.170400000000001</c:v>
                </c:pt>
                <c:pt idx="1208">
                  <c:v>78.935000000000002</c:v>
                </c:pt>
                <c:pt idx="1209">
                  <c:v>79.007900000000006</c:v>
                </c:pt>
                <c:pt idx="1210">
                  <c:v>81.218100000000007</c:v>
                </c:pt>
                <c:pt idx="1211">
                  <c:v>82.0548</c:v>
                </c:pt>
                <c:pt idx="1212">
                  <c:v>83.262299999999996</c:v>
                </c:pt>
                <c:pt idx="1213">
                  <c:v>85.460999999999999</c:v>
                </c:pt>
                <c:pt idx="1214">
                  <c:v>88.066000000000003</c:v>
                </c:pt>
                <c:pt idx="1215">
                  <c:v>88.251000000000005</c:v>
                </c:pt>
                <c:pt idx="1216">
                  <c:v>90.920900000000003</c:v>
                </c:pt>
                <c:pt idx="1217">
                  <c:v>90.365499999999997</c:v>
                </c:pt>
                <c:pt idx="1218">
                  <c:v>91.378</c:v>
                </c:pt>
                <c:pt idx="1219">
                  <c:v>88.012100000000004</c:v>
                </c:pt>
                <c:pt idx="1220">
                  <c:v>87.626099999999994</c:v>
                </c:pt>
                <c:pt idx="1221">
                  <c:v>92.984700000000004</c:v>
                </c:pt>
                <c:pt idx="1222">
                  <c:v>95.194599999999994</c:v>
                </c:pt>
                <c:pt idx="1223">
                  <c:v>96.290599999999998</c:v>
                </c:pt>
                <c:pt idx="1224">
                  <c:v>94.809399999999997</c:v>
                </c:pt>
                <c:pt idx="1225">
                  <c:v>94.107399999999998</c:v>
                </c:pt>
                <c:pt idx="1226">
                  <c:v>95.107200000000006</c:v>
                </c:pt>
                <c:pt idx="1227">
                  <c:v>94.825000000000003</c:v>
                </c:pt>
                <c:pt idx="1228">
                  <c:v>97.533199999999994</c:v>
                </c:pt>
                <c:pt idx="1229">
                  <c:v>96.044600000000003</c:v>
                </c:pt>
                <c:pt idx="1230">
                  <c:v>95.822699999999998</c:v>
                </c:pt>
                <c:pt idx="1231">
                  <c:v>98.856099999999998</c:v>
                </c:pt>
                <c:pt idx="1232">
                  <c:v>99.831100000000006</c:v>
                </c:pt>
                <c:pt idx="1233">
                  <c:v>110.50830000000001</c:v>
                </c:pt>
                <c:pt idx="1234">
                  <c:v>102.7491</c:v>
                </c:pt>
                <c:pt idx="1235">
                  <c:v>107.2174</c:v>
                </c:pt>
                <c:pt idx="1236">
                  <c:v>103.6644</c:v>
                </c:pt>
                <c:pt idx="1237">
                  <c:v>108.5185</c:v>
                </c:pt>
                <c:pt idx="1238">
                  <c:v>111.1748</c:v>
                </c:pt>
                <c:pt idx="1239">
                  <c:v>111.4485</c:v>
                </c:pt>
                <c:pt idx="1240">
                  <c:v>103.47369999999999</c:v>
                </c:pt>
                <c:pt idx="1241">
                  <c:v>108.05840000000001</c:v>
                </c:pt>
                <c:pt idx="1242">
                  <c:v>108.85209999999999</c:v>
                </c:pt>
                <c:pt idx="1243">
                  <c:v>106.9498</c:v>
                </c:pt>
                <c:pt idx="1244">
                  <c:v>107.43300000000001</c:v>
                </c:pt>
                <c:pt idx="1245">
                  <c:v>102.5596</c:v>
                </c:pt>
                <c:pt idx="1246">
                  <c:v>102.53740000000001</c:v>
                </c:pt>
                <c:pt idx="1247">
                  <c:v>104.55159999999999</c:v>
                </c:pt>
                <c:pt idx="1248">
                  <c:v>105.97539999999999</c:v>
                </c:pt>
                <c:pt idx="1249">
                  <c:v>109.5598</c:v>
                </c:pt>
                <c:pt idx="1250">
                  <c:v>105.95650000000001</c:v>
                </c:pt>
                <c:pt idx="1251">
                  <c:v>107.1097</c:v>
                </c:pt>
                <c:pt idx="1252">
                  <c:v>105.0857</c:v>
                </c:pt>
                <c:pt idx="1253">
                  <c:v>105.8617</c:v>
                </c:pt>
                <c:pt idx="1254">
                  <c:v>107.3856</c:v>
                </c:pt>
                <c:pt idx="1255">
                  <c:v>108.9235</c:v>
                </c:pt>
                <c:pt idx="1256">
                  <c:v>109.3584</c:v>
                </c:pt>
                <c:pt idx="1257">
                  <c:v>112.5091</c:v>
                </c:pt>
                <c:pt idx="1258">
                  <c:v>111.6357</c:v>
                </c:pt>
                <c:pt idx="1259">
                  <c:v>111.1249</c:v>
                </c:pt>
                <c:pt idx="1260">
                  <c:v>112.17270000000001</c:v>
                </c:pt>
                <c:pt idx="1261">
                  <c:v>110.85290000000001</c:v>
                </c:pt>
                <c:pt idx="1262">
                  <c:v>109.0599</c:v>
                </c:pt>
                <c:pt idx="1263">
                  <c:v>108.88249999999999</c:v>
                </c:pt>
                <c:pt idx="1264">
                  <c:v>107.19799999999999</c:v>
                </c:pt>
                <c:pt idx="1265">
                  <c:v>100.5857</c:v>
                </c:pt>
                <c:pt idx="1266">
                  <c:v>98.266199999999998</c:v>
                </c:pt>
                <c:pt idx="1267">
                  <c:v>99.456400000000002</c:v>
                </c:pt>
                <c:pt idx="1268">
                  <c:v>96.867800000000003</c:v>
                </c:pt>
                <c:pt idx="1269">
                  <c:v>96.915099999999995</c:v>
                </c:pt>
                <c:pt idx="1270">
                  <c:v>96.819500000000005</c:v>
                </c:pt>
                <c:pt idx="1271">
                  <c:v>99.900099999999995</c:v>
                </c:pt>
                <c:pt idx="1272">
                  <c:v>97.912000000000006</c:v>
                </c:pt>
                <c:pt idx="1273">
                  <c:v>96.521600000000007</c:v>
                </c:pt>
                <c:pt idx="1274">
                  <c:v>98.5672</c:v>
                </c:pt>
                <c:pt idx="1275">
                  <c:v>94.472700000000003</c:v>
                </c:pt>
                <c:pt idx="1276">
                  <c:v>92.386099999999999</c:v>
                </c:pt>
                <c:pt idx="1277">
                  <c:v>90.302899999999994</c:v>
                </c:pt>
                <c:pt idx="1278">
                  <c:v>92.128</c:v>
                </c:pt>
                <c:pt idx="1279">
                  <c:v>90.171199999999999</c:v>
                </c:pt>
                <c:pt idx="1280">
                  <c:v>90.654600000000002</c:v>
                </c:pt>
                <c:pt idx="1281">
                  <c:v>88.433700000000002</c:v>
                </c:pt>
                <c:pt idx="1282">
                  <c:v>91.232399999999998</c:v>
                </c:pt>
                <c:pt idx="1283">
                  <c:v>91.861099999999993</c:v>
                </c:pt>
                <c:pt idx="1284">
                  <c:v>94.700100000000006</c:v>
                </c:pt>
                <c:pt idx="1285">
                  <c:v>93.524600000000007</c:v>
                </c:pt>
                <c:pt idx="1286">
                  <c:v>97.2209</c:v>
                </c:pt>
                <c:pt idx="1287">
                  <c:v>98.670299999999997</c:v>
                </c:pt>
                <c:pt idx="1288">
                  <c:v>100.08150000000001</c:v>
                </c:pt>
                <c:pt idx="1289">
                  <c:v>97.375</c:v>
                </c:pt>
                <c:pt idx="1290">
                  <c:v>99.848699999999994</c:v>
                </c:pt>
                <c:pt idx="1291">
                  <c:v>101.0318</c:v>
                </c:pt>
                <c:pt idx="1292">
                  <c:v>97.793800000000005</c:v>
                </c:pt>
                <c:pt idx="1293">
                  <c:v>93.046300000000002</c:v>
                </c:pt>
                <c:pt idx="1294">
                  <c:v>92.688199999999995</c:v>
                </c:pt>
                <c:pt idx="1295">
                  <c:v>92.695800000000006</c:v>
                </c:pt>
                <c:pt idx="1296">
                  <c:v>91.724000000000004</c:v>
                </c:pt>
                <c:pt idx="1297">
                  <c:v>88.584400000000002</c:v>
                </c:pt>
                <c:pt idx="1298">
                  <c:v>86.795699999999997</c:v>
                </c:pt>
                <c:pt idx="1299">
                  <c:v>86.748099999999994</c:v>
                </c:pt>
                <c:pt idx="1300">
                  <c:v>86.626900000000006</c:v>
                </c:pt>
                <c:pt idx="1301">
                  <c:v>84.971599999999995</c:v>
                </c:pt>
                <c:pt idx="1302">
                  <c:v>85.613100000000003</c:v>
                </c:pt>
                <c:pt idx="1303">
                  <c:v>86.536199999999994</c:v>
                </c:pt>
                <c:pt idx="1304">
                  <c:v>84.838800000000006</c:v>
                </c:pt>
                <c:pt idx="1305">
                  <c:v>86.346199999999996</c:v>
                </c:pt>
                <c:pt idx="1306">
                  <c:v>89.844800000000006</c:v>
                </c:pt>
                <c:pt idx="1307">
                  <c:v>89.295299999999997</c:v>
                </c:pt>
                <c:pt idx="1308">
                  <c:v>91.938299999999998</c:v>
                </c:pt>
                <c:pt idx="1309">
                  <c:v>90.187399999999997</c:v>
                </c:pt>
                <c:pt idx="1310">
                  <c:v>91.530600000000007</c:v>
                </c:pt>
                <c:pt idx="1311">
                  <c:v>89.686199999999999</c:v>
                </c:pt>
                <c:pt idx="1312">
                  <c:v>88.544300000000007</c:v>
                </c:pt>
                <c:pt idx="1313">
                  <c:v>84.536199999999994</c:v>
                </c:pt>
                <c:pt idx="1314">
                  <c:v>85.9482</c:v>
                </c:pt>
                <c:pt idx="1315">
                  <c:v>89.470699999999994</c:v>
                </c:pt>
                <c:pt idx="1316">
                  <c:v>89.902199999999993</c:v>
                </c:pt>
                <c:pt idx="1317">
                  <c:v>87.572800000000001</c:v>
                </c:pt>
                <c:pt idx="1318">
                  <c:v>89.064599999999999</c:v>
                </c:pt>
                <c:pt idx="1319">
                  <c:v>89.513400000000004</c:v>
                </c:pt>
                <c:pt idx="1320">
                  <c:v>88.254800000000003</c:v>
                </c:pt>
                <c:pt idx="1321">
                  <c:v>89.855699999999999</c:v>
                </c:pt>
                <c:pt idx="1322">
                  <c:v>91.2864</c:v>
                </c:pt>
                <c:pt idx="1323">
                  <c:v>88.541200000000003</c:v>
                </c:pt>
                <c:pt idx="1324">
                  <c:v>89.456599999999995</c:v>
                </c:pt>
                <c:pt idx="1325">
                  <c:v>88.249600000000001</c:v>
                </c:pt>
                <c:pt idx="1326">
                  <c:v>84.784499999999994</c:v>
                </c:pt>
                <c:pt idx="1327">
                  <c:v>85.562399999999997</c:v>
                </c:pt>
                <c:pt idx="1328">
                  <c:v>85.655900000000003</c:v>
                </c:pt>
                <c:pt idx="1329">
                  <c:v>87.487099999999998</c:v>
                </c:pt>
                <c:pt idx="1330">
                  <c:v>88.443600000000004</c:v>
                </c:pt>
                <c:pt idx="1331">
                  <c:v>89.419499999999999</c:v>
                </c:pt>
                <c:pt idx="1332">
                  <c:v>87.946200000000005</c:v>
                </c:pt>
                <c:pt idx="1333">
                  <c:v>90.850499999999997</c:v>
                </c:pt>
                <c:pt idx="1334">
                  <c:v>89.055400000000006</c:v>
                </c:pt>
                <c:pt idx="1335">
                  <c:v>88.422399999999996</c:v>
                </c:pt>
                <c:pt idx="1336">
                  <c:v>89.592699999999994</c:v>
                </c:pt>
                <c:pt idx="1337">
                  <c:v>87.923900000000003</c:v>
                </c:pt>
                <c:pt idx="1338">
                  <c:v>87.961399999999998</c:v>
                </c:pt>
                <c:pt idx="1339">
                  <c:v>87.576099999999997</c:v>
                </c:pt>
                <c:pt idx="1340">
                  <c:v>85.887100000000004</c:v>
                </c:pt>
                <c:pt idx="1341">
                  <c:v>84.427499999999995</c:v>
                </c:pt>
                <c:pt idx="1342">
                  <c:v>86.721400000000003</c:v>
                </c:pt>
                <c:pt idx="1343">
                  <c:v>87.296000000000006</c:v>
                </c:pt>
                <c:pt idx="1344">
                  <c:v>89.188400000000001</c:v>
                </c:pt>
                <c:pt idx="1345">
                  <c:v>90.858000000000004</c:v>
                </c:pt>
                <c:pt idx="1346">
                  <c:v>90.688699999999997</c:v>
                </c:pt>
                <c:pt idx="1347">
                  <c:v>92.371700000000004</c:v>
                </c:pt>
                <c:pt idx="1348">
                  <c:v>94.721400000000003</c:v>
                </c:pt>
                <c:pt idx="1349">
                  <c:v>96.369900000000001</c:v>
                </c:pt>
                <c:pt idx="1350">
                  <c:v>97.808000000000007</c:v>
                </c:pt>
                <c:pt idx="1351">
                  <c:v>95.327699999999993</c:v>
                </c:pt>
                <c:pt idx="1352">
                  <c:v>92.753299999999996</c:v>
                </c:pt>
                <c:pt idx="1353">
                  <c:v>92.905199999999994</c:v>
                </c:pt>
                <c:pt idx="1354">
                  <c:v>92.292100000000005</c:v>
                </c:pt>
                <c:pt idx="1355">
                  <c:v>93.291200000000003</c:v>
                </c:pt>
                <c:pt idx="1356">
                  <c:v>92.3827</c:v>
                </c:pt>
                <c:pt idx="1357">
                  <c:v>88.832700000000003</c:v>
                </c:pt>
                <c:pt idx="1358">
                  <c:v>86.311999999999998</c:v>
                </c:pt>
                <c:pt idx="1359">
                  <c:v>86.183599999999998</c:v>
                </c:pt>
                <c:pt idx="1360">
                  <c:v>88.819199999999995</c:v>
                </c:pt>
                <c:pt idx="1361">
                  <c:v>89.443200000000004</c:v>
                </c:pt>
                <c:pt idx="1362">
                  <c:v>89.818100000000001</c:v>
                </c:pt>
                <c:pt idx="1363">
                  <c:v>81.106399999999994</c:v>
                </c:pt>
                <c:pt idx="1364">
                  <c:v>80.693799999999996</c:v>
                </c:pt>
                <c:pt idx="1365">
                  <c:v>82.083799999999997</c:v>
                </c:pt>
                <c:pt idx="1366">
                  <c:v>84.415700000000001</c:v>
                </c:pt>
                <c:pt idx="1367">
                  <c:v>85.417299999999997</c:v>
                </c:pt>
                <c:pt idx="1368">
                  <c:v>82.892700000000005</c:v>
                </c:pt>
                <c:pt idx="1369">
                  <c:v>83.982100000000003</c:v>
                </c:pt>
                <c:pt idx="1370">
                  <c:v>85.605900000000005</c:v>
                </c:pt>
                <c:pt idx="1371">
                  <c:v>85.470399999999998</c:v>
                </c:pt>
                <c:pt idx="1372">
                  <c:v>86.209400000000002</c:v>
                </c:pt>
                <c:pt idx="1373">
                  <c:v>88.682000000000002</c:v>
                </c:pt>
                <c:pt idx="1374">
                  <c:v>88.735799999999998</c:v>
                </c:pt>
                <c:pt idx="1375">
                  <c:v>90.284599999999998</c:v>
                </c:pt>
                <c:pt idx="1376">
                  <c:v>90.831400000000002</c:v>
                </c:pt>
                <c:pt idx="1377">
                  <c:v>90.828599999999994</c:v>
                </c:pt>
                <c:pt idx="1378">
                  <c:v>86.454099999999997</c:v>
                </c:pt>
                <c:pt idx="1379">
                  <c:v>86.428200000000004</c:v>
                </c:pt>
                <c:pt idx="1380">
                  <c:v>88.2256</c:v>
                </c:pt>
                <c:pt idx="1381">
                  <c:v>89.325800000000001</c:v>
                </c:pt>
                <c:pt idx="1382">
                  <c:v>89.364400000000003</c:v>
                </c:pt>
                <c:pt idx="1383">
                  <c:v>92.475300000000004</c:v>
                </c:pt>
                <c:pt idx="1384">
                  <c:v>89.770200000000003</c:v>
                </c:pt>
                <c:pt idx="1385">
                  <c:v>92.871600000000001</c:v>
                </c:pt>
                <c:pt idx="1386">
                  <c:v>93.330500000000001</c:v>
                </c:pt>
                <c:pt idx="1387">
                  <c:v>94.643199999999993</c:v>
                </c:pt>
                <c:pt idx="1388">
                  <c:v>94.687899999999999</c:v>
                </c:pt>
                <c:pt idx="1389">
                  <c:v>95.206900000000005</c:v>
                </c:pt>
                <c:pt idx="1390">
                  <c:v>94.327500000000001</c:v>
                </c:pt>
                <c:pt idx="1391">
                  <c:v>94.947999999999993</c:v>
                </c:pt>
                <c:pt idx="1392">
                  <c:v>95.846599999999995</c:v>
                </c:pt>
                <c:pt idx="1393">
                  <c:v>96.379900000000006</c:v>
                </c:pt>
                <c:pt idx="1394">
                  <c:v>98.3249</c:v>
                </c:pt>
                <c:pt idx="1395">
                  <c:v>92.644999999999996</c:v>
                </c:pt>
                <c:pt idx="1396">
                  <c:v>92.775899999999993</c:v>
                </c:pt>
                <c:pt idx="1397">
                  <c:v>89.206699999999998</c:v>
                </c:pt>
                <c:pt idx="1398">
                  <c:v>91.626900000000006</c:v>
                </c:pt>
                <c:pt idx="1399">
                  <c:v>91.465699999999998</c:v>
                </c:pt>
                <c:pt idx="1400">
                  <c:v>91.236099999999993</c:v>
                </c:pt>
                <c:pt idx="1401">
                  <c:v>92.020099999999999</c:v>
                </c:pt>
                <c:pt idx="1402">
                  <c:v>91.625100000000003</c:v>
                </c:pt>
                <c:pt idx="1403">
                  <c:v>92.41</c:v>
                </c:pt>
                <c:pt idx="1404">
                  <c:v>91.735699999999994</c:v>
                </c:pt>
                <c:pt idx="1405">
                  <c:v>93.2209</c:v>
                </c:pt>
                <c:pt idx="1406">
                  <c:v>93.112799999999993</c:v>
                </c:pt>
                <c:pt idx="1407">
                  <c:v>89.480599999999995</c:v>
                </c:pt>
                <c:pt idx="1408">
                  <c:v>92.865399999999994</c:v>
                </c:pt>
                <c:pt idx="1409">
                  <c:v>90.094399999999993</c:v>
                </c:pt>
                <c:pt idx="1410">
                  <c:v>89.499700000000004</c:v>
                </c:pt>
                <c:pt idx="1411">
                  <c:v>89.891499999999994</c:v>
                </c:pt>
                <c:pt idx="1412">
                  <c:v>88.954800000000006</c:v>
                </c:pt>
                <c:pt idx="1413">
                  <c:v>84.924400000000006</c:v>
                </c:pt>
                <c:pt idx="1414">
                  <c:v>79.911500000000004</c:v>
                </c:pt>
                <c:pt idx="1415">
                  <c:v>77.899100000000004</c:v>
                </c:pt>
                <c:pt idx="1416">
                  <c:v>75.502499999999998</c:v>
                </c:pt>
                <c:pt idx="1417">
                  <c:v>70.9268</c:v>
                </c:pt>
                <c:pt idx="1418">
                  <c:v>74.739699999999999</c:v>
                </c:pt>
                <c:pt idx="1419">
                  <c:v>76.28</c:v>
                </c:pt>
                <c:pt idx="1420">
                  <c:v>76.770200000000003</c:v>
                </c:pt>
                <c:pt idx="1421">
                  <c:v>75.101900000000001</c:v>
                </c:pt>
                <c:pt idx="1422">
                  <c:v>75.8262</c:v>
                </c:pt>
                <c:pt idx="1423">
                  <c:v>72.784800000000004</c:v>
                </c:pt>
                <c:pt idx="1424">
                  <c:v>72.785399999999996</c:v>
                </c:pt>
                <c:pt idx="1425">
                  <c:v>72.639300000000006</c:v>
                </c:pt>
                <c:pt idx="1426">
                  <c:v>72.5137</c:v>
                </c:pt>
                <c:pt idx="1427">
                  <c:v>73.753699999999995</c:v>
                </c:pt>
                <c:pt idx="1428">
                  <c:v>74.555400000000006</c:v>
                </c:pt>
                <c:pt idx="1429">
                  <c:v>72.970399999999998</c:v>
                </c:pt>
                <c:pt idx="1430">
                  <c:v>72.490799999999993</c:v>
                </c:pt>
                <c:pt idx="1431">
                  <c:v>73.440299999999993</c:v>
                </c:pt>
                <c:pt idx="1432">
                  <c:v>74.294200000000004</c:v>
                </c:pt>
                <c:pt idx="1433">
                  <c:v>74.299700000000001</c:v>
                </c:pt>
                <c:pt idx="1434">
                  <c:v>75.8703</c:v>
                </c:pt>
                <c:pt idx="1435">
                  <c:v>74.704300000000003</c:v>
                </c:pt>
                <c:pt idx="1436">
                  <c:v>75.560699999999997</c:v>
                </c:pt>
                <c:pt idx="1437">
                  <c:v>75.573999999999998</c:v>
                </c:pt>
                <c:pt idx="1438">
                  <c:v>73.646199999999993</c:v>
                </c:pt>
                <c:pt idx="1439">
                  <c:v>71.984499999999997</c:v>
                </c:pt>
                <c:pt idx="1440">
                  <c:v>72.232299999999995</c:v>
                </c:pt>
                <c:pt idx="1441">
                  <c:v>71.6096</c:v>
                </c:pt>
                <c:pt idx="1442">
                  <c:v>72.404700000000005</c:v>
                </c:pt>
                <c:pt idx="1443">
                  <c:v>73.145899999999997</c:v>
                </c:pt>
                <c:pt idx="1444">
                  <c:v>73.8673</c:v>
                </c:pt>
                <c:pt idx="1445">
                  <c:v>73.072299999999998</c:v>
                </c:pt>
                <c:pt idx="1446">
                  <c:v>75.795699999999997</c:v>
                </c:pt>
                <c:pt idx="1447">
                  <c:v>76.674899999999994</c:v>
                </c:pt>
                <c:pt idx="1448">
                  <c:v>77.656999999999996</c:v>
                </c:pt>
                <c:pt idx="1449">
                  <c:v>78.981200000000001</c:v>
                </c:pt>
                <c:pt idx="1450">
                  <c:v>79.036699999999996</c:v>
                </c:pt>
                <c:pt idx="1451">
                  <c:v>78.016000000000005</c:v>
                </c:pt>
                <c:pt idx="1452">
                  <c:v>76.707400000000007</c:v>
                </c:pt>
                <c:pt idx="1453">
                  <c:v>76.463700000000003</c:v>
                </c:pt>
                <c:pt idx="1454">
                  <c:v>76.706699999999998</c:v>
                </c:pt>
                <c:pt idx="1455">
                  <c:v>76.683599999999998</c:v>
                </c:pt>
                <c:pt idx="1456">
                  <c:v>77.677599999999998</c:v>
                </c:pt>
                <c:pt idx="1457">
                  <c:v>78.799199999999999</c:v>
                </c:pt>
                <c:pt idx="1458">
                  <c:v>78.263900000000007</c:v>
                </c:pt>
                <c:pt idx="1459">
                  <c:v>78.5518</c:v>
                </c:pt>
                <c:pt idx="1460">
                  <c:v>79.228399999999993</c:v>
                </c:pt>
                <c:pt idx="1461">
                  <c:v>77.026499999999999</c:v>
                </c:pt>
                <c:pt idx="1462">
                  <c:v>76.608000000000004</c:v>
                </c:pt>
                <c:pt idx="1463">
                  <c:v>75.518799999999999</c:v>
                </c:pt>
                <c:pt idx="1464">
                  <c:v>77.073099999999997</c:v>
                </c:pt>
                <c:pt idx="1465">
                  <c:v>79.941599999999994</c:v>
                </c:pt>
                <c:pt idx="1466">
                  <c:v>88.492800000000003</c:v>
                </c:pt>
                <c:pt idx="1467">
                  <c:v>89.663300000000007</c:v>
                </c:pt>
                <c:pt idx="1468">
                  <c:v>91.441800000000001</c:v>
                </c:pt>
                <c:pt idx="1469">
                  <c:v>91.176000000000002</c:v>
                </c:pt>
                <c:pt idx="1470">
                  <c:v>92.026700000000005</c:v>
                </c:pt>
                <c:pt idx="1471">
                  <c:v>89.684899999999999</c:v>
                </c:pt>
                <c:pt idx="1472">
                  <c:v>88.983000000000004</c:v>
                </c:pt>
                <c:pt idx="1473">
                  <c:v>90.234099999999998</c:v>
                </c:pt>
                <c:pt idx="1474">
                  <c:v>92.948599999999999</c:v>
                </c:pt>
                <c:pt idx="1475">
                  <c:v>92.679900000000004</c:v>
                </c:pt>
                <c:pt idx="1476">
                  <c:v>89.556299999999993</c:v>
                </c:pt>
                <c:pt idx="1477">
                  <c:v>90.204300000000003</c:v>
                </c:pt>
                <c:pt idx="1478">
                  <c:v>88.347499999999997</c:v>
                </c:pt>
                <c:pt idx="1479">
                  <c:v>88.363699999999994</c:v>
                </c:pt>
                <c:pt idx="1480">
                  <c:v>89.019099999999995</c:v>
                </c:pt>
                <c:pt idx="1481">
                  <c:v>87.881600000000006</c:v>
                </c:pt>
                <c:pt idx="1482">
                  <c:v>80.469700000000003</c:v>
                </c:pt>
                <c:pt idx="1483">
                  <c:v>80.371700000000004</c:v>
                </c:pt>
                <c:pt idx="1484">
                  <c:v>78.748199999999997</c:v>
                </c:pt>
                <c:pt idx="1485">
                  <c:v>76.408199999999994</c:v>
                </c:pt>
                <c:pt idx="1486">
                  <c:v>77.253</c:v>
                </c:pt>
                <c:pt idx="1487">
                  <c:v>80.700699999999998</c:v>
                </c:pt>
                <c:pt idx="1488">
                  <c:v>78.106300000000005</c:v>
                </c:pt>
                <c:pt idx="1489">
                  <c:v>75.620699999999999</c:v>
                </c:pt>
                <c:pt idx="1490">
                  <c:v>76.310400000000001</c:v>
                </c:pt>
                <c:pt idx="1491">
                  <c:v>74.153000000000006</c:v>
                </c:pt>
                <c:pt idx="1492">
                  <c:v>75.783699999999996</c:v>
                </c:pt>
                <c:pt idx="1493">
                  <c:v>72.148300000000006</c:v>
                </c:pt>
                <c:pt idx="1494">
                  <c:v>67.950999999999993</c:v>
                </c:pt>
                <c:pt idx="1495">
                  <c:v>66.931200000000004</c:v>
                </c:pt>
                <c:pt idx="1496">
                  <c:v>70.901899999999998</c:v>
                </c:pt>
                <c:pt idx="1497">
                  <c:v>70.802999999999997</c:v>
                </c:pt>
                <c:pt idx="1498">
                  <c:v>73.923900000000003</c:v>
                </c:pt>
                <c:pt idx="1499">
                  <c:v>72.110399999999998</c:v>
                </c:pt>
                <c:pt idx="1500">
                  <c:v>73.989900000000006</c:v>
                </c:pt>
                <c:pt idx="1501">
                  <c:v>73.956299999999999</c:v>
                </c:pt>
                <c:pt idx="1502">
                  <c:v>74.244799999999998</c:v>
                </c:pt>
                <c:pt idx="1503">
                  <c:v>73.450599999999994</c:v>
                </c:pt>
                <c:pt idx="1504">
                  <c:v>75.045400000000001</c:v>
                </c:pt>
                <c:pt idx="1505">
                  <c:v>74.416300000000007</c:v>
                </c:pt>
                <c:pt idx="1506">
                  <c:v>74.542299999999997</c:v>
                </c:pt>
                <c:pt idx="1507">
                  <c:v>74.238399999999999</c:v>
                </c:pt>
                <c:pt idx="1508">
                  <c:v>70.835099999999997</c:v>
                </c:pt>
                <c:pt idx="1509">
                  <c:v>70.443799999999996</c:v>
                </c:pt>
                <c:pt idx="1510">
                  <c:v>68.803700000000006</c:v>
                </c:pt>
                <c:pt idx="1511">
                  <c:v>68.490799999999993</c:v>
                </c:pt>
                <c:pt idx="1512">
                  <c:v>68.177999999999997</c:v>
                </c:pt>
                <c:pt idx="1513">
                  <c:v>68.139399999999995</c:v>
                </c:pt>
                <c:pt idx="1514">
                  <c:v>68.646199999999993</c:v>
                </c:pt>
                <c:pt idx="1515">
                  <c:v>69.2393</c:v>
                </c:pt>
                <c:pt idx="1516">
                  <c:v>68.889200000000002</c:v>
                </c:pt>
                <c:pt idx="1517">
                  <c:v>66.916600000000003</c:v>
                </c:pt>
                <c:pt idx="1518">
                  <c:v>67.987099999999998</c:v>
                </c:pt>
                <c:pt idx="1519">
                  <c:v>65.2089</c:v>
                </c:pt>
                <c:pt idx="1520">
                  <c:v>65.704599999999999</c:v>
                </c:pt>
                <c:pt idx="1521">
                  <c:v>66.360100000000003</c:v>
                </c:pt>
                <c:pt idx="1522">
                  <c:v>66.6798</c:v>
                </c:pt>
                <c:pt idx="1523">
                  <c:v>66.894900000000007</c:v>
                </c:pt>
                <c:pt idx="1524">
                  <c:v>67.474100000000007</c:v>
                </c:pt>
                <c:pt idx="1525">
                  <c:v>67.213999999999999</c:v>
                </c:pt>
                <c:pt idx="1526">
                  <c:v>68.5839</c:v>
                </c:pt>
                <c:pt idx="1527">
                  <c:v>68.0428</c:v>
                </c:pt>
                <c:pt idx="1528">
                  <c:v>67.634799999999998</c:v>
                </c:pt>
                <c:pt idx="1529">
                  <c:v>66.639700000000005</c:v>
                </c:pt>
                <c:pt idx="1530">
                  <c:v>67.202299999999994</c:v>
                </c:pt>
                <c:pt idx="1531">
                  <c:v>66.708399999999997</c:v>
                </c:pt>
                <c:pt idx="1532">
                  <c:v>61.384900000000002</c:v>
                </c:pt>
                <c:pt idx="1533">
                  <c:v>60.158900000000003</c:v>
                </c:pt>
                <c:pt idx="1534">
                  <c:v>60.9649</c:v>
                </c:pt>
                <c:pt idx="1535">
                  <c:v>57.976300000000002</c:v>
                </c:pt>
                <c:pt idx="1536">
                  <c:v>57.043799999999997</c:v>
                </c:pt>
                <c:pt idx="1537">
                  <c:v>57.8688</c:v>
                </c:pt>
                <c:pt idx="1538">
                  <c:v>58.934600000000003</c:v>
                </c:pt>
                <c:pt idx="1539">
                  <c:v>59.494100000000003</c:v>
                </c:pt>
                <c:pt idx="1540">
                  <c:v>58.347000000000001</c:v>
                </c:pt>
                <c:pt idx="1541">
                  <c:v>61.785499999999999</c:v>
                </c:pt>
                <c:pt idx="1542">
                  <c:v>62.084099999999999</c:v>
                </c:pt>
                <c:pt idx="1543">
                  <c:v>59.252000000000002</c:v>
                </c:pt>
                <c:pt idx="1544">
                  <c:v>60.7483</c:v>
                </c:pt>
                <c:pt idx="1545">
                  <c:v>62.1175</c:v>
                </c:pt>
                <c:pt idx="1546">
                  <c:v>61.754300000000001</c:v>
                </c:pt>
                <c:pt idx="1547">
                  <c:v>63.566800000000001</c:v>
                </c:pt>
                <c:pt idx="1548">
                  <c:v>63.7956</c:v>
                </c:pt>
                <c:pt idx="1549">
                  <c:v>62.746400000000001</c:v>
                </c:pt>
                <c:pt idx="1550">
                  <c:v>64.220799999999997</c:v>
                </c:pt>
                <c:pt idx="1551">
                  <c:v>64.504999999999995</c:v>
                </c:pt>
                <c:pt idx="1552">
                  <c:v>63.990200000000002</c:v>
                </c:pt>
                <c:pt idx="1553">
                  <c:v>65.370500000000007</c:v>
                </c:pt>
                <c:pt idx="1554">
                  <c:v>64.236000000000004</c:v>
                </c:pt>
                <c:pt idx="1555">
                  <c:v>66.583799999999997</c:v>
                </c:pt>
                <c:pt idx="1556">
                  <c:v>68.8446</c:v>
                </c:pt>
                <c:pt idx="1557">
                  <c:v>67.450599999999994</c:v>
                </c:pt>
                <c:pt idx="1558">
                  <c:v>67.689899999999994</c:v>
                </c:pt>
                <c:pt idx="1559">
                  <c:v>67.213200000000001</c:v>
                </c:pt>
                <c:pt idx="1560">
                  <c:v>69.038600000000002</c:v>
                </c:pt>
                <c:pt idx="1561">
                  <c:v>69.353499999999997</c:v>
                </c:pt>
                <c:pt idx="1562">
                  <c:v>65.972200000000001</c:v>
                </c:pt>
                <c:pt idx="1563">
                  <c:v>66.563000000000002</c:v>
                </c:pt>
                <c:pt idx="1564">
                  <c:v>67.395200000000003</c:v>
                </c:pt>
                <c:pt idx="1565">
                  <c:v>67.594700000000003</c:v>
                </c:pt>
                <c:pt idx="1566">
                  <c:v>66.961500000000001</c:v>
                </c:pt>
                <c:pt idx="1567">
                  <c:v>69.348699999999994</c:v>
                </c:pt>
                <c:pt idx="1568">
                  <c:v>69.296800000000005</c:v>
                </c:pt>
                <c:pt idx="1569">
                  <c:v>69.745000000000005</c:v>
                </c:pt>
                <c:pt idx="1570">
                  <c:v>70.919700000000006</c:v>
                </c:pt>
                <c:pt idx="1571">
                  <c:v>70.343299999999999</c:v>
                </c:pt>
                <c:pt idx="1572">
                  <c:v>68.508700000000005</c:v>
                </c:pt>
                <c:pt idx="1573">
                  <c:v>66.644400000000005</c:v>
                </c:pt>
                <c:pt idx="1574">
                  <c:v>65.995900000000006</c:v>
                </c:pt>
                <c:pt idx="1575">
                  <c:v>67.051400000000001</c:v>
                </c:pt>
                <c:pt idx="1576">
                  <c:v>66.638400000000004</c:v>
                </c:pt>
                <c:pt idx="1577">
                  <c:v>68.158799999999999</c:v>
                </c:pt>
                <c:pt idx="1578">
                  <c:v>68.828400000000002</c:v>
                </c:pt>
                <c:pt idx="1579">
                  <c:v>67.001599999999996</c:v>
                </c:pt>
                <c:pt idx="1580">
                  <c:v>66.823800000000006</c:v>
                </c:pt>
                <c:pt idx="1581">
                  <c:v>65.597700000000003</c:v>
                </c:pt>
                <c:pt idx="1582">
                  <c:v>61.302700000000002</c:v>
                </c:pt>
                <c:pt idx="1583">
                  <c:v>61.228299999999997</c:v>
                </c:pt>
                <c:pt idx="1584">
                  <c:v>62.947800000000001</c:v>
                </c:pt>
                <c:pt idx="1585">
                  <c:v>61.144599999999997</c:v>
                </c:pt>
                <c:pt idx="1586">
                  <c:v>61.381900000000002</c:v>
                </c:pt>
                <c:pt idx="1587">
                  <c:v>61.993400000000001</c:v>
                </c:pt>
                <c:pt idx="1588">
                  <c:v>60.9833</c:v>
                </c:pt>
                <c:pt idx="1589">
                  <c:v>59.218899999999998</c:v>
                </c:pt>
                <c:pt idx="1590">
                  <c:v>58.845999999999997</c:v>
                </c:pt>
                <c:pt idx="1591">
                  <c:v>56.817900000000002</c:v>
                </c:pt>
                <c:pt idx="1592">
                  <c:v>57.527900000000002</c:v>
                </c:pt>
                <c:pt idx="1593">
                  <c:v>55.066400000000002</c:v>
                </c:pt>
                <c:pt idx="1594">
                  <c:v>54.636699999999998</c:v>
                </c:pt>
                <c:pt idx="1595">
                  <c:v>56.4968</c:v>
                </c:pt>
                <c:pt idx="1596">
                  <c:v>55.628500000000003</c:v>
                </c:pt>
                <c:pt idx="1597">
                  <c:v>54.777700000000003</c:v>
                </c:pt>
                <c:pt idx="1598">
                  <c:v>53.168199999999999</c:v>
                </c:pt>
                <c:pt idx="1599">
                  <c:v>51.276699999999998</c:v>
                </c:pt>
                <c:pt idx="1600">
                  <c:v>50.389400000000002</c:v>
                </c:pt>
                <c:pt idx="1601">
                  <c:v>51.138599999999997</c:v>
                </c:pt>
                <c:pt idx="1602">
                  <c:v>50.281399999999998</c:v>
                </c:pt>
                <c:pt idx="1603">
                  <c:v>50.7395</c:v>
                </c:pt>
                <c:pt idx="1604">
                  <c:v>50.200299999999999</c:v>
                </c:pt>
                <c:pt idx="1605">
                  <c:v>51.401800000000001</c:v>
                </c:pt>
                <c:pt idx="1606">
                  <c:v>52.896999999999998</c:v>
                </c:pt>
                <c:pt idx="1607">
                  <c:v>53.7179</c:v>
                </c:pt>
                <c:pt idx="1608">
                  <c:v>53.862699999999997</c:v>
                </c:pt>
                <c:pt idx="1609">
                  <c:v>53.820399999999999</c:v>
                </c:pt>
                <c:pt idx="1610">
                  <c:v>53.925199999999997</c:v>
                </c:pt>
                <c:pt idx="1611">
                  <c:v>53.390900000000002</c:v>
                </c:pt>
                <c:pt idx="1612">
                  <c:v>53.473199999999999</c:v>
                </c:pt>
                <c:pt idx="1613">
                  <c:v>52.916200000000003</c:v>
                </c:pt>
                <c:pt idx="1614">
                  <c:v>53.473500000000001</c:v>
                </c:pt>
                <c:pt idx="1615">
                  <c:v>52.478900000000003</c:v>
                </c:pt>
                <c:pt idx="1616">
                  <c:v>51.9161</c:v>
                </c:pt>
                <c:pt idx="1617">
                  <c:v>51.323900000000002</c:v>
                </c:pt>
                <c:pt idx="1618">
                  <c:v>49.785600000000002</c:v>
                </c:pt>
                <c:pt idx="1619">
                  <c:v>47.698500000000003</c:v>
                </c:pt>
                <c:pt idx="1620">
                  <c:v>48.4375</c:v>
                </c:pt>
                <c:pt idx="1621">
                  <c:v>47.976399999999998</c:v>
                </c:pt>
                <c:pt idx="1622">
                  <c:v>47.128300000000003</c:v>
                </c:pt>
                <c:pt idx="1623">
                  <c:v>46.985500000000002</c:v>
                </c:pt>
                <c:pt idx="1624">
                  <c:v>47.786900000000003</c:v>
                </c:pt>
                <c:pt idx="1625">
                  <c:v>49.9529</c:v>
                </c:pt>
                <c:pt idx="1626">
                  <c:v>48.949599999999997</c:v>
                </c:pt>
                <c:pt idx="1627">
                  <c:v>49.7624</c:v>
                </c:pt>
                <c:pt idx="1628">
                  <c:v>46.646599999999999</c:v>
                </c:pt>
                <c:pt idx="1629">
                  <c:v>47.099299999999999</c:v>
                </c:pt>
                <c:pt idx="1630">
                  <c:v>48.076900000000002</c:v>
                </c:pt>
                <c:pt idx="1631">
                  <c:v>46.969700000000003</c:v>
                </c:pt>
                <c:pt idx="1632">
                  <c:v>46.728499999999997</c:v>
                </c:pt>
                <c:pt idx="1633">
                  <c:v>46.266800000000003</c:v>
                </c:pt>
                <c:pt idx="1634">
                  <c:v>45.232399999999998</c:v>
                </c:pt>
                <c:pt idx="1635">
                  <c:v>44.643300000000004</c:v>
                </c:pt>
                <c:pt idx="1636">
                  <c:v>44.613100000000003</c:v>
                </c:pt>
                <c:pt idx="1637">
                  <c:v>43.933300000000003</c:v>
                </c:pt>
                <c:pt idx="1638">
                  <c:v>46.121699999999997</c:v>
                </c:pt>
                <c:pt idx="1639">
                  <c:v>47.617600000000003</c:v>
                </c:pt>
                <c:pt idx="1640">
                  <c:v>48.155900000000003</c:v>
                </c:pt>
                <c:pt idx="1641">
                  <c:v>48.597900000000003</c:v>
                </c:pt>
                <c:pt idx="1642">
                  <c:v>48.460599999999999</c:v>
                </c:pt>
                <c:pt idx="1643">
                  <c:v>41.125300000000003</c:v>
                </c:pt>
                <c:pt idx="1644">
                  <c:v>40.130699999999997</c:v>
                </c:pt>
                <c:pt idx="1645">
                  <c:v>39.128500000000003</c:v>
                </c:pt>
                <c:pt idx="1646">
                  <c:v>36.940600000000003</c:v>
                </c:pt>
                <c:pt idx="1647">
                  <c:v>37.975999999999999</c:v>
                </c:pt>
                <c:pt idx="1648">
                  <c:v>39.7164</c:v>
                </c:pt>
                <c:pt idx="1649">
                  <c:v>39.4163</c:v>
                </c:pt>
                <c:pt idx="1650">
                  <c:v>39.718600000000002</c:v>
                </c:pt>
                <c:pt idx="1651">
                  <c:v>39.894199999999998</c:v>
                </c:pt>
                <c:pt idx="1652">
                  <c:v>39.597700000000003</c:v>
                </c:pt>
                <c:pt idx="1653">
                  <c:v>40.229900000000001</c:v>
                </c:pt>
                <c:pt idx="1654">
                  <c:v>39.662599999999998</c:v>
                </c:pt>
                <c:pt idx="1655">
                  <c:v>39.104300000000002</c:v>
                </c:pt>
                <c:pt idx="1656">
                  <c:v>39.137099999999997</c:v>
                </c:pt>
                <c:pt idx="1657">
                  <c:v>39.825600000000001</c:v>
                </c:pt>
                <c:pt idx="1658">
                  <c:v>42.518900000000002</c:v>
                </c:pt>
                <c:pt idx="1659">
                  <c:v>44.658200000000001</c:v>
                </c:pt>
                <c:pt idx="1660">
                  <c:v>43.732799999999997</c:v>
                </c:pt>
                <c:pt idx="1661">
                  <c:v>44.762999999999998</c:v>
                </c:pt>
                <c:pt idx="1662">
                  <c:v>44.2166</c:v>
                </c:pt>
                <c:pt idx="1663">
                  <c:v>43.83</c:v>
                </c:pt>
                <c:pt idx="1664">
                  <c:v>41.651800000000001</c:v>
                </c:pt>
                <c:pt idx="1665">
                  <c:v>42.4129</c:v>
                </c:pt>
                <c:pt idx="1666">
                  <c:v>41.972099999999998</c:v>
                </c:pt>
                <c:pt idx="1667">
                  <c:v>42.893700000000003</c:v>
                </c:pt>
                <c:pt idx="1668">
                  <c:v>41.8703</c:v>
                </c:pt>
                <c:pt idx="1669">
                  <c:v>41.506500000000003</c:v>
                </c:pt>
                <c:pt idx="1670">
                  <c:v>40.936199999999999</c:v>
                </c:pt>
                <c:pt idx="1671">
                  <c:v>40.963299999999997</c:v>
                </c:pt>
                <c:pt idx="1672">
                  <c:v>41.322499999999998</c:v>
                </c:pt>
                <c:pt idx="1673">
                  <c:v>41.077199999999998</c:v>
                </c:pt>
                <c:pt idx="1674">
                  <c:v>41.466000000000001</c:v>
                </c:pt>
                <c:pt idx="1675">
                  <c:v>41.442</c:v>
                </c:pt>
                <c:pt idx="1676">
                  <c:v>41.281399999999998</c:v>
                </c:pt>
                <c:pt idx="1677">
                  <c:v>41.155900000000003</c:v>
                </c:pt>
                <c:pt idx="1678">
                  <c:v>40.535800000000002</c:v>
                </c:pt>
                <c:pt idx="1679">
                  <c:v>40.701500000000003</c:v>
                </c:pt>
                <c:pt idx="1680">
                  <c:v>41.001800000000003</c:v>
                </c:pt>
                <c:pt idx="1681">
                  <c:v>41.810099999999998</c:v>
                </c:pt>
                <c:pt idx="1682">
                  <c:v>41.8825</c:v>
                </c:pt>
                <c:pt idx="1683">
                  <c:v>41.929099999999998</c:v>
                </c:pt>
                <c:pt idx="1684">
                  <c:v>41.680599999999998</c:v>
                </c:pt>
                <c:pt idx="1685">
                  <c:v>41.966099999999997</c:v>
                </c:pt>
                <c:pt idx="1686">
                  <c:v>41.1967</c:v>
                </c:pt>
                <c:pt idx="1687">
                  <c:v>41.112499999999997</c:v>
                </c:pt>
                <c:pt idx="1688">
                  <c:v>41.219000000000001</c:v>
                </c:pt>
                <c:pt idx="1689">
                  <c:v>40.953299999999999</c:v>
                </c:pt>
                <c:pt idx="1690">
                  <c:v>41.788899999999998</c:v>
                </c:pt>
                <c:pt idx="1691">
                  <c:v>42.221899999999998</c:v>
                </c:pt>
                <c:pt idx="1692">
                  <c:v>39.777099999999997</c:v>
                </c:pt>
                <c:pt idx="1693">
                  <c:v>40.379600000000003</c:v>
                </c:pt>
                <c:pt idx="1694">
                  <c:v>40.912300000000002</c:v>
                </c:pt>
                <c:pt idx="1695">
                  <c:v>40.775700000000001</c:v>
                </c:pt>
                <c:pt idx="1696">
                  <c:v>40.617199999999997</c:v>
                </c:pt>
                <c:pt idx="1697">
                  <c:v>40.768799999999999</c:v>
                </c:pt>
                <c:pt idx="1698">
                  <c:v>41.810600000000001</c:v>
                </c:pt>
                <c:pt idx="1699">
                  <c:v>43.008699999999997</c:v>
                </c:pt>
                <c:pt idx="1700">
                  <c:v>43.304499999999997</c:v>
                </c:pt>
                <c:pt idx="1701">
                  <c:v>43.142600000000002</c:v>
                </c:pt>
                <c:pt idx="1702">
                  <c:v>43.348300000000002</c:v>
                </c:pt>
                <c:pt idx="1703">
                  <c:v>43.891800000000003</c:v>
                </c:pt>
                <c:pt idx="1704">
                  <c:v>43.616799999999998</c:v>
                </c:pt>
                <c:pt idx="1705">
                  <c:v>43.651600000000002</c:v>
                </c:pt>
                <c:pt idx="1706">
                  <c:v>44.184600000000003</c:v>
                </c:pt>
                <c:pt idx="1707">
                  <c:v>44.233699999999999</c:v>
                </c:pt>
                <c:pt idx="1708">
                  <c:v>44.314500000000002</c:v>
                </c:pt>
                <c:pt idx="1709">
                  <c:v>45.304499999999997</c:v>
                </c:pt>
                <c:pt idx="1710">
                  <c:v>44.808999999999997</c:v>
                </c:pt>
                <c:pt idx="1711">
                  <c:v>45.691899999999997</c:v>
                </c:pt>
                <c:pt idx="1712">
                  <c:v>44.595500000000001</c:v>
                </c:pt>
                <c:pt idx="1713">
                  <c:v>44.774700000000003</c:v>
                </c:pt>
                <c:pt idx="1714">
                  <c:v>43.881599999999999</c:v>
                </c:pt>
                <c:pt idx="1715">
                  <c:v>42.872</c:v>
                </c:pt>
                <c:pt idx="1716">
                  <c:v>42.839799999999997</c:v>
                </c:pt>
                <c:pt idx="1717">
                  <c:v>41.970700000000001</c:v>
                </c:pt>
                <c:pt idx="1718">
                  <c:v>41.283200000000001</c:v>
                </c:pt>
                <c:pt idx="1719">
                  <c:v>40.974200000000003</c:v>
                </c:pt>
                <c:pt idx="1720">
                  <c:v>38.918500000000002</c:v>
                </c:pt>
                <c:pt idx="1721">
                  <c:v>40.929600000000001</c:v>
                </c:pt>
                <c:pt idx="1722">
                  <c:v>40.714399999999998</c:v>
                </c:pt>
                <c:pt idx="1723">
                  <c:v>41.347999999999999</c:v>
                </c:pt>
                <c:pt idx="1724">
                  <c:v>40.209000000000003</c:v>
                </c:pt>
                <c:pt idx="1725">
                  <c:v>40.773200000000003</c:v>
                </c:pt>
                <c:pt idx="1726">
                  <c:v>40.400500000000001</c:v>
                </c:pt>
                <c:pt idx="1727">
                  <c:v>39.991799999999998</c:v>
                </c:pt>
                <c:pt idx="1728">
                  <c:v>39.597000000000001</c:v>
                </c:pt>
                <c:pt idx="1729">
                  <c:v>39.348700000000001</c:v>
                </c:pt>
                <c:pt idx="1730">
                  <c:v>40.065199999999997</c:v>
                </c:pt>
                <c:pt idx="1731">
                  <c:v>39.939500000000002</c:v>
                </c:pt>
                <c:pt idx="1732">
                  <c:v>39.628900000000002</c:v>
                </c:pt>
                <c:pt idx="1733">
                  <c:v>38.4099</c:v>
                </c:pt>
                <c:pt idx="1734">
                  <c:v>38.1995</c:v>
                </c:pt>
                <c:pt idx="1735">
                  <c:v>38.076300000000003</c:v>
                </c:pt>
                <c:pt idx="1736">
                  <c:v>37.479500000000002</c:v>
                </c:pt>
                <c:pt idx="1737">
                  <c:v>35.924999999999997</c:v>
                </c:pt>
                <c:pt idx="1738">
                  <c:v>36.252000000000002</c:v>
                </c:pt>
                <c:pt idx="1739">
                  <c:v>35.226599999999998</c:v>
                </c:pt>
                <c:pt idx="1740">
                  <c:v>36.5672</c:v>
                </c:pt>
                <c:pt idx="1741">
                  <c:v>37.403500000000001</c:v>
                </c:pt>
                <c:pt idx="1742">
                  <c:v>37.977200000000003</c:v>
                </c:pt>
                <c:pt idx="1743">
                  <c:v>37.1661</c:v>
                </c:pt>
                <c:pt idx="1744">
                  <c:v>36.317700000000002</c:v>
                </c:pt>
                <c:pt idx="1745">
                  <c:v>37.291800000000002</c:v>
                </c:pt>
                <c:pt idx="1746">
                  <c:v>36.881300000000003</c:v>
                </c:pt>
                <c:pt idx="1747">
                  <c:v>38.7346</c:v>
                </c:pt>
                <c:pt idx="1748">
                  <c:v>38.583599999999997</c:v>
                </c:pt>
                <c:pt idx="1749">
                  <c:v>39.141300000000001</c:v>
                </c:pt>
                <c:pt idx="1750">
                  <c:v>39.371899999999997</c:v>
                </c:pt>
                <c:pt idx="1751">
                  <c:v>39.431899999999999</c:v>
                </c:pt>
                <c:pt idx="1752">
                  <c:v>39.192700000000002</c:v>
                </c:pt>
                <c:pt idx="1753">
                  <c:v>38.714100000000002</c:v>
                </c:pt>
                <c:pt idx="1754">
                  <c:v>38.556899999999999</c:v>
                </c:pt>
                <c:pt idx="1755">
                  <c:v>39.066000000000003</c:v>
                </c:pt>
                <c:pt idx="1756">
                  <c:v>38.268300000000004</c:v>
                </c:pt>
                <c:pt idx="1757">
                  <c:v>38.521500000000003</c:v>
                </c:pt>
                <c:pt idx="1758">
                  <c:v>36.930500000000002</c:v>
                </c:pt>
                <c:pt idx="1759">
                  <c:v>35.8596</c:v>
                </c:pt>
                <c:pt idx="1760">
                  <c:v>36.637700000000002</c:v>
                </c:pt>
                <c:pt idx="1761">
                  <c:v>36.502299999999998</c:v>
                </c:pt>
                <c:pt idx="1762">
                  <c:v>35.235399999999998</c:v>
                </c:pt>
                <c:pt idx="1763">
                  <c:v>34.208500000000001</c:v>
                </c:pt>
                <c:pt idx="1764">
                  <c:v>33.013100000000001</c:v>
                </c:pt>
                <c:pt idx="1765">
                  <c:v>33.282200000000003</c:v>
                </c:pt>
                <c:pt idx="1766">
                  <c:v>34.640799999999999</c:v>
                </c:pt>
                <c:pt idx="1767">
                  <c:v>34.8598</c:v>
                </c:pt>
                <c:pt idx="1768">
                  <c:v>35.640799999999999</c:v>
                </c:pt>
                <c:pt idx="1769">
                  <c:v>35.040900000000001</c:v>
                </c:pt>
                <c:pt idx="1770">
                  <c:v>35.025399999999998</c:v>
                </c:pt>
                <c:pt idx="1771">
                  <c:v>35.352600000000002</c:v>
                </c:pt>
                <c:pt idx="1772">
                  <c:v>37.646700000000003</c:v>
                </c:pt>
                <c:pt idx="1773">
                  <c:v>36.817999999999998</c:v>
                </c:pt>
                <c:pt idx="1774">
                  <c:v>37.311999999999998</c:v>
                </c:pt>
                <c:pt idx="1775">
                  <c:v>36.286499999999997</c:v>
                </c:pt>
                <c:pt idx="1776">
                  <c:v>37.739600000000003</c:v>
                </c:pt>
                <c:pt idx="1777">
                  <c:v>37.755699999999997</c:v>
                </c:pt>
                <c:pt idx="1778">
                  <c:v>38.6389</c:v>
                </c:pt>
                <c:pt idx="1779">
                  <c:v>38.499299999999998</c:v>
                </c:pt>
                <c:pt idx="1780">
                  <c:v>38.823799999999999</c:v>
                </c:pt>
                <c:pt idx="1781">
                  <c:v>38.264200000000002</c:v>
                </c:pt>
                <c:pt idx="1782">
                  <c:v>38.003700000000002</c:v>
                </c:pt>
                <c:pt idx="1783">
                  <c:v>38.631799999999998</c:v>
                </c:pt>
                <c:pt idx="1784">
                  <c:v>39.024999999999999</c:v>
                </c:pt>
                <c:pt idx="1785">
                  <c:v>38.163200000000003</c:v>
                </c:pt>
                <c:pt idx="1786">
                  <c:v>39.420699999999997</c:v>
                </c:pt>
                <c:pt idx="1787">
                  <c:v>39.739899999999999</c:v>
                </c:pt>
                <c:pt idx="1788">
                  <c:v>39</c:v>
                </c:pt>
                <c:pt idx="1789">
                  <c:v>38.971200000000003</c:v>
                </c:pt>
                <c:pt idx="1790">
                  <c:v>39.1297</c:v>
                </c:pt>
                <c:pt idx="1791">
                  <c:v>39.677</c:v>
                </c:pt>
                <c:pt idx="1792">
                  <c:v>39.764800000000001</c:v>
                </c:pt>
                <c:pt idx="1793">
                  <c:v>39.861699999999999</c:v>
                </c:pt>
                <c:pt idx="1794">
                  <c:v>39.1828</c:v>
                </c:pt>
                <c:pt idx="1795">
                  <c:v>38.077199999999998</c:v>
                </c:pt>
                <c:pt idx="1796">
                  <c:v>37.588500000000003</c:v>
                </c:pt>
                <c:pt idx="1797">
                  <c:v>38.838799999999999</c:v>
                </c:pt>
                <c:pt idx="1798">
                  <c:v>39.492800000000003</c:v>
                </c:pt>
                <c:pt idx="1799">
                  <c:v>38.818600000000004</c:v>
                </c:pt>
                <c:pt idx="1800">
                  <c:v>39.028100000000002</c:v>
                </c:pt>
                <c:pt idx="1801">
                  <c:v>39.0167</c:v>
                </c:pt>
                <c:pt idx="1802">
                  <c:v>38.970399999999998</c:v>
                </c:pt>
                <c:pt idx="1803">
                  <c:v>38.0687</c:v>
                </c:pt>
                <c:pt idx="1804">
                  <c:v>38.514200000000002</c:v>
                </c:pt>
                <c:pt idx="1805">
                  <c:v>39.0807</c:v>
                </c:pt>
                <c:pt idx="1806">
                  <c:v>40.191000000000003</c:v>
                </c:pt>
                <c:pt idx="1807">
                  <c:v>40.6021</c:v>
                </c:pt>
                <c:pt idx="1808">
                  <c:v>40.862699999999997</c:v>
                </c:pt>
                <c:pt idx="1809">
                  <c:v>41.059199999999997</c:v>
                </c:pt>
                <c:pt idx="1810">
                  <c:v>41.0655</c:v>
                </c:pt>
                <c:pt idx="1811">
                  <c:v>39.542499999999997</c:v>
                </c:pt>
                <c:pt idx="1812">
                  <c:v>37.697400000000002</c:v>
                </c:pt>
                <c:pt idx="1813">
                  <c:v>37.875399999999999</c:v>
                </c:pt>
                <c:pt idx="1814">
                  <c:v>37.931199999999997</c:v>
                </c:pt>
                <c:pt idx="1815">
                  <c:v>38.1113</c:v>
                </c:pt>
                <c:pt idx="1816">
                  <c:v>38.039499999999997</c:v>
                </c:pt>
                <c:pt idx="1817">
                  <c:v>37.054499999999997</c:v>
                </c:pt>
                <c:pt idx="1818">
                  <c:v>37.504600000000003</c:v>
                </c:pt>
                <c:pt idx="1819">
                  <c:v>37.326900000000002</c:v>
                </c:pt>
                <c:pt idx="1820">
                  <c:v>37.007599999999996</c:v>
                </c:pt>
                <c:pt idx="1821">
                  <c:v>37.404699999999998</c:v>
                </c:pt>
                <c:pt idx="1822">
                  <c:v>37.2149</c:v>
                </c:pt>
                <c:pt idx="1823">
                  <c:v>36.604300000000002</c:v>
                </c:pt>
                <c:pt idx="1824">
                  <c:v>36.340499999999999</c:v>
                </c:pt>
                <c:pt idx="1825">
                  <c:v>37.277999999999999</c:v>
                </c:pt>
                <c:pt idx="1826">
                  <c:v>36.424100000000003</c:v>
                </c:pt>
                <c:pt idx="1827">
                  <c:v>36.700200000000002</c:v>
                </c:pt>
                <c:pt idx="1828">
                  <c:v>36.1462</c:v>
                </c:pt>
                <c:pt idx="1829">
                  <c:v>36.690899999999999</c:v>
                </c:pt>
                <c:pt idx="1830">
                  <c:v>36.110300000000002</c:v>
                </c:pt>
                <c:pt idx="1831">
                  <c:v>36.588099999999997</c:v>
                </c:pt>
                <c:pt idx="1832">
                  <c:v>36.938699999999997</c:v>
                </c:pt>
                <c:pt idx="1833">
                  <c:v>37.625500000000002</c:v>
                </c:pt>
                <c:pt idx="1834">
                  <c:v>39.950000000000003</c:v>
                </c:pt>
                <c:pt idx="1835">
                  <c:v>40.694899999999997</c:v>
                </c:pt>
                <c:pt idx="1836">
                  <c:v>42.018700000000003</c:v>
                </c:pt>
                <c:pt idx="1837">
                  <c:v>41.771900000000002</c:v>
                </c:pt>
                <c:pt idx="1838">
                  <c:v>41.779299999999999</c:v>
                </c:pt>
                <c:pt idx="1839">
                  <c:v>42.329599999999999</c:v>
                </c:pt>
                <c:pt idx="1840">
                  <c:v>42.335000000000001</c:v>
                </c:pt>
                <c:pt idx="1841">
                  <c:v>43.284199999999998</c:v>
                </c:pt>
                <c:pt idx="1842">
                  <c:v>44.062399999999997</c:v>
                </c:pt>
                <c:pt idx="1843">
                  <c:v>43.804900000000004</c:v>
                </c:pt>
                <c:pt idx="1844">
                  <c:v>46.102200000000003</c:v>
                </c:pt>
                <c:pt idx="1845">
                  <c:v>46.018099999999997</c:v>
                </c:pt>
                <c:pt idx="1846">
                  <c:v>46.904800000000002</c:v>
                </c:pt>
                <c:pt idx="1847">
                  <c:v>46.136699999999998</c:v>
                </c:pt>
                <c:pt idx="1848">
                  <c:v>46.0899</c:v>
                </c:pt>
                <c:pt idx="1849">
                  <c:v>47.196800000000003</c:v>
                </c:pt>
                <c:pt idx="1850">
                  <c:v>47.718499999999999</c:v>
                </c:pt>
                <c:pt idx="1851">
                  <c:v>47.279400000000003</c:v>
                </c:pt>
                <c:pt idx="1852">
                  <c:v>46.383899999999997</c:v>
                </c:pt>
                <c:pt idx="1853">
                  <c:v>45.854700000000001</c:v>
                </c:pt>
                <c:pt idx="1854">
                  <c:v>47.264200000000002</c:v>
                </c:pt>
                <c:pt idx="1855">
                  <c:v>49.215200000000003</c:v>
                </c:pt>
                <c:pt idx="1856">
                  <c:v>49.617699999999999</c:v>
                </c:pt>
                <c:pt idx="1857">
                  <c:v>50.739899999999999</c:v>
                </c:pt>
                <c:pt idx="1858">
                  <c:v>50.0747</c:v>
                </c:pt>
                <c:pt idx="1859">
                  <c:v>49.837800000000001</c:v>
                </c:pt>
                <c:pt idx="1860">
                  <c:v>49.834099999999999</c:v>
                </c:pt>
                <c:pt idx="1861">
                  <c:v>49.749099999999999</c:v>
                </c:pt>
                <c:pt idx="1862">
                  <c:v>50.173099999999998</c:v>
                </c:pt>
                <c:pt idx="1863">
                  <c:v>51.464100000000002</c:v>
                </c:pt>
                <c:pt idx="1864">
                  <c:v>51.063800000000001</c:v>
                </c:pt>
                <c:pt idx="1865">
                  <c:v>50.914000000000001</c:v>
                </c:pt>
                <c:pt idx="1866">
                  <c:v>50.305399999999999</c:v>
                </c:pt>
                <c:pt idx="1867">
                  <c:v>51.3187</c:v>
                </c:pt>
                <c:pt idx="1868">
                  <c:v>51.233499999999999</c:v>
                </c:pt>
                <c:pt idx="1869">
                  <c:v>51.0916</c:v>
                </c:pt>
                <c:pt idx="1870">
                  <c:v>51.690100000000001</c:v>
                </c:pt>
                <c:pt idx="1871">
                  <c:v>52.402999999999999</c:v>
                </c:pt>
                <c:pt idx="1872">
                  <c:v>51.329599999999999</c:v>
                </c:pt>
                <c:pt idx="1873">
                  <c:v>53.204099999999997</c:v>
                </c:pt>
                <c:pt idx="1874">
                  <c:v>52.728000000000002</c:v>
                </c:pt>
                <c:pt idx="1875">
                  <c:v>52.587899999999998</c:v>
                </c:pt>
                <c:pt idx="1876">
                  <c:v>53.665999999999997</c:v>
                </c:pt>
                <c:pt idx="1877">
                  <c:v>54.765300000000003</c:v>
                </c:pt>
                <c:pt idx="1878">
                  <c:v>55.322200000000002</c:v>
                </c:pt>
                <c:pt idx="1879">
                  <c:v>55.398600000000002</c:v>
                </c:pt>
                <c:pt idx="1880">
                  <c:v>56.510599999999997</c:v>
                </c:pt>
                <c:pt idx="1881">
                  <c:v>55.597200000000001</c:v>
                </c:pt>
                <c:pt idx="1882">
                  <c:v>57.262999999999998</c:v>
                </c:pt>
                <c:pt idx="1883">
                  <c:v>58.4893</c:v>
                </c:pt>
                <c:pt idx="1884">
                  <c:v>58.957299999999996</c:v>
                </c:pt>
                <c:pt idx="1885">
                  <c:v>58.625399999999999</c:v>
                </c:pt>
                <c:pt idx="1886">
                  <c:v>59.558399999999999</c:v>
                </c:pt>
                <c:pt idx="1887">
                  <c:v>61.456699999999998</c:v>
                </c:pt>
                <c:pt idx="1888">
                  <c:v>60.735799999999998</c:v>
                </c:pt>
                <c:pt idx="1889">
                  <c:v>62.7624</c:v>
                </c:pt>
                <c:pt idx="1890">
                  <c:v>62.789499999999997</c:v>
                </c:pt>
                <c:pt idx="1891">
                  <c:v>63.833599999999997</c:v>
                </c:pt>
                <c:pt idx="1892">
                  <c:v>62.923000000000002</c:v>
                </c:pt>
                <c:pt idx="1893">
                  <c:v>63.709099999999999</c:v>
                </c:pt>
                <c:pt idx="1894">
                  <c:v>62.019799999999996</c:v>
                </c:pt>
                <c:pt idx="1895">
                  <c:v>62.155500000000004</c:v>
                </c:pt>
                <c:pt idx="1896">
                  <c:v>62.092500000000001</c:v>
                </c:pt>
                <c:pt idx="1897">
                  <c:v>61.424799999999998</c:v>
                </c:pt>
                <c:pt idx="1898">
                  <c:v>60.5989</c:v>
                </c:pt>
                <c:pt idx="1899">
                  <c:v>61.344200000000001</c:v>
                </c:pt>
                <c:pt idx="1900">
                  <c:v>60.047499999999999</c:v>
                </c:pt>
                <c:pt idx="1901">
                  <c:v>61.386499999999998</c:v>
                </c:pt>
                <c:pt idx="1902">
                  <c:v>60.030500000000004</c:v>
                </c:pt>
                <c:pt idx="1903">
                  <c:v>60.023099999999999</c:v>
                </c:pt>
                <c:pt idx="1904">
                  <c:v>60.124200000000002</c:v>
                </c:pt>
                <c:pt idx="1905">
                  <c:v>61.948599999999999</c:v>
                </c:pt>
                <c:pt idx="1906">
                  <c:v>63.475099999999998</c:v>
                </c:pt>
                <c:pt idx="1907">
                  <c:v>63.492199999999997</c:v>
                </c:pt>
                <c:pt idx="1908">
                  <c:v>61.735599999999998</c:v>
                </c:pt>
                <c:pt idx="1909">
                  <c:v>60.528399999999998</c:v>
                </c:pt>
                <c:pt idx="1910">
                  <c:v>61.371099999999998</c:v>
                </c:pt>
                <c:pt idx="1911">
                  <c:v>65.117099999999994</c:v>
                </c:pt>
                <c:pt idx="1912">
                  <c:v>64.282700000000006</c:v>
                </c:pt>
                <c:pt idx="1913">
                  <c:v>64.059899999999999</c:v>
                </c:pt>
                <c:pt idx="1914">
                  <c:v>63.953200000000002</c:v>
                </c:pt>
                <c:pt idx="1915">
                  <c:v>63.480600000000003</c:v>
                </c:pt>
                <c:pt idx="1916">
                  <c:v>64.343599999999995</c:v>
                </c:pt>
                <c:pt idx="1917">
                  <c:v>66.181100000000001</c:v>
                </c:pt>
                <c:pt idx="1918">
                  <c:v>65.301400000000001</c:v>
                </c:pt>
                <c:pt idx="1919">
                  <c:v>66.101699999999994</c:v>
                </c:pt>
                <c:pt idx="1920">
                  <c:v>66.698400000000007</c:v>
                </c:pt>
                <c:pt idx="1921">
                  <c:v>68.174400000000006</c:v>
                </c:pt>
                <c:pt idx="1922">
                  <c:v>66.965100000000007</c:v>
                </c:pt>
                <c:pt idx="1923">
                  <c:v>67.363</c:v>
                </c:pt>
                <c:pt idx="1924">
                  <c:v>66.753900000000002</c:v>
                </c:pt>
                <c:pt idx="1925">
                  <c:v>66.421099999999996</c:v>
                </c:pt>
                <c:pt idx="1926">
                  <c:v>65.731700000000004</c:v>
                </c:pt>
                <c:pt idx="1927">
                  <c:v>66.694699999999997</c:v>
                </c:pt>
                <c:pt idx="1928">
                  <c:v>67.711299999999994</c:v>
                </c:pt>
                <c:pt idx="1929">
                  <c:v>67.163300000000007</c:v>
                </c:pt>
                <c:pt idx="1930">
                  <c:v>70.122</c:v>
                </c:pt>
                <c:pt idx="1931">
                  <c:v>71.874399999999994</c:v>
                </c:pt>
                <c:pt idx="1932">
                  <c:v>68.674599999999998</c:v>
                </c:pt>
                <c:pt idx="1933">
                  <c:v>67.346599999999995</c:v>
                </c:pt>
                <c:pt idx="1934">
                  <c:v>67.330699999999993</c:v>
                </c:pt>
                <c:pt idx="1935">
                  <c:v>64.145700000000005</c:v>
                </c:pt>
                <c:pt idx="1936">
                  <c:v>62.868499999999997</c:v>
                </c:pt>
                <c:pt idx="1937">
                  <c:v>63.342599999999997</c:v>
                </c:pt>
                <c:pt idx="1938">
                  <c:v>63.536900000000003</c:v>
                </c:pt>
                <c:pt idx="1939">
                  <c:v>64.3429</c:v>
                </c:pt>
                <c:pt idx="1940">
                  <c:v>59.652799999999999</c:v>
                </c:pt>
                <c:pt idx="1941">
                  <c:v>60.908700000000003</c:v>
                </c:pt>
                <c:pt idx="1942">
                  <c:v>58.849299999999999</c:v>
                </c:pt>
                <c:pt idx="1943">
                  <c:v>60.26</c:v>
                </c:pt>
                <c:pt idx="1944">
                  <c:v>59.683599999999998</c:v>
                </c:pt>
                <c:pt idx="1945">
                  <c:v>62.157400000000003</c:v>
                </c:pt>
                <c:pt idx="1946">
                  <c:v>61.3063</c:v>
                </c:pt>
                <c:pt idx="1947">
                  <c:v>62.7288</c:v>
                </c:pt>
                <c:pt idx="1948">
                  <c:v>62.649299999999997</c:v>
                </c:pt>
                <c:pt idx="1949">
                  <c:v>63.351300000000002</c:v>
                </c:pt>
                <c:pt idx="1950">
                  <c:v>55.186</c:v>
                </c:pt>
                <c:pt idx="1951">
                  <c:v>56.314300000000003</c:v>
                </c:pt>
                <c:pt idx="1952">
                  <c:v>57.753399999999999</c:v>
                </c:pt>
                <c:pt idx="1953">
                  <c:v>60.247900000000001</c:v>
                </c:pt>
                <c:pt idx="1954">
                  <c:v>59.797800000000002</c:v>
                </c:pt>
                <c:pt idx="1955">
                  <c:v>61.499600000000001</c:v>
                </c:pt>
                <c:pt idx="1956">
                  <c:v>63.109099999999998</c:v>
                </c:pt>
                <c:pt idx="1957">
                  <c:v>63.649500000000003</c:v>
                </c:pt>
                <c:pt idx="1958">
                  <c:v>65.404499999999999</c:v>
                </c:pt>
                <c:pt idx="1959">
                  <c:v>65.865899999999996</c:v>
                </c:pt>
                <c:pt idx="1960">
                  <c:v>65.207899999999995</c:v>
                </c:pt>
                <c:pt idx="1961">
                  <c:v>64.912899999999993</c:v>
                </c:pt>
                <c:pt idx="1962">
                  <c:v>65.513400000000004</c:v>
                </c:pt>
                <c:pt idx="1963">
                  <c:v>64.500100000000003</c:v>
                </c:pt>
                <c:pt idx="1964">
                  <c:v>64.857299999999995</c:v>
                </c:pt>
                <c:pt idx="1965">
                  <c:v>65.814999999999998</c:v>
                </c:pt>
                <c:pt idx="1966">
                  <c:v>67.461200000000005</c:v>
                </c:pt>
                <c:pt idx="1967">
                  <c:v>67.745199999999997</c:v>
                </c:pt>
                <c:pt idx="1968">
                  <c:v>66.958399999999997</c:v>
                </c:pt>
                <c:pt idx="1969">
                  <c:v>67.421199999999999</c:v>
                </c:pt>
                <c:pt idx="1970">
                  <c:v>69.214799999999997</c:v>
                </c:pt>
                <c:pt idx="1971">
                  <c:v>67.525199999999998</c:v>
                </c:pt>
                <c:pt idx="1972">
                  <c:v>65.940100000000001</c:v>
                </c:pt>
                <c:pt idx="1973">
                  <c:v>65.781000000000006</c:v>
                </c:pt>
                <c:pt idx="1974">
                  <c:v>63.374499999999998</c:v>
                </c:pt>
                <c:pt idx="1975">
                  <c:v>61.790900000000001</c:v>
                </c:pt>
                <c:pt idx="1976">
                  <c:v>65.501099999999994</c:v>
                </c:pt>
                <c:pt idx="1977">
                  <c:v>63.323799999999999</c:v>
                </c:pt>
                <c:pt idx="1978">
                  <c:v>64.992099999999994</c:v>
                </c:pt>
                <c:pt idx="1979">
                  <c:v>64.786199999999994</c:v>
                </c:pt>
                <c:pt idx="1980">
                  <c:v>66.778000000000006</c:v>
                </c:pt>
                <c:pt idx="1981">
                  <c:v>67.494</c:v>
                </c:pt>
                <c:pt idx="1982">
                  <c:v>70.214299999999994</c:v>
                </c:pt>
                <c:pt idx="1983">
                  <c:v>72.047600000000003</c:v>
                </c:pt>
                <c:pt idx="1984">
                  <c:v>68.778000000000006</c:v>
                </c:pt>
                <c:pt idx="1985">
                  <c:v>72.819199999999995</c:v>
                </c:pt>
                <c:pt idx="1986">
                  <c:v>75.707899999999995</c:v>
                </c:pt>
                <c:pt idx="1987">
                  <c:v>77.629199999999997</c:v>
                </c:pt>
                <c:pt idx="1988">
                  <c:v>79.113600000000005</c:v>
                </c:pt>
                <c:pt idx="1989">
                  <c:v>81.439899999999994</c:v>
                </c:pt>
                <c:pt idx="1990">
                  <c:v>81.621099999999998</c:v>
                </c:pt>
                <c:pt idx="1991">
                  <c:v>86.034899999999993</c:v>
                </c:pt>
                <c:pt idx="1992">
                  <c:v>87.828299999999999</c:v>
                </c:pt>
                <c:pt idx="1993">
                  <c:v>87.466800000000006</c:v>
                </c:pt>
                <c:pt idx="1994">
                  <c:v>91.118799999999993</c:v>
                </c:pt>
                <c:pt idx="1995">
                  <c:v>88.6434</c:v>
                </c:pt>
                <c:pt idx="1996">
                  <c:v>93.753900000000002</c:v>
                </c:pt>
                <c:pt idx="1997">
                  <c:v>91.038600000000002</c:v>
                </c:pt>
                <c:pt idx="1998">
                  <c:v>93.497399999999999</c:v>
                </c:pt>
                <c:pt idx="1999">
                  <c:v>95.947599999999994</c:v>
                </c:pt>
                <c:pt idx="2000">
                  <c:v>97.134500000000003</c:v>
                </c:pt>
                <c:pt idx="2001">
                  <c:v>99.157600000000002</c:v>
                </c:pt>
                <c:pt idx="2002">
                  <c:v>96.779899999999998</c:v>
                </c:pt>
                <c:pt idx="2003">
                  <c:v>96.216099999999997</c:v>
                </c:pt>
                <c:pt idx="2004">
                  <c:v>97.634200000000007</c:v>
                </c:pt>
                <c:pt idx="2005">
                  <c:v>99.04</c:v>
                </c:pt>
                <c:pt idx="2006">
                  <c:v>98.914100000000005</c:v>
                </c:pt>
                <c:pt idx="2007">
                  <c:v>100.42319999999999</c:v>
                </c:pt>
                <c:pt idx="2008">
                  <c:v>101.66419999999999</c:v>
                </c:pt>
                <c:pt idx="2009">
                  <c:v>101.5765</c:v>
                </c:pt>
                <c:pt idx="2010">
                  <c:v>102.57940000000001</c:v>
                </c:pt>
                <c:pt idx="2011">
                  <c:v>102.952</c:v>
                </c:pt>
                <c:pt idx="2012">
                  <c:v>101.9709</c:v>
                </c:pt>
                <c:pt idx="2013">
                  <c:v>95.543700000000001</c:v>
                </c:pt>
                <c:pt idx="2014">
                  <c:v>97.094499999999996</c:v>
                </c:pt>
                <c:pt idx="2015">
                  <c:v>95.814300000000003</c:v>
                </c:pt>
                <c:pt idx="2016">
                  <c:v>95.005600000000001</c:v>
                </c:pt>
                <c:pt idx="2017">
                  <c:v>94.547499999999999</c:v>
                </c:pt>
                <c:pt idx="2018">
                  <c:v>94.437200000000004</c:v>
                </c:pt>
                <c:pt idx="2019">
                  <c:v>92.9649</c:v>
                </c:pt>
                <c:pt idx="2020">
                  <c:v>94.196799999999996</c:v>
                </c:pt>
                <c:pt idx="2021">
                  <c:v>96.314499999999995</c:v>
                </c:pt>
                <c:pt idx="2022">
                  <c:v>94.418999999999997</c:v>
                </c:pt>
                <c:pt idx="2023">
                  <c:v>92.491200000000006</c:v>
                </c:pt>
                <c:pt idx="2024">
                  <c:v>94.322000000000003</c:v>
                </c:pt>
                <c:pt idx="2025">
                  <c:v>96.576400000000007</c:v>
                </c:pt>
                <c:pt idx="2026">
                  <c:v>101.3879</c:v>
                </c:pt>
                <c:pt idx="2027">
                  <c:v>103.3582</c:v>
                </c:pt>
                <c:pt idx="2028">
                  <c:v>103.8733</c:v>
                </c:pt>
                <c:pt idx="2029">
                  <c:v>107.0819</c:v>
                </c:pt>
                <c:pt idx="2030">
                  <c:v>106.10339999999999</c:v>
                </c:pt>
                <c:pt idx="2031">
                  <c:v>104.9425</c:v>
                </c:pt>
                <c:pt idx="2032">
                  <c:v>100.31359999999999</c:v>
                </c:pt>
                <c:pt idx="2033">
                  <c:v>104.7838</c:v>
                </c:pt>
                <c:pt idx="2034">
                  <c:v>105.7268</c:v>
                </c:pt>
                <c:pt idx="2035">
                  <c:v>104.2195</c:v>
                </c:pt>
                <c:pt idx="2036">
                  <c:v>99.569199999999995</c:v>
                </c:pt>
                <c:pt idx="2037">
                  <c:v>104.8028</c:v>
                </c:pt>
                <c:pt idx="2038">
                  <c:v>105.688</c:v>
                </c:pt>
                <c:pt idx="2039">
                  <c:v>104.0129</c:v>
                </c:pt>
                <c:pt idx="2040">
                  <c:v>108.68519999999999</c:v>
                </c:pt>
                <c:pt idx="2041">
                  <c:v>109.05289999999999</c:v>
                </c:pt>
                <c:pt idx="2042">
                  <c:v>113.11409999999999</c:v>
                </c:pt>
                <c:pt idx="2043">
                  <c:v>116.7505</c:v>
                </c:pt>
                <c:pt idx="2044">
                  <c:v>116.4362</c:v>
                </c:pt>
                <c:pt idx="2045">
                  <c:v>117.8103</c:v>
                </c:pt>
                <c:pt idx="2046">
                  <c:v>122.5986</c:v>
                </c:pt>
                <c:pt idx="2047">
                  <c:v>115.4397</c:v>
                </c:pt>
                <c:pt idx="2048">
                  <c:v>116.00109999999999</c:v>
                </c:pt>
                <c:pt idx="2049">
                  <c:v>105.6407</c:v>
                </c:pt>
                <c:pt idx="2050">
                  <c:v>107.25539999999999</c:v>
                </c:pt>
                <c:pt idx="2051">
                  <c:v>104.7531</c:v>
                </c:pt>
                <c:pt idx="2052">
                  <c:v>102.9156</c:v>
                </c:pt>
                <c:pt idx="2053">
                  <c:v>108.4081</c:v>
                </c:pt>
                <c:pt idx="2054">
                  <c:v>109.7619</c:v>
                </c:pt>
                <c:pt idx="2055">
                  <c:v>111.7841</c:v>
                </c:pt>
                <c:pt idx="2056">
                  <c:v>110.3626</c:v>
                </c:pt>
                <c:pt idx="2057">
                  <c:v>111.4843</c:v>
                </c:pt>
                <c:pt idx="2058">
                  <c:v>107.9058</c:v>
                </c:pt>
                <c:pt idx="2059">
                  <c:v>113.4636</c:v>
                </c:pt>
                <c:pt idx="2060">
                  <c:v>113.3772</c:v>
                </c:pt>
                <c:pt idx="2061">
                  <c:v>112.8883</c:v>
                </c:pt>
                <c:pt idx="2062">
                  <c:v>109.05459999999999</c:v>
                </c:pt>
                <c:pt idx="2063">
                  <c:v>110.8036</c:v>
                </c:pt>
                <c:pt idx="2064">
                  <c:v>111.0479</c:v>
                </c:pt>
                <c:pt idx="2065">
                  <c:v>109.32089999999999</c:v>
                </c:pt>
                <c:pt idx="2066">
                  <c:v>113.66200000000001</c:v>
                </c:pt>
                <c:pt idx="2067">
                  <c:v>111.71720000000001</c:v>
                </c:pt>
                <c:pt idx="2068">
                  <c:v>113.9533</c:v>
                </c:pt>
                <c:pt idx="2069">
                  <c:v>112.9397</c:v>
                </c:pt>
                <c:pt idx="2070">
                  <c:v>114.3472</c:v>
                </c:pt>
                <c:pt idx="2071">
                  <c:v>113.6588</c:v>
                </c:pt>
                <c:pt idx="2072">
                  <c:v>113.2419</c:v>
                </c:pt>
                <c:pt idx="2073">
                  <c:v>109.416</c:v>
                </c:pt>
                <c:pt idx="2074">
                  <c:v>104.00190000000001</c:v>
                </c:pt>
                <c:pt idx="2075">
                  <c:v>104.3883</c:v>
                </c:pt>
                <c:pt idx="2076">
                  <c:v>103.1061</c:v>
                </c:pt>
                <c:pt idx="2077">
                  <c:v>108.0543</c:v>
                </c:pt>
                <c:pt idx="2078">
                  <c:v>102.7741</c:v>
                </c:pt>
                <c:pt idx="2079">
                  <c:v>107.023</c:v>
                </c:pt>
                <c:pt idx="2080">
                  <c:v>108.6016</c:v>
                </c:pt>
                <c:pt idx="2081">
                  <c:v>104.9044</c:v>
                </c:pt>
                <c:pt idx="2082">
                  <c:v>105.1812</c:v>
                </c:pt>
                <c:pt idx="2083">
                  <c:v>99.867999999999995</c:v>
                </c:pt>
                <c:pt idx="2084">
                  <c:v>99.318100000000001</c:v>
                </c:pt>
                <c:pt idx="2085">
                  <c:v>98.950800000000001</c:v>
                </c:pt>
                <c:pt idx="2086">
                  <c:v>100.8167</c:v>
                </c:pt>
                <c:pt idx="2087">
                  <c:v>97.402699999999996</c:v>
                </c:pt>
                <c:pt idx="2088">
                  <c:v>98.208100000000002</c:v>
                </c:pt>
                <c:pt idx="2089">
                  <c:v>99.138199999999998</c:v>
                </c:pt>
                <c:pt idx="2090">
                  <c:v>95.030299999999997</c:v>
                </c:pt>
                <c:pt idx="2091">
                  <c:v>92.6297</c:v>
                </c:pt>
                <c:pt idx="2092">
                  <c:v>92.763999999999996</c:v>
                </c:pt>
                <c:pt idx="2093">
                  <c:v>89.073300000000003</c:v>
                </c:pt>
                <c:pt idx="2094">
                  <c:v>89.924599999999998</c:v>
                </c:pt>
                <c:pt idx="2095">
                  <c:v>90.746399999999994</c:v>
                </c:pt>
                <c:pt idx="2096">
                  <c:v>90.860500000000002</c:v>
                </c:pt>
                <c:pt idx="2097">
                  <c:v>91.837699999999998</c:v>
                </c:pt>
                <c:pt idx="2098">
                  <c:v>92.626999999999995</c:v>
                </c:pt>
                <c:pt idx="2099">
                  <c:v>89.473500000000001</c:v>
                </c:pt>
                <c:pt idx="2100">
                  <c:v>88.535200000000003</c:v>
                </c:pt>
                <c:pt idx="2101">
                  <c:v>88.080200000000005</c:v>
                </c:pt>
                <c:pt idx="2102">
                  <c:v>90.619600000000005</c:v>
                </c:pt>
                <c:pt idx="2103">
                  <c:v>88.050200000000004</c:v>
                </c:pt>
                <c:pt idx="2104">
                  <c:v>84.686099999999996</c:v>
                </c:pt>
                <c:pt idx="2105">
                  <c:v>81.714299999999994</c:v>
                </c:pt>
                <c:pt idx="2106">
                  <c:v>83.295599999999993</c:v>
                </c:pt>
                <c:pt idx="2107">
                  <c:v>91.412700000000001</c:v>
                </c:pt>
                <c:pt idx="2108">
                  <c:v>90.872600000000006</c:v>
                </c:pt>
                <c:pt idx="2109">
                  <c:v>89.087000000000003</c:v>
                </c:pt>
                <c:pt idx="2110">
                  <c:v>87.855500000000006</c:v>
                </c:pt>
                <c:pt idx="2111">
                  <c:v>84.431600000000003</c:v>
                </c:pt>
                <c:pt idx="2112">
                  <c:v>83.653199999999998</c:v>
                </c:pt>
                <c:pt idx="2113">
                  <c:v>79.741299999999995</c:v>
                </c:pt>
                <c:pt idx="2114">
                  <c:v>79.622299999999996</c:v>
                </c:pt>
                <c:pt idx="2115">
                  <c:v>72.091499999999996</c:v>
                </c:pt>
                <c:pt idx="2116">
                  <c:v>75.438699999999997</c:v>
                </c:pt>
                <c:pt idx="2117">
                  <c:v>70.332999999999998</c:v>
                </c:pt>
                <c:pt idx="2118">
                  <c:v>67.030299999999997</c:v>
                </c:pt>
                <c:pt idx="2119">
                  <c:v>65.784800000000004</c:v>
                </c:pt>
                <c:pt idx="2120">
                  <c:v>66.211799999999997</c:v>
                </c:pt>
                <c:pt idx="2121">
                  <c:v>64.4709</c:v>
                </c:pt>
                <c:pt idx="2122">
                  <c:v>66.358999999999995</c:v>
                </c:pt>
                <c:pt idx="2123">
                  <c:v>65.249600000000001</c:v>
                </c:pt>
                <c:pt idx="2124">
                  <c:v>67.066699999999997</c:v>
                </c:pt>
                <c:pt idx="2125">
                  <c:v>66.599299999999999</c:v>
                </c:pt>
                <c:pt idx="2126">
                  <c:v>67.001900000000006</c:v>
                </c:pt>
                <c:pt idx="2127">
                  <c:v>68.547600000000003</c:v>
                </c:pt>
                <c:pt idx="2128">
                  <c:v>74.094099999999997</c:v>
                </c:pt>
                <c:pt idx="2129">
                  <c:v>73.7881</c:v>
                </c:pt>
                <c:pt idx="2130">
                  <c:v>73.046599999999998</c:v>
                </c:pt>
                <c:pt idx="2131">
                  <c:v>76.357500000000002</c:v>
                </c:pt>
                <c:pt idx="2132">
                  <c:v>74.400599999999997</c:v>
                </c:pt>
                <c:pt idx="2133">
                  <c:v>76.0227</c:v>
                </c:pt>
                <c:pt idx="2134">
                  <c:v>77.501099999999994</c:v>
                </c:pt>
                <c:pt idx="2135">
                  <c:v>81.1524</c:v>
                </c:pt>
                <c:pt idx="2136">
                  <c:v>75.278099999999995</c:v>
                </c:pt>
                <c:pt idx="2137">
                  <c:v>71.820999999999998</c:v>
                </c:pt>
                <c:pt idx="2138">
                  <c:v>72.853999999999999</c:v>
                </c:pt>
                <c:pt idx="2139">
                  <c:v>75.724199999999996</c:v>
                </c:pt>
                <c:pt idx="2140">
                  <c:v>78.135000000000005</c:v>
                </c:pt>
                <c:pt idx="2141">
                  <c:v>83.141900000000007</c:v>
                </c:pt>
                <c:pt idx="2142">
                  <c:v>85.068700000000007</c:v>
                </c:pt>
                <c:pt idx="2143">
                  <c:v>85.308999999999997</c:v>
                </c:pt>
                <c:pt idx="2144">
                  <c:v>84.676400000000001</c:v>
                </c:pt>
                <c:pt idx="2145">
                  <c:v>88.021299999999997</c:v>
                </c:pt>
                <c:pt idx="2146">
                  <c:v>85.625299999999996</c:v>
                </c:pt>
                <c:pt idx="2147">
                  <c:v>88.437100000000001</c:v>
                </c:pt>
                <c:pt idx="2148">
                  <c:v>87.003200000000007</c:v>
                </c:pt>
                <c:pt idx="2149">
                  <c:v>87.083699999999993</c:v>
                </c:pt>
                <c:pt idx="2150">
                  <c:v>88.245699999999999</c:v>
                </c:pt>
                <c:pt idx="2151">
                  <c:v>89.9</c:v>
                </c:pt>
                <c:pt idx="2152">
                  <c:v>88.9041</c:v>
                </c:pt>
                <c:pt idx="2153">
                  <c:v>87.2196</c:v>
                </c:pt>
                <c:pt idx="2154">
                  <c:v>87.491200000000006</c:v>
                </c:pt>
                <c:pt idx="2155">
                  <c:v>85.766999999999996</c:v>
                </c:pt>
                <c:pt idx="2156">
                  <c:v>84.450400000000002</c:v>
                </c:pt>
                <c:pt idx="2157">
                  <c:v>84.571899999999999</c:v>
                </c:pt>
                <c:pt idx="2158">
                  <c:v>84.021000000000001</c:v>
                </c:pt>
                <c:pt idx="2159">
                  <c:v>78.914900000000003</c:v>
                </c:pt>
                <c:pt idx="2160">
                  <c:v>63.378500000000003</c:v>
                </c:pt>
                <c:pt idx="2161">
                  <c:v>64.379599999999996</c:v>
                </c:pt>
                <c:pt idx="2162">
                  <c:v>65.924199999999999</c:v>
                </c:pt>
                <c:pt idx="2163">
                  <c:v>69.339799999999997</c:v>
                </c:pt>
                <c:pt idx="2164">
                  <c:v>69.041600000000003</c:v>
                </c:pt>
                <c:pt idx="2165">
                  <c:v>69.794600000000003</c:v>
                </c:pt>
                <c:pt idx="2166">
                  <c:v>68.424499999999995</c:v>
                </c:pt>
                <c:pt idx="2167">
                  <c:v>68.4238</c:v>
                </c:pt>
                <c:pt idx="2168">
                  <c:v>69.551299999999998</c:v>
                </c:pt>
                <c:pt idx="2169">
                  <c:v>67.6995</c:v>
                </c:pt>
                <c:pt idx="2170">
                  <c:v>70.718199999999996</c:v>
                </c:pt>
                <c:pt idx="2171">
                  <c:v>70.2273</c:v>
                </c:pt>
                <c:pt idx="2172">
                  <c:v>68.367800000000003</c:v>
                </c:pt>
                <c:pt idx="2173">
                  <c:v>66.554199999999994</c:v>
                </c:pt>
                <c:pt idx="2174">
                  <c:v>62.646099999999997</c:v>
                </c:pt>
                <c:pt idx="2175">
                  <c:v>66.594099999999997</c:v>
                </c:pt>
                <c:pt idx="2176">
                  <c:v>67.357900000000001</c:v>
                </c:pt>
                <c:pt idx="2177">
                  <c:v>67.706000000000003</c:v>
                </c:pt>
                <c:pt idx="2178">
                  <c:v>67.959599999999995</c:v>
                </c:pt>
                <c:pt idx="2179">
                  <c:v>69.140699999999995</c:v>
                </c:pt>
                <c:pt idx="2180">
                  <c:v>72.084800000000001</c:v>
                </c:pt>
                <c:pt idx="2181">
                  <c:v>72.226699999999994</c:v>
                </c:pt>
                <c:pt idx="2182">
                  <c:v>74.064300000000003</c:v>
                </c:pt>
                <c:pt idx="2183">
                  <c:v>75.4251</c:v>
                </c:pt>
                <c:pt idx="2184">
                  <c:v>74.646699999999996</c:v>
                </c:pt>
                <c:pt idx="2185">
                  <c:v>74.638000000000005</c:v>
                </c:pt>
                <c:pt idx="2186">
                  <c:v>74.438000000000002</c:v>
                </c:pt>
                <c:pt idx="2187">
                  <c:v>74.626099999999994</c:v>
                </c:pt>
                <c:pt idx="2188">
                  <c:v>77.3613</c:v>
                </c:pt>
                <c:pt idx="2189">
                  <c:v>79.2744</c:v>
                </c:pt>
                <c:pt idx="2190">
                  <c:v>79.444100000000006</c:v>
                </c:pt>
                <c:pt idx="2191">
                  <c:v>80.858800000000002</c:v>
                </c:pt>
                <c:pt idx="2192">
                  <c:v>82.444199999999995</c:v>
                </c:pt>
                <c:pt idx="2193">
                  <c:v>83.194299999999998</c:v>
                </c:pt>
                <c:pt idx="2194">
                  <c:v>80.805999999999997</c:v>
                </c:pt>
                <c:pt idx="2195">
                  <c:v>78.854799999999997</c:v>
                </c:pt>
                <c:pt idx="2196">
                  <c:v>76.987099999999998</c:v>
                </c:pt>
                <c:pt idx="2197">
                  <c:v>73.624700000000004</c:v>
                </c:pt>
                <c:pt idx="2198">
                  <c:v>73.551400000000001</c:v>
                </c:pt>
                <c:pt idx="2199">
                  <c:v>75.878600000000006</c:v>
                </c:pt>
                <c:pt idx="2200">
                  <c:v>75.583600000000004</c:v>
                </c:pt>
                <c:pt idx="2201">
                  <c:v>71.580399999999997</c:v>
                </c:pt>
                <c:pt idx="2202">
                  <c:v>68.693899999999999</c:v>
                </c:pt>
                <c:pt idx="2203">
                  <c:v>74.780500000000004</c:v>
                </c:pt>
                <c:pt idx="2204">
                  <c:v>77.940899999999999</c:v>
                </c:pt>
                <c:pt idx="2205">
                  <c:v>76.333399999999997</c:v>
                </c:pt>
                <c:pt idx="2206">
                  <c:v>73.909099999999995</c:v>
                </c:pt>
                <c:pt idx="2207">
                  <c:v>75.159700000000001</c:v>
                </c:pt>
                <c:pt idx="2208">
                  <c:v>72.744299999999996</c:v>
                </c:pt>
                <c:pt idx="2209">
                  <c:v>70.720100000000002</c:v>
                </c:pt>
                <c:pt idx="2210">
                  <c:v>68.987099999999998</c:v>
                </c:pt>
                <c:pt idx="2211">
                  <c:v>68.585700000000003</c:v>
                </c:pt>
                <c:pt idx="2212">
                  <c:v>70.669399999999996</c:v>
                </c:pt>
                <c:pt idx="2213">
                  <c:v>69.453500000000005</c:v>
                </c:pt>
                <c:pt idx="2214">
                  <c:v>70.485100000000003</c:v>
                </c:pt>
                <c:pt idx="2215">
                  <c:v>66.991699999999994</c:v>
                </c:pt>
                <c:pt idx="2216">
                  <c:v>65.582099999999997</c:v>
                </c:pt>
                <c:pt idx="2217">
                  <c:v>65.885900000000007</c:v>
                </c:pt>
                <c:pt idx="2218">
                  <c:v>69.246200000000002</c:v>
                </c:pt>
                <c:pt idx="2219">
                  <c:v>71.1571</c:v>
                </c:pt>
                <c:pt idx="2220">
                  <c:v>70.321299999999994</c:v>
                </c:pt>
                <c:pt idx="2221">
                  <c:v>73.761899999999997</c:v>
                </c:pt>
                <c:pt idx="2222">
                  <c:v>69.470399999999998</c:v>
                </c:pt>
                <c:pt idx="2223">
                  <c:v>71.671499999999995</c:v>
                </c:pt>
                <c:pt idx="2224">
                  <c:v>70.219099999999997</c:v>
                </c:pt>
                <c:pt idx="2225">
                  <c:v>73.518900000000002</c:v>
                </c:pt>
                <c:pt idx="2226">
                  <c:v>75.868200000000002</c:v>
                </c:pt>
                <c:pt idx="2227">
                  <c:v>76.134900000000002</c:v>
                </c:pt>
                <c:pt idx="2228">
                  <c:v>75.433899999999994</c:v>
                </c:pt>
                <c:pt idx="2229">
                  <c:v>77.942899999999995</c:v>
                </c:pt>
                <c:pt idx="2230">
                  <c:v>76.229699999999994</c:v>
                </c:pt>
                <c:pt idx="2231">
                  <c:v>77.312399999999997</c:v>
                </c:pt>
                <c:pt idx="2232">
                  <c:v>81.154600000000002</c:v>
                </c:pt>
                <c:pt idx="2233">
                  <c:v>82.038399999999996</c:v>
                </c:pt>
                <c:pt idx="2234">
                  <c:v>83.578500000000005</c:v>
                </c:pt>
                <c:pt idx="2235">
                  <c:v>83.384600000000006</c:v>
                </c:pt>
                <c:pt idx="2236">
                  <c:v>82.571600000000004</c:v>
                </c:pt>
                <c:pt idx="2237">
                  <c:v>84.061099999999996</c:v>
                </c:pt>
                <c:pt idx="2238">
                  <c:v>79.358999999999995</c:v>
                </c:pt>
                <c:pt idx="2239">
                  <c:v>76.174499999999995</c:v>
                </c:pt>
                <c:pt idx="2240">
                  <c:v>77.251900000000006</c:v>
                </c:pt>
                <c:pt idx="2241">
                  <c:v>75.522300000000001</c:v>
                </c:pt>
                <c:pt idx="2242">
                  <c:v>75.744500000000002</c:v>
                </c:pt>
                <c:pt idx="2243">
                  <c:v>75.253299999999996</c:v>
                </c:pt>
                <c:pt idx="2244">
                  <c:v>71.111199999999997</c:v>
                </c:pt>
                <c:pt idx="2245">
                  <c:v>71.760099999999994</c:v>
                </c:pt>
                <c:pt idx="2246">
                  <c:v>70.137299999999996</c:v>
                </c:pt>
                <c:pt idx="2247">
                  <c:v>68.5184</c:v>
                </c:pt>
                <c:pt idx="2248">
                  <c:v>71.503299999999996</c:v>
                </c:pt>
                <c:pt idx="2249">
                  <c:v>75.415899999999993</c:v>
                </c:pt>
                <c:pt idx="2250">
                  <c:v>75.921400000000006</c:v>
                </c:pt>
                <c:pt idx="2251">
                  <c:v>77.190299999999993</c:v>
                </c:pt>
                <c:pt idx="2252">
                  <c:v>74.712900000000005</c:v>
                </c:pt>
                <c:pt idx="2253">
                  <c:v>74.943399999999997</c:v>
                </c:pt>
                <c:pt idx="2254">
                  <c:v>74.934600000000003</c:v>
                </c:pt>
                <c:pt idx="2255">
                  <c:v>73.408900000000003</c:v>
                </c:pt>
                <c:pt idx="2256">
                  <c:v>74.2744</c:v>
                </c:pt>
                <c:pt idx="2257">
                  <c:v>71.987499999999997</c:v>
                </c:pt>
                <c:pt idx="2258">
                  <c:v>66.138999999999996</c:v>
                </c:pt>
                <c:pt idx="2259">
                  <c:v>66.866900000000001</c:v>
                </c:pt>
                <c:pt idx="2260">
                  <c:v>68.334599999999995</c:v>
                </c:pt>
                <c:pt idx="2261">
                  <c:v>67.938400000000001</c:v>
                </c:pt>
                <c:pt idx="2262">
                  <c:v>65.871600000000001</c:v>
                </c:pt>
                <c:pt idx="2263">
                  <c:v>66.146600000000007</c:v>
                </c:pt>
                <c:pt idx="2264">
                  <c:v>67.091700000000003</c:v>
                </c:pt>
                <c:pt idx="2265">
                  <c:v>66.122399999999999</c:v>
                </c:pt>
                <c:pt idx="2266">
                  <c:v>64.655500000000004</c:v>
                </c:pt>
                <c:pt idx="2267">
                  <c:v>63.711799999999997</c:v>
                </c:pt>
                <c:pt idx="2268">
                  <c:v>64.208699999999993</c:v>
                </c:pt>
                <c:pt idx="2269">
                  <c:v>65.441299999999998</c:v>
                </c:pt>
                <c:pt idx="2270">
                  <c:v>65.573700000000002</c:v>
                </c:pt>
                <c:pt idx="2271">
                  <c:v>66.555199999999999</c:v>
                </c:pt>
                <c:pt idx="2272">
                  <c:v>67.732900000000001</c:v>
                </c:pt>
                <c:pt idx="2273">
                  <c:v>66.840100000000007</c:v>
                </c:pt>
                <c:pt idx="2274">
                  <c:v>68.260599999999997</c:v>
                </c:pt>
                <c:pt idx="2275">
                  <c:v>67.849199999999996</c:v>
                </c:pt>
                <c:pt idx="2276">
                  <c:v>70.764300000000006</c:v>
                </c:pt>
                <c:pt idx="2277">
                  <c:v>69.613699999999994</c:v>
                </c:pt>
                <c:pt idx="2278">
                  <c:v>67.069100000000006</c:v>
                </c:pt>
                <c:pt idx="2279">
                  <c:v>67.8369</c:v>
                </c:pt>
                <c:pt idx="2280">
                  <c:v>65.857900000000001</c:v>
                </c:pt>
                <c:pt idx="2281">
                  <c:v>67.915899999999993</c:v>
                </c:pt>
                <c:pt idx="2282">
                  <c:v>66.815399999999997</c:v>
                </c:pt>
                <c:pt idx="2283">
                  <c:v>66.071899999999999</c:v>
                </c:pt>
                <c:pt idx="2284">
                  <c:v>68.979900000000001</c:v>
                </c:pt>
                <c:pt idx="2285">
                  <c:v>65.107299999999995</c:v>
                </c:pt>
                <c:pt idx="2286">
                  <c:v>62.308100000000003</c:v>
                </c:pt>
                <c:pt idx="2287">
                  <c:v>63.639099999999999</c:v>
                </c:pt>
                <c:pt idx="2288">
                  <c:v>61.364699999999999</c:v>
                </c:pt>
                <c:pt idx="2289">
                  <c:v>58.385899999999999</c:v>
                </c:pt>
                <c:pt idx="2290">
                  <c:v>58.866799999999998</c:v>
                </c:pt>
                <c:pt idx="2291">
                  <c:v>60.219799999999999</c:v>
                </c:pt>
                <c:pt idx="2292">
                  <c:v>62.209200000000003</c:v>
                </c:pt>
                <c:pt idx="2293">
                  <c:v>61.783700000000003</c:v>
                </c:pt>
                <c:pt idx="2294">
                  <c:v>63.6081</c:v>
                </c:pt>
                <c:pt idx="2295">
                  <c:v>62.217500000000001</c:v>
                </c:pt>
                <c:pt idx="2296">
                  <c:v>63.232100000000003</c:v>
                </c:pt>
                <c:pt idx="2297">
                  <c:v>62.88</c:v>
                </c:pt>
                <c:pt idx="2298">
                  <c:v>62.644799999999996</c:v>
                </c:pt>
                <c:pt idx="2299">
                  <c:v>64.334599999999995</c:v>
                </c:pt>
                <c:pt idx="2300">
                  <c:v>63.588900000000002</c:v>
                </c:pt>
                <c:pt idx="2301">
                  <c:v>61.1569</c:v>
                </c:pt>
                <c:pt idx="2302">
                  <c:v>57.846699999999998</c:v>
                </c:pt>
                <c:pt idx="2303">
                  <c:v>57.932499999999997</c:v>
                </c:pt>
                <c:pt idx="2304">
                  <c:v>57.473399999999998</c:v>
                </c:pt>
                <c:pt idx="2305">
                  <c:v>55.937600000000003</c:v>
                </c:pt>
                <c:pt idx="2306">
                  <c:v>57.385899999999999</c:v>
                </c:pt>
                <c:pt idx="2307">
                  <c:v>56.736600000000003</c:v>
                </c:pt>
                <c:pt idx="2308">
                  <c:v>60.950200000000002</c:v>
                </c:pt>
                <c:pt idx="2309">
                  <c:v>62.068600000000004</c:v>
                </c:pt>
                <c:pt idx="2310">
                  <c:v>62.117600000000003</c:v>
                </c:pt>
                <c:pt idx="2311">
                  <c:v>61.642099999999999</c:v>
                </c:pt>
                <c:pt idx="2312">
                  <c:v>58.891800000000003</c:v>
                </c:pt>
                <c:pt idx="2313">
                  <c:v>57.985999999999997</c:v>
                </c:pt>
                <c:pt idx="2314">
                  <c:v>57.506999999999998</c:v>
                </c:pt>
                <c:pt idx="2315">
                  <c:v>56.381700000000002</c:v>
                </c:pt>
                <c:pt idx="2316">
                  <c:v>56.2789</c:v>
                </c:pt>
                <c:pt idx="2317">
                  <c:v>55.737699999999997</c:v>
                </c:pt>
                <c:pt idx="2318">
                  <c:v>55.650199999999998</c:v>
                </c:pt>
                <c:pt idx="2319">
                  <c:v>57.180799999999998</c:v>
                </c:pt>
                <c:pt idx="2320">
                  <c:v>56.937800000000003</c:v>
                </c:pt>
                <c:pt idx="2321">
                  <c:v>60.939599999999999</c:v>
                </c:pt>
                <c:pt idx="2322">
                  <c:v>62.179400000000001</c:v>
                </c:pt>
                <c:pt idx="2323">
                  <c:v>60.393700000000003</c:v>
                </c:pt>
                <c:pt idx="2324">
                  <c:v>60.121299999999998</c:v>
                </c:pt>
                <c:pt idx="2325">
                  <c:v>59.4619</c:v>
                </c:pt>
                <c:pt idx="2326">
                  <c:v>60.145000000000003</c:v>
                </c:pt>
                <c:pt idx="2327">
                  <c:v>58.4833</c:v>
                </c:pt>
                <c:pt idx="2328">
                  <c:v>58.253900000000002</c:v>
                </c:pt>
                <c:pt idx="2329">
                  <c:v>60.510599999999997</c:v>
                </c:pt>
                <c:pt idx="2330">
                  <c:v>60.7423</c:v>
                </c:pt>
                <c:pt idx="2331">
                  <c:v>60.851399999999998</c:v>
                </c:pt>
                <c:pt idx="2332">
                  <c:v>58.486899999999999</c:v>
                </c:pt>
                <c:pt idx="2333">
                  <c:v>58.662300000000002</c:v>
                </c:pt>
                <c:pt idx="2334">
                  <c:v>58.7271</c:v>
                </c:pt>
                <c:pt idx="2335">
                  <c:v>56.915399999999998</c:v>
                </c:pt>
                <c:pt idx="2336">
                  <c:v>56.6325</c:v>
                </c:pt>
                <c:pt idx="2337">
                  <c:v>58.148499999999999</c:v>
                </c:pt>
                <c:pt idx="2338">
                  <c:v>58.324800000000003</c:v>
                </c:pt>
                <c:pt idx="2339">
                  <c:v>58.230899999999998</c:v>
                </c:pt>
                <c:pt idx="2340">
                  <c:v>57.727800000000002</c:v>
                </c:pt>
                <c:pt idx="2341">
                  <c:v>56.743200000000002</c:v>
                </c:pt>
                <c:pt idx="2342">
                  <c:v>55.904299999999999</c:v>
                </c:pt>
                <c:pt idx="2343">
                  <c:v>53.838200000000001</c:v>
                </c:pt>
                <c:pt idx="2344">
                  <c:v>51.172699999999999</c:v>
                </c:pt>
                <c:pt idx="2345">
                  <c:v>49.049599999999998</c:v>
                </c:pt>
                <c:pt idx="2346">
                  <c:v>47.639899999999997</c:v>
                </c:pt>
                <c:pt idx="2347">
                  <c:v>49.145400000000002</c:v>
                </c:pt>
                <c:pt idx="2348">
                  <c:v>49.307899999999997</c:v>
                </c:pt>
                <c:pt idx="2349">
                  <c:v>48.14</c:v>
                </c:pt>
                <c:pt idx="2350">
                  <c:v>49.260899999999999</c:v>
                </c:pt>
                <c:pt idx="2351">
                  <c:v>48.447800000000001</c:v>
                </c:pt>
                <c:pt idx="2352">
                  <c:v>48.620699999999999</c:v>
                </c:pt>
                <c:pt idx="2353">
                  <c:v>47.480499999999999</c:v>
                </c:pt>
                <c:pt idx="2354">
                  <c:v>46.707500000000003</c:v>
                </c:pt>
                <c:pt idx="2355">
                  <c:v>47.397300000000001</c:v>
                </c:pt>
                <c:pt idx="2356">
                  <c:v>48.646500000000003</c:v>
                </c:pt>
                <c:pt idx="2357">
                  <c:v>48.982300000000002</c:v>
                </c:pt>
                <c:pt idx="2358">
                  <c:v>49.804400000000001</c:v>
                </c:pt>
                <c:pt idx="2359">
                  <c:v>50.277799999999999</c:v>
                </c:pt>
                <c:pt idx="2360">
                  <c:v>49.884599999999999</c:v>
                </c:pt>
                <c:pt idx="2361">
                  <c:v>50.107799999999997</c:v>
                </c:pt>
                <c:pt idx="2362">
                  <c:v>50.443199999999997</c:v>
                </c:pt>
                <c:pt idx="2363">
                  <c:v>50.590499999999999</c:v>
                </c:pt>
                <c:pt idx="2364">
                  <c:v>52.096600000000002</c:v>
                </c:pt>
                <c:pt idx="2365">
                  <c:v>53.255099999999999</c:v>
                </c:pt>
                <c:pt idx="2366">
                  <c:v>52.354900000000001</c:v>
                </c:pt>
                <c:pt idx="2367">
                  <c:v>52.1006</c:v>
                </c:pt>
                <c:pt idx="2368">
                  <c:v>50.623800000000003</c:v>
                </c:pt>
                <c:pt idx="2369">
                  <c:v>50.204599999999999</c:v>
                </c:pt>
                <c:pt idx="2370">
                  <c:v>51.173200000000001</c:v>
                </c:pt>
                <c:pt idx="2371">
                  <c:v>51.980800000000002</c:v>
                </c:pt>
                <c:pt idx="2372">
                  <c:v>51.456299999999999</c:v>
                </c:pt>
                <c:pt idx="2373">
                  <c:v>50.202599999999997</c:v>
                </c:pt>
                <c:pt idx="2374">
                  <c:v>49.468899999999998</c:v>
                </c:pt>
                <c:pt idx="2375">
                  <c:v>49.177500000000002</c:v>
                </c:pt>
                <c:pt idx="2376">
                  <c:v>48.331499999999998</c:v>
                </c:pt>
                <c:pt idx="2377">
                  <c:v>47.464700000000001</c:v>
                </c:pt>
                <c:pt idx="2378">
                  <c:v>48.332900000000002</c:v>
                </c:pt>
                <c:pt idx="2379">
                  <c:v>49.274700000000003</c:v>
                </c:pt>
                <c:pt idx="2380">
                  <c:v>51.562100000000001</c:v>
                </c:pt>
                <c:pt idx="2381">
                  <c:v>52.854500000000002</c:v>
                </c:pt>
                <c:pt idx="2382">
                  <c:v>51.2286</c:v>
                </c:pt>
                <c:pt idx="2383">
                  <c:v>53.092500000000001</c:v>
                </c:pt>
                <c:pt idx="2384">
                  <c:v>50.093800000000002</c:v>
                </c:pt>
                <c:pt idx="2385">
                  <c:v>47.616799999999998</c:v>
                </c:pt>
                <c:pt idx="2386">
                  <c:v>47.614600000000003</c:v>
                </c:pt>
                <c:pt idx="2387">
                  <c:v>47.842700000000001</c:v>
                </c:pt>
                <c:pt idx="2388">
                  <c:v>46.310200000000002</c:v>
                </c:pt>
                <c:pt idx="2389">
                  <c:v>45.963000000000001</c:v>
                </c:pt>
                <c:pt idx="2390">
                  <c:v>47.956400000000002</c:v>
                </c:pt>
                <c:pt idx="2391">
                  <c:v>48.675899999999999</c:v>
                </c:pt>
                <c:pt idx="2392">
                  <c:v>50.121600000000001</c:v>
                </c:pt>
                <c:pt idx="2393">
                  <c:v>50.307400000000001</c:v>
                </c:pt>
                <c:pt idx="2394">
                  <c:v>49.212200000000003</c:v>
                </c:pt>
                <c:pt idx="2395">
                  <c:v>50.4146</c:v>
                </c:pt>
                <c:pt idx="2396">
                  <c:v>49.512999999999998</c:v>
                </c:pt>
                <c:pt idx="2397">
                  <c:v>48.7438</c:v>
                </c:pt>
                <c:pt idx="2398">
                  <c:v>49.101199999999999</c:v>
                </c:pt>
                <c:pt idx="2399">
                  <c:v>49.465400000000002</c:v>
                </c:pt>
                <c:pt idx="2400">
                  <c:v>49.342599999999997</c:v>
                </c:pt>
                <c:pt idx="2401">
                  <c:v>48.936199999999999</c:v>
                </c:pt>
                <c:pt idx="2402">
                  <c:v>48.762999999999998</c:v>
                </c:pt>
                <c:pt idx="2403">
                  <c:v>47.262099999999997</c:v>
                </c:pt>
                <c:pt idx="2404">
                  <c:v>47.808599999999998</c:v>
                </c:pt>
                <c:pt idx="2405">
                  <c:v>46.781799999999997</c:v>
                </c:pt>
                <c:pt idx="2406">
                  <c:v>44.804299999999998</c:v>
                </c:pt>
                <c:pt idx="2407">
                  <c:v>45.524900000000002</c:v>
                </c:pt>
                <c:pt idx="2408">
                  <c:v>46.039900000000003</c:v>
                </c:pt>
                <c:pt idx="2409">
                  <c:v>45.7502</c:v>
                </c:pt>
                <c:pt idx="2410">
                  <c:v>45.218600000000002</c:v>
                </c:pt>
                <c:pt idx="2411">
                  <c:v>44.817599999999999</c:v>
                </c:pt>
                <c:pt idx="2412">
                  <c:v>42.9651</c:v>
                </c:pt>
                <c:pt idx="2413">
                  <c:v>42.169199999999996</c:v>
                </c:pt>
                <c:pt idx="2414">
                  <c:v>41.525599999999997</c:v>
                </c:pt>
                <c:pt idx="2415">
                  <c:v>41.021799999999999</c:v>
                </c:pt>
                <c:pt idx="2416">
                  <c:v>40.140700000000002</c:v>
                </c:pt>
                <c:pt idx="2417">
                  <c:v>40.820399999999999</c:v>
                </c:pt>
                <c:pt idx="2418">
                  <c:v>39.561199999999999</c:v>
                </c:pt>
                <c:pt idx="2419">
                  <c:v>40.489600000000003</c:v>
                </c:pt>
                <c:pt idx="2420">
                  <c:v>40.031999999999996</c:v>
                </c:pt>
                <c:pt idx="2421">
                  <c:v>39.371699999999997</c:v>
                </c:pt>
                <c:pt idx="2422">
                  <c:v>39.5441</c:v>
                </c:pt>
                <c:pt idx="2423">
                  <c:v>39.667200000000001</c:v>
                </c:pt>
                <c:pt idx="2424">
                  <c:v>39.913600000000002</c:v>
                </c:pt>
                <c:pt idx="2425">
                  <c:v>40.212899999999998</c:v>
                </c:pt>
                <c:pt idx="2426">
                  <c:v>43.064</c:v>
                </c:pt>
                <c:pt idx="2427">
                  <c:v>42.380499999999998</c:v>
                </c:pt>
                <c:pt idx="2428">
                  <c:v>42.971600000000002</c:v>
                </c:pt>
                <c:pt idx="2429">
                  <c:v>44.219299999999997</c:v>
                </c:pt>
                <c:pt idx="2430">
                  <c:v>44.0306</c:v>
                </c:pt>
                <c:pt idx="2431">
                  <c:v>43.333799999999997</c:v>
                </c:pt>
                <c:pt idx="2432">
                  <c:v>45.517699999999998</c:v>
                </c:pt>
                <c:pt idx="2433">
                  <c:v>42.810699999999997</c:v>
                </c:pt>
                <c:pt idx="2434">
                  <c:v>42.747100000000003</c:v>
                </c:pt>
                <c:pt idx="2435">
                  <c:v>42.554699999999997</c:v>
                </c:pt>
                <c:pt idx="2436">
                  <c:v>41.914700000000003</c:v>
                </c:pt>
                <c:pt idx="2437">
                  <c:v>41.145600000000002</c:v>
                </c:pt>
                <c:pt idx="2438">
                  <c:v>40.536799999999999</c:v>
                </c:pt>
                <c:pt idx="2439">
                  <c:v>41.353499999999997</c:v>
                </c:pt>
                <c:pt idx="2440">
                  <c:v>42.610500000000002</c:v>
                </c:pt>
                <c:pt idx="2441">
                  <c:v>42.1205</c:v>
                </c:pt>
                <c:pt idx="2442">
                  <c:v>44.351500000000001</c:v>
                </c:pt>
                <c:pt idx="2443">
                  <c:v>46.427900000000001</c:v>
                </c:pt>
                <c:pt idx="2444">
                  <c:v>43.808399999999999</c:v>
                </c:pt>
                <c:pt idx="2445">
                  <c:v>42.946899999999999</c:v>
                </c:pt>
                <c:pt idx="2446">
                  <c:v>42.523099999999999</c:v>
                </c:pt>
                <c:pt idx="2447">
                  <c:v>43.045699999999997</c:v>
                </c:pt>
                <c:pt idx="2448">
                  <c:v>43.633000000000003</c:v>
                </c:pt>
                <c:pt idx="2449">
                  <c:v>42.224800000000002</c:v>
                </c:pt>
                <c:pt idx="2450">
                  <c:v>41.311799999999998</c:v>
                </c:pt>
                <c:pt idx="2451">
                  <c:v>41.0745</c:v>
                </c:pt>
                <c:pt idx="2452">
                  <c:v>41.792200000000001</c:v>
                </c:pt>
                <c:pt idx="2453">
                  <c:v>38.558700000000002</c:v>
                </c:pt>
                <c:pt idx="2454">
                  <c:v>39.170900000000003</c:v>
                </c:pt>
                <c:pt idx="2455">
                  <c:v>37.769100000000002</c:v>
                </c:pt>
                <c:pt idx="2456">
                  <c:v>39.318399999999997</c:v>
                </c:pt>
                <c:pt idx="2457">
                  <c:v>41.460999999999999</c:v>
                </c:pt>
                <c:pt idx="2458">
                  <c:v>41.5077</c:v>
                </c:pt>
                <c:pt idx="2459">
                  <c:v>41.4208</c:v>
                </c:pt>
                <c:pt idx="2460">
                  <c:v>42.835099999999997</c:v>
                </c:pt>
                <c:pt idx="2461">
                  <c:v>42.7986</c:v>
                </c:pt>
                <c:pt idx="2462">
                  <c:v>42.844200000000001</c:v>
                </c:pt>
                <c:pt idx="2463">
                  <c:v>42.8202</c:v>
                </c:pt>
                <c:pt idx="2464">
                  <c:v>42.160800000000002</c:v>
                </c:pt>
                <c:pt idx="2465">
                  <c:v>41.945500000000003</c:v>
                </c:pt>
                <c:pt idx="2466">
                  <c:v>41.823399999999999</c:v>
                </c:pt>
                <c:pt idx="2467">
                  <c:v>42.750100000000003</c:v>
                </c:pt>
                <c:pt idx="2468">
                  <c:v>43.486899999999999</c:v>
                </c:pt>
                <c:pt idx="2469">
                  <c:v>43.354900000000001</c:v>
                </c:pt>
                <c:pt idx="2470">
                  <c:v>46.731400000000001</c:v>
                </c:pt>
                <c:pt idx="2471">
                  <c:v>47.2151</c:v>
                </c:pt>
                <c:pt idx="2472">
                  <c:v>48.070700000000002</c:v>
                </c:pt>
                <c:pt idx="2473">
                  <c:v>49.531999999999996</c:v>
                </c:pt>
                <c:pt idx="2474">
                  <c:v>50.656500000000001</c:v>
                </c:pt>
                <c:pt idx="2475">
                  <c:v>49.917499999999997</c:v>
                </c:pt>
                <c:pt idx="2476">
                  <c:v>50.4375</c:v>
                </c:pt>
                <c:pt idx="2477">
                  <c:v>52.382300000000001</c:v>
                </c:pt>
                <c:pt idx="2478">
                  <c:v>52.098100000000002</c:v>
                </c:pt>
                <c:pt idx="2479">
                  <c:v>51.683700000000002</c:v>
                </c:pt>
                <c:pt idx="2480">
                  <c:v>51.327199999999998</c:v>
                </c:pt>
                <c:pt idx="2481">
                  <c:v>50.897399999999998</c:v>
                </c:pt>
                <c:pt idx="2482">
                  <c:v>50.254199999999997</c:v>
                </c:pt>
                <c:pt idx="2483">
                  <c:v>50.950200000000002</c:v>
                </c:pt>
                <c:pt idx="2484">
                  <c:v>50.460799999999999</c:v>
                </c:pt>
                <c:pt idx="2485">
                  <c:v>50.310099999999998</c:v>
                </c:pt>
                <c:pt idx="2486">
                  <c:v>51.44</c:v>
                </c:pt>
                <c:pt idx="2487">
                  <c:v>49.889000000000003</c:v>
                </c:pt>
                <c:pt idx="2488">
                  <c:v>50.489100000000001</c:v>
                </c:pt>
                <c:pt idx="2489">
                  <c:v>50.545299999999997</c:v>
                </c:pt>
                <c:pt idx="2490">
                  <c:v>50.868200000000002</c:v>
                </c:pt>
                <c:pt idx="2491">
                  <c:v>50.825699999999998</c:v>
                </c:pt>
                <c:pt idx="2492">
                  <c:v>50.141599999999997</c:v>
                </c:pt>
                <c:pt idx="2493">
                  <c:v>49.628700000000002</c:v>
                </c:pt>
                <c:pt idx="2494">
                  <c:v>51.336300000000001</c:v>
                </c:pt>
                <c:pt idx="2495">
                  <c:v>50.468699999999998</c:v>
                </c:pt>
                <c:pt idx="2496">
                  <c:v>50.8018</c:v>
                </c:pt>
                <c:pt idx="2497">
                  <c:v>50.134900000000002</c:v>
                </c:pt>
                <c:pt idx="2498">
                  <c:v>49.3125</c:v>
                </c:pt>
                <c:pt idx="2499">
                  <c:v>48.889099999999999</c:v>
                </c:pt>
                <c:pt idx="2500">
                  <c:v>48.892899999999997</c:v>
                </c:pt>
                <c:pt idx="2501">
                  <c:v>48.670499999999997</c:v>
                </c:pt>
                <c:pt idx="2502">
                  <c:v>48.807200000000002</c:v>
                </c:pt>
                <c:pt idx="2503">
                  <c:v>48.475900000000003</c:v>
                </c:pt>
                <c:pt idx="2504">
                  <c:v>48.350700000000003</c:v>
                </c:pt>
                <c:pt idx="2505">
                  <c:v>49.368200000000002</c:v>
                </c:pt>
                <c:pt idx="2506">
                  <c:v>49.769500000000001</c:v>
                </c:pt>
                <c:pt idx="2507">
                  <c:v>50.883400000000002</c:v>
                </c:pt>
                <c:pt idx="2508">
                  <c:v>48.1053</c:v>
                </c:pt>
                <c:pt idx="2509">
                  <c:v>45.156100000000002</c:v>
                </c:pt>
                <c:pt idx="2510">
                  <c:v>44.887900000000002</c:v>
                </c:pt>
                <c:pt idx="2511">
                  <c:v>45.128500000000003</c:v>
                </c:pt>
                <c:pt idx="2512">
                  <c:v>48.374299999999998</c:v>
                </c:pt>
                <c:pt idx="2513">
                  <c:v>48.895000000000003</c:v>
                </c:pt>
                <c:pt idx="2514">
                  <c:v>50.703200000000002</c:v>
                </c:pt>
                <c:pt idx="2515">
                  <c:v>50.951300000000003</c:v>
                </c:pt>
                <c:pt idx="2516">
                  <c:v>50.106699999999996</c:v>
                </c:pt>
                <c:pt idx="2517">
                  <c:v>51.401000000000003</c:v>
                </c:pt>
                <c:pt idx="2518">
                  <c:v>51.186399999999999</c:v>
                </c:pt>
                <c:pt idx="2519">
                  <c:v>50.207599999999999</c:v>
                </c:pt>
                <c:pt idx="2520">
                  <c:v>49.750799999999998</c:v>
                </c:pt>
                <c:pt idx="2521">
                  <c:v>47.888199999999998</c:v>
                </c:pt>
                <c:pt idx="2522">
                  <c:v>48.548299999999998</c:v>
                </c:pt>
                <c:pt idx="2523">
                  <c:v>46.786000000000001</c:v>
                </c:pt>
                <c:pt idx="2524">
                  <c:v>47.228400000000001</c:v>
                </c:pt>
                <c:pt idx="2525">
                  <c:v>47.057899999999997</c:v>
                </c:pt>
                <c:pt idx="2526">
                  <c:v>45.472900000000003</c:v>
                </c:pt>
                <c:pt idx="2527">
                  <c:v>45.060899999999997</c:v>
                </c:pt>
                <c:pt idx="2528">
                  <c:v>45.646099999999997</c:v>
                </c:pt>
                <c:pt idx="2529">
                  <c:v>48.078600000000002</c:v>
                </c:pt>
                <c:pt idx="2530">
                  <c:v>48.799100000000003</c:v>
                </c:pt>
                <c:pt idx="2531">
                  <c:v>48.944400000000002</c:v>
                </c:pt>
                <c:pt idx="2532">
                  <c:v>47.885599999999997</c:v>
                </c:pt>
                <c:pt idx="2533">
                  <c:v>46.254600000000003</c:v>
                </c:pt>
                <c:pt idx="2534">
                  <c:v>47.2712</c:v>
                </c:pt>
                <c:pt idx="2535">
                  <c:v>48.884300000000003</c:v>
                </c:pt>
                <c:pt idx="2536">
                  <c:v>49.039200000000001</c:v>
                </c:pt>
                <c:pt idx="2537">
                  <c:v>48.449599999999997</c:v>
                </c:pt>
                <c:pt idx="2538">
                  <c:v>48.2239</c:v>
                </c:pt>
                <c:pt idx="2539">
                  <c:v>47.638599999999997</c:v>
                </c:pt>
                <c:pt idx="2540">
                  <c:v>45.514499999999998</c:v>
                </c:pt>
                <c:pt idx="2541">
                  <c:v>44.907299999999999</c:v>
                </c:pt>
                <c:pt idx="2542">
                  <c:v>42.193800000000003</c:v>
                </c:pt>
                <c:pt idx="2543">
                  <c:v>41.693199999999997</c:v>
                </c:pt>
                <c:pt idx="2544">
                  <c:v>40.878700000000002</c:v>
                </c:pt>
                <c:pt idx="2545">
                  <c:v>37.776499999999999</c:v>
                </c:pt>
                <c:pt idx="2546">
                  <c:v>37.805999999999997</c:v>
                </c:pt>
                <c:pt idx="2547">
                  <c:v>37.040199999999999</c:v>
                </c:pt>
                <c:pt idx="2548">
                  <c:v>37.076599999999999</c:v>
                </c:pt>
                <c:pt idx="2549">
                  <c:v>36.465699999999998</c:v>
                </c:pt>
                <c:pt idx="2550">
                  <c:v>35.9499</c:v>
                </c:pt>
                <c:pt idx="2551">
                  <c:v>33.952399999999997</c:v>
                </c:pt>
                <c:pt idx="2552">
                  <c:v>31.498799999999999</c:v>
                </c:pt>
                <c:pt idx="2553">
                  <c:v>30.3553</c:v>
                </c:pt>
                <c:pt idx="2554">
                  <c:v>30.616900000000001</c:v>
                </c:pt>
                <c:pt idx="2555">
                  <c:v>26.7196</c:v>
                </c:pt>
                <c:pt idx="2556">
                  <c:v>29.565300000000001</c:v>
                </c:pt>
                <c:pt idx="2557">
                  <c:v>27.419599999999999</c:v>
                </c:pt>
                <c:pt idx="2558">
                  <c:v>25.126300000000001</c:v>
                </c:pt>
                <c:pt idx="2559">
                  <c:v>26.121700000000001</c:v>
                </c:pt>
                <c:pt idx="2560">
                  <c:v>25.775099999999998</c:v>
                </c:pt>
                <c:pt idx="2561">
                  <c:v>25.568899999999999</c:v>
                </c:pt>
                <c:pt idx="2562">
                  <c:v>23.429500000000001</c:v>
                </c:pt>
                <c:pt idx="2563">
                  <c:v>23.780899999999999</c:v>
                </c:pt>
                <c:pt idx="2564">
                  <c:v>25.8752</c:v>
                </c:pt>
                <c:pt idx="2565">
                  <c:v>27.1938</c:v>
                </c:pt>
                <c:pt idx="2566">
                  <c:v>26.5764</c:v>
                </c:pt>
                <c:pt idx="2567">
                  <c:v>25.796399999999998</c:v>
                </c:pt>
                <c:pt idx="2568">
                  <c:v>27.078800000000001</c:v>
                </c:pt>
                <c:pt idx="2569">
                  <c:v>26.7624</c:v>
                </c:pt>
                <c:pt idx="2570">
                  <c:v>25.615200000000002</c:v>
                </c:pt>
                <c:pt idx="2571">
                  <c:v>25.634499999999999</c:v>
                </c:pt>
                <c:pt idx="2572">
                  <c:v>25.234000000000002</c:v>
                </c:pt>
                <c:pt idx="2573">
                  <c:v>26.316500000000001</c:v>
                </c:pt>
                <c:pt idx="2574">
                  <c:v>26.421099999999999</c:v>
                </c:pt>
                <c:pt idx="2575">
                  <c:v>25.789300000000001</c:v>
                </c:pt>
                <c:pt idx="2576">
                  <c:v>27.046700000000001</c:v>
                </c:pt>
                <c:pt idx="2577">
                  <c:v>28.596599999999999</c:v>
                </c:pt>
                <c:pt idx="2578">
                  <c:v>27.4221</c:v>
                </c:pt>
                <c:pt idx="2579">
                  <c:v>26.6587</c:v>
                </c:pt>
                <c:pt idx="2580">
                  <c:v>27.930599999999998</c:v>
                </c:pt>
                <c:pt idx="2581">
                  <c:v>28.168700000000001</c:v>
                </c:pt>
                <c:pt idx="2582">
                  <c:v>27.931899999999999</c:v>
                </c:pt>
                <c:pt idx="2583">
                  <c:v>26.802800000000001</c:v>
                </c:pt>
                <c:pt idx="2584">
                  <c:v>26.670500000000001</c:v>
                </c:pt>
                <c:pt idx="2585">
                  <c:v>28.222000000000001</c:v>
                </c:pt>
                <c:pt idx="2586">
                  <c:v>27.749700000000001</c:v>
                </c:pt>
                <c:pt idx="2587">
                  <c:v>27.727499999999999</c:v>
                </c:pt>
                <c:pt idx="2588">
                  <c:v>28.348700000000001</c:v>
                </c:pt>
                <c:pt idx="2589">
                  <c:v>27.345800000000001</c:v>
                </c:pt>
                <c:pt idx="2590">
                  <c:v>27.2776</c:v>
                </c:pt>
                <c:pt idx="2591">
                  <c:v>27.504799999999999</c:v>
                </c:pt>
                <c:pt idx="2592">
                  <c:v>26.655999999999999</c:v>
                </c:pt>
                <c:pt idx="2593">
                  <c:v>27.202100000000002</c:v>
                </c:pt>
                <c:pt idx="2594">
                  <c:v>27.466000000000001</c:v>
                </c:pt>
                <c:pt idx="2595">
                  <c:v>27.5153</c:v>
                </c:pt>
                <c:pt idx="2596">
                  <c:v>27.641999999999999</c:v>
                </c:pt>
                <c:pt idx="2597">
                  <c:v>27.061399999999999</c:v>
                </c:pt>
                <c:pt idx="2598">
                  <c:v>27.126000000000001</c:v>
                </c:pt>
                <c:pt idx="2599">
                  <c:v>28.257999999999999</c:v>
                </c:pt>
                <c:pt idx="2600">
                  <c:v>28.4863</c:v>
                </c:pt>
                <c:pt idx="2601">
                  <c:v>29.552499999999998</c:v>
                </c:pt>
                <c:pt idx="2602">
                  <c:v>29.6037</c:v>
                </c:pt>
                <c:pt idx="2603">
                  <c:v>33.340600000000002</c:v>
                </c:pt>
                <c:pt idx="2604">
                  <c:v>33.920999999999999</c:v>
                </c:pt>
                <c:pt idx="2605">
                  <c:v>32.812199999999997</c:v>
                </c:pt>
                <c:pt idx="2606">
                  <c:v>33.617800000000003</c:v>
                </c:pt>
                <c:pt idx="2607">
                  <c:v>33.436900000000001</c:v>
                </c:pt>
                <c:pt idx="2608">
                  <c:v>34.279800000000002</c:v>
                </c:pt>
                <c:pt idx="2609">
                  <c:v>33.961300000000001</c:v>
                </c:pt>
                <c:pt idx="2610">
                  <c:v>35.028399999999998</c:v>
                </c:pt>
                <c:pt idx="2611">
                  <c:v>34.2378</c:v>
                </c:pt>
                <c:pt idx="2612">
                  <c:v>33.813499999999998</c:v>
                </c:pt>
                <c:pt idx="2613">
                  <c:v>33.860999999999997</c:v>
                </c:pt>
                <c:pt idx="2614">
                  <c:v>33.158099999999997</c:v>
                </c:pt>
                <c:pt idx="2615">
                  <c:v>33.4983</c:v>
                </c:pt>
                <c:pt idx="2616">
                  <c:v>33.3827</c:v>
                </c:pt>
                <c:pt idx="2617">
                  <c:v>33.213299999999997</c:v>
                </c:pt>
                <c:pt idx="2618">
                  <c:v>32.809600000000003</c:v>
                </c:pt>
                <c:pt idx="2619">
                  <c:v>33.047600000000003</c:v>
                </c:pt>
                <c:pt idx="2620">
                  <c:v>32.598700000000001</c:v>
                </c:pt>
                <c:pt idx="2621">
                  <c:v>32.634500000000003</c:v>
                </c:pt>
                <c:pt idx="2622">
                  <c:v>32.193100000000001</c:v>
                </c:pt>
                <c:pt idx="2623">
                  <c:v>31.885300000000001</c:v>
                </c:pt>
                <c:pt idx="2624">
                  <c:v>31.924900000000001</c:v>
                </c:pt>
                <c:pt idx="2625">
                  <c:v>31.931899999999999</c:v>
                </c:pt>
                <c:pt idx="2626">
                  <c:v>31.9008</c:v>
                </c:pt>
                <c:pt idx="2627">
                  <c:v>31.7591</c:v>
                </c:pt>
                <c:pt idx="2628">
                  <c:v>31.457999999999998</c:v>
                </c:pt>
                <c:pt idx="2629">
                  <c:v>31.224299999999999</c:v>
                </c:pt>
                <c:pt idx="2630">
                  <c:v>30.174399999999999</c:v>
                </c:pt>
                <c:pt idx="2631">
                  <c:v>29.2681</c:v>
                </c:pt>
                <c:pt idx="2632">
                  <c:v>28.297999999999998</c:v>
                </c:pt>
                <c:pt idx="2633">
                  <c:v>28.938800000000001</c:v>
                </c:pt>
                <c:pt idx="2634">
                  <c:v>29.737500000000001</c:v>
                </c:pt>
                <c:pt idx="2635">
                  <c:v>29.994599999999998</c:v>
                </c:pt>
                <c:pt idx="2636">
                  <c:v>29.6191</c:v>
                </c:pt>
                <c:pt idx="2637">
                  <c:v>30.1539</c:v>
                </c:pt>
                <c:pt idx="2638">
                  <c:v>29.906600000000001</c:v>
                </c:pt>
                <c:pt idx="2639">
                  <c:v>29.6477</c:v>
                </c:pt>
                <c:pt idx="2640">
                  <c:v>28.8443</c:v>
                </c:pt>
                <c:pt idx="2641">
                  <c:v>28.6203</c:v>
                </c:pt>
                <c:pt idx="2642">
                  <c:v>28.4514</c:v>
                </c:pt>
                <c:pt idx="2643">
                  <c:v>28.131699999999999</c:v>
                </c:pt>
                <c:pt idx="2644">
                  <c:v>27.3139</c:v>
                </c:pt>
                <c:pt idx="2645">
                  <c:v>25.761099999999999</c:v>
                </c:pt>
                <c:pt idx="2646">
                  <c:v>24.8508</c:v>
                </c:pt>
                <c:pt idx="2647">
                  <c:v>24.5581</c:v>
                </c:pt>
                <c:pt idx="2648">
                  <c:v>24.562799999999999</c:v>
                </c:pt>
                <c:pt idx="2649">
                  <c:v>23.9894</c:v>
                </c:pt>
                <c:pt idx="2650">
                  <c:v>21.98</c:v>
                </c:pt>
                <c:pt idx="2651">
                  <c:v>22.942900000000002</c:v>
                </c:pt>
                <c:pt idx="2652">
                  <c:v>22.2057</c:v>
                </c:pt>
                <c:pt idx="2653">
                  <c:v>25.498100000000001</c:v>
                </c:pt>
                <c:pt idx="2654">
                  <c:v>25.611899999999999</c:v>
                </c:pt>
                <c:pt idx="2655">
                  <c:v>24.281400000000001</c:v>
                </c:pt>
                <c:pt idx="2656">
                  <c:v>24.3751</c:v>
                </c:pt>
                <c:pt idx="2657">
                  <c:v>23.314599999999999</c:v>
                </c:pt>
                <c:pt idx="2658">
                  <c:v>23.3765</c:v>
                </c:pt>
                <c:pt idx="2659">
                  <c:v>24.299600000000002</c:v>
                </c:pt>
                <c:pt idx="2660">
                  <c:v>24.751999999999999</c:v>
                </c:pt>
                <c:pt idx="2661">
                  <c:v>24.3932</c:v>
                </c:pt>
                <c:pt idx="2662">
                  <c:v>24.541799999999999</c:v>
                </c:pt>
                <c:pt idx="2663">
                  <c:v>24.648</c:v>
                </c:pt>
                <c:pt idx="2664">
                  <c:v>23.910799999999998</c:v>
                </c:pt>
                <c:pt idx="2665">
                  <c:v>24.448699999999999</c:v>
                </c:pt>
                <c:pt idx="2666">
                  <c:v>23.664200000000001</c:v>
                </c:pt>
                <c:pt idx="2667">
                  <c:v>22.875800000000002</c:v>
                </c:pt>
                <c:pt idx="2668">
                  <c:v>22.9116</c:v>
                </c:pt>
                <c:pt idx="2669">
                  <c:v>22.9846</c:v>
                </c:pt>
                <c:pt idx="2670">
                  <c:v>22.724900000000002</c:v>
                </c:pt>
                <c:pt idx="2671">
                  <c:v>22.871500000000001</c:v>
                </c:pt>
                <c:pt idx="2672">
                  <c:v>23.283999999999999</c:v>
                </c:pt>
                <c:pt idx="2673">
                  <c:v>23.1812</c:v>
                </c:pt>
                <c:pt idx="2674">
                  <c:v>22.929600000000001</c:v>
                </c:pt>
                <c:pt idx="2675">
                  <c:v>23.550699999999999</c:v>
                </c:pt>
                <c:pt idx="2676">
                  <c:v>23.245999999999999</c:v>
                </c:pt>
                <c:pt idx="2677">
                  <c:v>22.796500000000002</c:v>
                </c:pt>
                <c:pt idx="2678">
                  <c:v>22.5334</c:v>
                </c:pt>
                <c:pt idx="2679">
                  <c:v>22.810099999999998</c:v>
                </c:pt>
                <c:pt idx="2680">
                  <c:v>22.449400000000001</c:v>
                </c:pt>
                <c:pt idx="2681">
                  <c:v>22.382999999999999</c:v>
                </c:pt>
                <c:pt idx="2682">
                  <c:v>22.713100000000001</c:v>
                </c:pt>
                <c:pt idx="2683">
                  <c:v>22.965900000000001</c:v>
                </c:pt>
                <c:pt idx="2684">
                  <c:v>22.727599999999999</c:v>
                </c:pt>
                <c:pt idx="2685">
                  <c:v>23.062100000000001</c:v>
                </c:pt>
                <c:pt idx="2686">
                  <c:v>22.489000000000001</c:v>
                </c:pt>
                <c:pt idx="2687">
                  <c:v>21.842400000000001</c:v>
                </c:pt>
                <c:pt idx="2688">
                  <c:v>22.108499999999999</c:v>
                </c:pt>
                <c:pt idx="2689">
                  <c:v>22.356000000000002</c:v>
                </c:pt>
                <c:pt idx="2690">
                  <c:v>22.468399999999999</c:v>
                </c:pt>
                <c:pt idx="2691">
                  <c:v>22.450600000000001</c:v>
                </c:pt>
                <c:pt idx="2692">
                  <c:v>22.411799999999999</c:v>
                </c:pt>
                <c:pt idx="2693">
                  <c:v>22.559100000000001</c:v>
                </c:pt>
                <c:pt idx="2694">
                  <c:v>22.3627</c:v>
                </c:pt>
                <c:pt idx="2695">
                  <c:v>21.9786</c:v>
                </c:pt>
                <c:pt idx="2696">
                  <c:v>22.271999999999998</c:v>
                </c:pt>
                <c:pt idx="2697">
                  <c:v>22.1816</c:v>
                </c:pt>
                <c:pt idx="2698">
                  <c:v>22.0167</c:v>
                </c:pt>
                <c:pt idx="2699">
                  <c:v>21.725000000000001</c:v>
                </c:pt>
                <c:pt idx="2700">
                  <c:v>21.808499999999999</c:v>
                </c:pt>
                <c:pt idx="2701">
                  <c:v>21.9193</c:v>
                </c:pt>
                <c:pt idx="2702">
                  <c:v>21.859500000000001</c:v>
                </c:pt>
                <c:pt idx="2703">
                  <c:v>21.5535</c:v>
                </c:pt>
                <c:pt idx="2704">
                  <c:v>21.75</c:v>
                </c:pt>
                <c:pt idx="2705">
                  <c:v>21.354600000000001</c:v>
                </c:pt>
                <c:pt idx="2706">
                  <c:v>20.071100000000001</c:v>
                </c:pt>
                <c:pt idx="2707">
                  <c:v>19.0336</c:v>
                </c:pt>
                <c:pt idx="2708">
                  <c:v>18.535299999999999</c:v>
                </c:pt>
                <c:pt idx="2709">
                  <c:v>18.009</c:v>
                </c:pt>
                <c:pt idx="2710">
                  <c:v>18.5319</c:v>
                </c:pt>
                <c:pt idx="2711">
                  <c:v>18.377400000000002</c:v>
                </c:pt>
                <c:pt idx="2712">
                  <c:v>19.0609</c:v>
                </c:pt>
                <c:pt idx="2713">
                  <c:v>18.393899999999999</c:v>
                </c:pt>
                <c:pt idx="2714">
                  <c:v>18.390499999999999</c:v>
                </c:pt>
                <c:pt idx="2715">
                  <c:v>21.2437</c:v>
                </c:pt>
                <c:pt idx="2716">
                  <c:v>23.504100000000001</c:v>
                </c:pt>
                <c:pt idx="2717">
                  <c:v>24.204899999999999</c:v>
                </c:pt>
                <c:pt idx="2718">
                  <c:v>24.990500000000001</c:v>
                </c:pt>
                <c:pt idx="2719">
                  <c:v>24.714300000000001</c:v>
                </c:pt>
                <c:pt idx="2720">
                  <c:v>25.521000000000001</c:v>
                </c:pt>
                <c:pt idx="2721">
                  <c:v>24.580100000000002</c:v>
                </c:pt>
                <c:pt idx="2722">
                  <c:v>25.331099999999999</c:v>
                </c:pt>
                <c:pt idx="2723">
                  <c:v>25.467199999999998</c:v>
                </c:pt>
                <c:pt idx="2724">
                  <c:v>26.259799999999998</c:v>
                </c:pt>
                <c:pt idx="2725">
                  <c:v>26.1066</c:v>
                </c:pt>
                <c:pt idx="2726">
                  <c:v>25.892600000000002</c:v>
                </c:pt>
                <c:pt idx="2727">
                  <c:v>25.7928</c:v>
                </c:pt>
                <c:pt idx="2728">
                  <c:v>26.5458</c:v>
                </c:pt>
                <c:pt idx="2729">
                  <c:v>25.633500000000002</c:v>
                </c:pt>
                <c:pt idx="2730">
                  <c:v>27.353400000000001</c:v>
                </c:pt>
                <c:pt idx="2731">
                  <c:v>26.783300000000001</c:v>
                </c:pt>
                <c:pt idx="2732">
                  <c:v>26.293900000000001</c:v>
                </c:pt>
                <c:pt idx="2733">
                  <c:v>26.519200000000001</c:v>
                </c:pt>
                <c:pt idx="2734">
                  <c:v>26.318200000000001</c:v>
                </c:pt>
                <c:pt idx="2735">
                  <c:v>26.0792</c:v>
                </c:pt>
                <c:pt idx="2736">
                  <c:v>26.680099999999999</c:v>
                </c:pt>
                <c:pt idx="2737">
                  <c:v>26.4938</c:v>
                </c:pt>
                <c:pt idx="2738">
                  <c:v>26.367599999999999</c:v>
                </c:pt>
                <c:pt idx="2739">
                  <c:v>27.198599999999999</c:v>
                </c:pt>
                <c:pt idx="2740">
                  <c:v>27.069400000000002</c:v>
                </c:pt>
                <c:pt idx="2741">
                  <c:v>27.2639</c:v>
                </c:pt>
                <c:pt idx="2742">
                  <c:v>27.550899999999999</c:v>
                </c:pt>
                <c:pt idx="2743">
                  <c:v>27.856000000000002</c:v>
                </c:pt>
                <c:pt idx="2744">
                  <c:v>26.3231</c:v>
                </c:pt>
                <c:pt idx="2745">
                  <c:v>27.120699999999999</c:v>
                </c:pt>
                <c:pt idx="2746">
                  <c:v>26.953199999999999</c:v>
                </c:pt>
                <c:pt idx="2747">
                  <c:v>27.700800000000001</c:v>
                </c:pt>
                <c:pt idx="2748">
                  <c:v>27.6462</c:v>
                </c:pt>
                <c:pt idx="2749">
                  <c:v>28.670500000000001</c:v>
                </c:pt>
                <c:pt idx="2750">
                  <c:v>28.761199999999999</c:v>
                </c:pt>
                <c:pt idx="2751">
                  <c:v>29.0108</c:v>
                </c:pt>
                <c:pt idx="2752">
                  <c:v>27.282699999999998</c:v>
                </c:pt>
                <c:pt idx="2753">
                  <c:v>26.9999</c:v>
                </c:pt>
                <c:pt idx="2754">
                  <c:v>28.0105</c:v>
                </c:pt>
                <c:pt idx="2755">
                  <c:v>28.2531</c:v>
                </c:pt>
                <c:pt idx="2756">
                  <c:v>29.72</c:v>
                </c:pt>
                <c:pt idx="2757">
                  <c:v>29.026599999999998</c:v>
                </c:pt>
                <c:pt idx="2758">
                  <c:v>29.025300000000001</c:v>
                </c:pt>
                <c:pt idx="2759">
                  <c:v>29.878399999999999</c:v>
                </c:pt>
                <c:pt idx="2760">
                  <c:v>30.099499999999999</c:v>
                </c:pt>
                <c:pt idx="2761">
                  <c:v>30.6538</c:v>
                </c:pt>
                <c:pt idx="2762">
                  <c:v>30.513999999999999</c:v>
                </c:pt>
                <c:pt idx="2763">
                  <c:v>29.604600000000001</c:v>
                </c:pt>
                <c:pt idx="2764">
                  <c:v>29.319199999999999</c:v>
                </c:pt>
                <c:pt idx="2765">
                  <c:v>29.422899999999998</c:v>
                </c:pt>
                <c:pt idx="2766">
                  <c:v>28.709199999999999</c:v>
                </c:pt>
                <c:pt idx="2767">
                  <c:v>28.6553</c:v>
                </c:pt>
                <c:pt idx="2768">
                  <c:v>27.4206</c:v>
                </c:pt>
                <c:pt idx="2769">
                  <c:v>28.227599999999999</c:v>
                </c:pt>
                <c:pt idx="2770">
                  <c:v>27.757400000000001</c:v>
                </c:pt>
                <c:pt idx="2771">
                  <c:v>27.584099999999999</c:v>
                </c:pt>
                <c:pt idx="2772">
                  <c:v>28.520399999999999</c:v>
                </c:pt>
                <c:pt idx="2773">
                  <c:v>28.676500000000001</c:v>
                </c:pt>
                <c:pt idx="2774">
                  <c:v>29.639900000000001</c:v>
                </c:pt>
                <c:pt idx="2775">
                  <c:v>29.280799999999999</c:v>
                </c:pt>
                <c:pt idx="2776">
                  <c:v>29.232800000000001</c:v>
                </c:pt>
                <c:pt idx="2777">
                  <c:v>29.1523</c:v>
                </c:pt>
                <c:pt idx="2778">
                  <c:v>29.209</c:v>
                </c:pt>
                <c:pt idx="2779">
                  <c:v>29.3508</c:v>
                </c:pt>
                <c:pt idx="2780">
                  <c:v>29.171500000000002</c:v>
                </c:pt>
                <c:pt idx="2781">
                  <c:v>30.3001</c:v>
                </c:pt>
                <c:pt idx="2782">
                  <c:v>30.684699999999999</c:v>
                </c:pt>
                <c:pt idx="2783">
                  <c:v>30.9056</c:v>
                </c:pt>
                <c:pt idx="2784">
                  <c:v>30.928799999999999</c:v>
                </c:pt>
                <c:pt idx="2785">
                  <c:v>31.1694</c:v>
                </c:pt>
                <c:pt idx="2786">
                  <c:v>32.016199999999998</c:v>
                </c:pt>
                <c:pt idx="2787">
                  <c:v>31.2864</c:v>
                </c:pt>
                <c:pt idx="2788">
                  <c:v>32.763800000000003</c:v>
                </c:pt>
                <c:pt idx="2789">
                  <c:v>33.1556</c:v>
                </c:pt>
                <c:pt idx="2790">
                  <c:v>33.614699999999999</c:v>
                </c:pt>
                <c:pt idx="2791">
                  <c:v>36.563200000000002</c:v>
                </c:pt>
                <c:pt idx="2792">
                  <c:v>36.833799999999997</c:v>
                </c:pt>
                <c:pt idx="2793">
                  <c:v>36.113599999999998</c:v>
                </c:pt>
                <c:pt idx="2794">
                  <c:v>36.055300000000003</c:v>
                </c:pt>
                <c:pt idx="2795">
                  <c:v>36.176200000000001</c:v>
                </c:pt>
                <c:pt idx="2796">
                  <c:v>35.090200000000003</c:v>
                </c:pt>
                <c:pt idx="2797">
                  <c:v>35.391100000000002</c:v>
                </c:pt>
                <c:pt idx="2798">
                  <c:v>35.565399999999997</c:v>
                </c:pt>
                <c:pt idx="2799">
                  <c:v>35.088000000000001</c:v>
                </c:pt>
                <c:pt idx="2800">
                  <c:v>34.975900000000003</c:v>
                </c:pt>
                <c:pt idx="2801">
                  <c:v>35.178199999999997</c:v>
                </c:pt>
                <c:pt idx="2802">
                  <c:v>34.998800000000003</c:v>
                </c:pt>
                <c:pt idx="2803">
                  <c:v>33.399700000000003</c:v>
                </c:pt>
                <c:pt idx="2804">
                  <c:v>33.647300000000001</c:v>
                </c:pt>
                <c:pt idx="2805">
                  <c:v>27.459499999999998</c:v>
                </c:pt>
                <c:pt idx="2806">
                  <c:v>28.1388</c:v>
                </c:pt>
                <c:pt idx="2807">
                  <c:v>29.411300000000001</c:v>
                </c:pt>
                <c:pt idx="2808">
                  <c:v>28.8781</c:v>
                </c:pt>
                <c:pt idx="2809">
                  <c:v>28.601400000000002</c:v>
                </c:pt>
                <c:pt idx="2810">
                  <c:v>27.927700000000002</c:v>
                </c:pt>
                <c:pt idx="2811">
                  <c:v>28.479199999999999</c:v>
                </c:pt>
                <c:pt idx="2812">
                  <c:v>27.796500000000002</c:v>
                </c:pt>
                <c:pt idx="2813">
                  <c:v>28.415800000000001</c:v>
                </c:pt>
                <c:pt idx="2814">
                  <c:v>28.740500000000001</c:v>
                </c:pt>
                <c:pt idx="2815">
                  <c:v>28.088799999999999</c:v>
                </c:pt>
                <c:pt idx="2816">
                  <c:v>28.200199999999999</c:v>
                </c:pt>
                <c:pt idx="2817">
                  <c:v>27.24</c:v>
                </c:pt>
                <c:pt idx="2818">
                  <c:v>26.204499999999999</c:v>
                </c:pt>
                <c:pt idx="2819">
                  <c:v>26.319700000000001</c:v>
                </c:pt>
                <c:pt idx="2820">
                  <c:v>26.059000000000001</c:v>
                </c:pt>
                <c:pt idx="2821">
                  <c:v>26.382100000000001</c:v>
                </c:pt>
                <c:pt idx="2822">
                  <c:v>25.946899999999999</c:v>
                </c:pt>
                <c:pt idx="2823">
                  <c:v>25.369299999999999</c:v>
                </c:pt>
                <c:pt idx="2824">
                  <c:v>25.2484</c:v>
                </c:pt>
                <c:pt idx="2825">
                  <c:v>24.1403</c:v>
                </c:pt>
                <c:pt idx="2826">
                  <c:v>23.343</c:v>
                </c:pt>
                <c:pt idx="2827">
                  <c:v>24.0288</c:v>
                </c:pt>
                <c:pt idx="2828">
                  <c:v>24.394100000000002</c:v>
                </c:pt>
                <c:pt idx="2829">
                  <c:v>25.1737</c:v>
                </c:pt>
                <c:pt idx="2830">
                  <c:v>25.6724</c:v>
                </c:pt>
                <c:pt idx="2831">
                  <c:v>25.748200000000001</c:v>
                </c:pt>
                <c:pt idx="2832">
                  <c:v>26.2974</c:v>
                </c:pt>
                <c:pt idx="2833">
                  <c:v>27.110299999999999</c:v>
                </c:pt>
                <c:pt idx="2834">
                  <c:v>26.7638</c:v>
                </c:pt>
                <c:pt idx="2835">
                  <c:v>26.404299999999999</c:v>
                </c:pt>
                <c:pt idx="2836">
                  <c:v>26.5961</c:v>
                </c:pt>
                <c:pt idx="2837">
                  <c:v>26.659199999999998</c:v>
                </c:pt>
                <c:pt idx="2838">
                  <c:v>27.472100000000001</c:v>
                </c:pt>
                <c:pt idx="2839">
                  <c:v>27.344000000000001</c:v>
                </c:pt>
                <c:pt idx="2840">
                  <c:v>27.565799999999999</c:v>
                </c:pt>
                <c:pt idx="2841">
                  <c:v>26.348199999999999</c:v>
                </c:pt>
                <c:pt idx="2842">
                  <c:v>26.777899999999999</c:v>
                </c:pt>
                <c:pt idx="2843">
                  <c:v>26.6875</c:v>
                </c:pt>
                <c:pt idx="2844">
                  <c:v>26.713899999999999</c:v>
                </c:pt>
                <c:pt idx="2845">
                  <c:v>26.414100000000001</c:v>
                </c:pt>
                <c:pt idx="2846">
                  <c:v>25.231400000000001</c:v>
                </c:pt>
                <c:pt idx="2847">
                  <c:v>25.2577</c:v>
                </c:pt>
                <c:pt idx="2848">
                  <c:v>25.335599999999999</c:v>
                </c:pt>
                <c:pt idx="2849">
                  <c:v>25.017499999999998</c:v>
                </c:pt>
                <c:pt idx="2850">
                  <c:v>25.978300000000001</c:v>
                </c:pt>
                <c:pt idx="2851">
                  <c:v>25.875800000000002</c:v>
                </c:pt>
                <c:pt idx="2852">
                  <c:v>27.101600000000001</c:v>
                </c:pt>
                <c:pt idx="2853">
                  <c:v>26.540099999999999</c:v>
                </c:pt>
                <c:pt idx="2854">
                  <c:v>26.998899999999999</c:v>
                </c:pt>
                <c:pt idx="2855">
                  <c:v>27.685700000000001</c:v>
                </c:pt>
                <c:pt idx="2856">
                  <c:v>27.815799999999999</c:v>
                </c:pt>
                <c:pt idx="2857">
                  <c:v>27.608699999999999</c:v>
                </c:pt>
                <c:pt idx="2858">
                  <c:v>28.689800000000002</c:v>
                </c:pt>
                <c:pt idx="2859">
                  <c:v>29.116900000000001</c:v>
                </c:pt>
                <c:pt idx="2860">
                  <c:v>28.7408</c:v>
                </c:pt>
                <c:pt idx="2861">
                  <c:v>27.9956</c:v>
                </c:pt>
                <c:pt idx="2862">
                  <c:v>29.8216</c:v>
                </c:pt>
                <c:pt idx="2863">
                  <c:v>29.358000000000001</c:v>
                </c:pt>
                <c:pt idx="2864">
                  <c:v>29.0928</c:v>
                </c:pt>
                <c:pt idx="2865">
                  <c:v>29.4391</c:v>
                </c:pt>
                <c:pt idx="2866">
                  <c:v>29.412299999999998</c:v>
                </c:pt>
                <c:pt idx="2867">
                  <c:v>29.639900000000001</c:v>
                </c:pt>
                <c:pt idx="2868">
                  <c:v>28.745100000000001</c:v>
                </c:pt>
                <c:pt idx="2869">
                  <c:v>27.6934</c:v>
                </c:pt>
                <c:pt idx="2870">
                  <c:v>27.209</c:v>
                </c:pt>
                <c:pt idx="2871">
                  <c:v>26.912600000000001</c:v>
                </c:pt>
                <c:pt idx="2872">
                  <c:v>27.665600000000001</c:v>
                </c:pt>
                <c:pt idx="2873">
                  <c:v>27.669</c:v>
                </c:pt>
                <c:pt idx="2874">
                  <c:v>27.7958</c:v>
                </c:pt>
                <c:pt idx="2875">
                  <c:v>27.547999999999998</c:v>
                </c:pt>
                <c:pt idx="2876">
                  <c:v>27.2044</c:v>
                </c:pt>
                <c:pt idx="2877">
                  <c:v>26.859400000000001</c:v>
                </c:pt>
                <c:pt idx="2878">
                  <c:v>26.3553</c:v>
                </c:pt>
                <c:pt idx="2879">
                  <c:v>26.087299999999999</c:v>
                </c:pt>
                <c:pt idx="2880">
                  <c:v>25.8734</c:v>
                </c:pt>
                <c:pt idx="2881">
                  <c:v>26.190999999999999</c:v>
                </c:pt>
                <c:pt idx="2882">
                  <c:v>25.657599999999999</c:v>
                </c:pt>
                <c:pt idx="2883">
                  <c:v>24.9038</c:v>
                </c:pt>
                <c:pt idx="2884">
                  <c:v>25.357500000000002</c:v>
                </c:pt>
                <c:pt idx="2885">
                  <c:v>25.373000000000001</c:v>
                </c:pt>
                <c:pt idx="2886">
                  <c:v>25.384799999999998</c:v>
                </c:pt>
                <c:pt idx="2887">
                  <c:v>25.844200000000001</c:v>
                </c:pt>
                <c:pt idx="2888">
                  <c:v>26.0975</c:v>
                </c:pt>
                <c:pt idx="2889">
                  <c:v>25.991700000000002</c:v>
                </c:pt>
                <c:pt idx="2890">
                  <c:v>25.826899999999998</c:v>
                </c:pt>
                <c:pt idx="2891">
                  <c:v>25.941400000000002</c:v>
                </c:pt>
                <c:pt idx="2892">
                  <c:v>26.594899999999999</c:v>
                </c:pt>
                <c:pt idx="2893">
                  <c:v>26.754000000000001</c:v>
                </c:pt>
                <c:pt idx="2894">
                  <c:v>26.272600000000001</c:v>
                </c:pt>
                <c:pt idx="2895">
                  <c:v>25.2319</c:v>
                </c:pt>
                <c:pt idx="2896">
                  <c:v>25.627700000000001</c:v>
                </c:pt>
                <c:pt idx="2897">
                  <c:v>25.418500000000002</c:v>
                </c:pt>
                <c:pt idx="2898">
                  <c:v>25.785900000000002</c:v>
                </c:pt>
                <c:pt idx="2899">
                  <c:v>25.638500000000001</c:v>
                </c:pt>
                <c:pt idx="2900">
                  <c:v>25.275700000000001</c:v>
                </c:pt>
                <c:pt idx="2901">
                  <c:v>25.194500000000001</c:v>
                </c:pt>
                <c:pt idx="2902">
                  <c:v>25.098400000000002</c:v>
                </c:pt>
                <c:pt idx="2903">
                  <c:v>25.3734</c:v>
                </c:pt>
                <c:pt idx="2904">
                  <c:v>26.187200000000001</c:v>
                </c:pt>
                <c:pt idx="2905">
                  <c:v>25.847200000000001</c:v>
                </c:pt>
                <c:pt idx="2906">
                  <c:v>26.509</c:v>
                </c:pt>
                <c:pt idx="2907">
                  <c:v>25.918600000000001</c:v>
                </c:pt>
                <c:pt idx="2908">
                  <c:v>25.9697</c:v>
                </c:pt>
                <c:pt idx="2909">
                  <c:v>26.6479</c:v>
                </c:pt>
                <c:pt idx="2910">
                  <c:v>26.779599999999999</c:v>
                </c:pt>
                <c:pt idx="2911">
                  <c:v>26.427299999999999</c:v>
                </c:pt>
                <c:pt idx="2912">
                  <c:v>26.470099999999999</c:v>
                </c:pt>
                <c:pt idx="2913">
                  <c:v>25.851900000000001</c:v>
                </c:pt>
                <c:pt idx="2914">
                  <c:v>25.7971</c:v>
                </c:pt>
                <c:pt idx="2915">
                  <c:v>25.554200000000002</c:v>
                </c:pt>
                <c:pt idx="2916">
                  <c:v>25.481999999999999</c:v>
                </c:pt>
                <c:pt idx="2917">
                  <c:v>25.456800000000001</c:v>
                </c:pt>
                <c:pt idx="2918">
                  <c:v>25.234999999999999</c:v>
                </c:pt>
                <c:pt idx="2919">
                  <c:v>26.235299999999999</c:v>
                </c:pt>
                <c:pt idx="2920">
                  <c:v>26.515999999999998</c:v>
                </c:pt>
                <c:pt idx="2921">
                  <c:v>26.189599999999999</c:v>
                </c:pt>
                <c:pt idx="2922">
                  <c:v>26.3659</c:v>
                </c:pt>
                <c:pt idx="2923">
                  <c:v>26.786300000000001</c:v>
                </c:pt>
                <c:pt idx="2924">
                  <c:v>27.4057</c:v>
                </c:pt>
                <c:pt idx="2925">
                  <c:v>27.65</c:v>
                </c:pt>
                <c:pt idx="2926">
                  <c:v>27.145800000000001</c:v>
                </c:pt>
                <c:pt idx="2927">
                  <c:v>28.013999999999999</c:v>
                </c:pt>
                <c:pt idx="2928">
                  <c:v>28.078900000000001</c:v>
                </c:pt>
                <c:pt idx="2929">
                  <c:v>27.724</c:v>
                </c:pt>
                <c:pt idx="2930">
                  <c:v>27.993400000000001</c:v>
                </c:pt>
                <c:pt idx="2931">
                  <c:v>27.5915</c:v>
                </c:pt>
                <c:pt idx="2932">
                  <c:v>28.0518</c:v>
                </c:pt>
                <c:pt idx="2933">
                  <c:v>27.332599999999999</c:v>
                </c:pt>
                <c:pt idx="2934">
                  <c:v>28.178599999999999</c:v>
                </c:pt>
                <c:pt idx="2935">
                  <c:v>28.129000000000001</c:v>
                </c:pt>
                <c:pt idx="2936">
                  <c:v>28.109500000000001</c:v>
                </c:pt>
                <c:pt idx="2937">
                  <c:v>27.532699999999998</c:v>
                </c:pt>
                <c:pt idx="2938">
                  <c:v>27.359400000000001</c:v>
                </c:pt>
                <c:pt idx="2939">
                  <c:v>27.0642</c:v>
                </c:pt>
                <c:pt idx="2940">
                  <c:v>28.037800000000001</c:v>
                </c:pt>
                <c:pt idx="2941">
                  <c:v>27.8</c:v>
                </c:pt>
                <c:pt idx="2942">
                  <c:v>26.949300000000001</c:v>
                </c:pt>
                <c:pt idx="2943">
                  <c:v>25.854399999999998</c:v>
                </c:pt>
                <c:pt idx="2944">
                  <c:v>26.472799999999999</c:v>
                </c:pt>
                <c:pt idx="2945">
                  <c:v>25.6997</c:v>
                </c:pt>
                <c:pt idx="2946">
                  <c:v>25.421199999999999</c:v>
                </c:pt>
                <c:pt idx="2947">
                  <c:v>26.604199999999999</c:v>
                </c:pt>
                <c:pt idx="2948">
                  <c:v>26.96</c:v>
                </c:pt>
                <c:pt idx="2949">
                  <c:v>27.188700000000001</c:v>
                </c:pt>
                <c:pt idx="2950">
                  <c:v>27.627800000000001</c:v>
                </c:pt>
                <c:pt idx="2951">
                  <c:v>28.234400000000001</c:v>
                </c:pt>
                <c:pt idx="2952">
                  <c:v>28.62</c:v>
                </c:pt>
                <c:pt idx="2953">
                  <c:v>30.538799999999998</c:v>
                </c:pt>
                <c:pt idx="2954">
                  <c:v>31.177299999999999</c:v>
                </c:pt>
                <c:pt idx="2955">
                  <c:v>31.712499999999999</c:v>
                </c:pt>
                <c:pt idx="2956">
                  <c:v>31.872</c:v>
                </c:pt>
                <c:pt idx="2957">
                  <c:v>31.376999999999999</c:v>
                </c:pt>
                <c:pt idx="2958">
                  <c:v>30.052600000000002</c:v>
                </c:pt>
                <c:pt idx="2959">
                  <c:v>29.909700000000001</c:v>
                </c:pt>
                <c:pt idx="2960">
                  <c:v>29.2651</c:v>
                </c:pt>
                <c:pt idx="2961">
                  <c:v>29.464099999999998</c:v>
                </c:pt>
                <c:pt idx="2962">
                  <c:v>28.937100000000001</c:v>
                </c:pt>
                <c:pt idx="2963">
                  <c:v>28.0352</c:v>
                </c:pt>
                <c:pt idx="2964">
                  <c:v>26.016100000000002</c:v>
                </c:pt>
                <c:pt idx="2965">
                  <c:v>27.340499999999999</c:v>
                </c:pt>
                <c:pt idx="2966">
                  <c:v>28.622299999999999</c:v>
                </c:pt>
                <c:pt idx="2967">
                  <c:v>25.799199999999999</c:v>
                </c:pt>
                <c:pt idx="2968">
                  <c:v>24.699000000000002</c:v>
                </c:pt>
                <c:pt idx="2969">
                  <c:v>24.515699999999999</c:v>
                </c:pt>
                <c:pt idx="2970">
                  <c:v>23.7803</c:v>
                </c:pt>
                <c:pt idx="2971">
                  <c:v>23.805</c:v>
                </c:pt>
                <c:pt idx="2972">
                  <c:v>23.9819</c:v>
                </c:pt>
                <c:pt idx="2973">
                  <c:v>23.578399999999998</c:v>
                </c:pt>
                <c:pt idx="2974">
                  <c:v>23.991</c:v>
                </c:pt>
                <c:pt idx="2975">
                  <c:v>24.305700000000002</c:v>
                </c:pt>
                <c:pt idx="2976">
                  <c:v>26.288900000000002</c:v>
                </c:pt>
                <c:pt idx="2977">
                  <c:v>28.1812</c:v>
                </c:pt>
                <c:pt idx="2978">
                  <c:v>28.169499999999999</c:v>
                </c:pt>
                <c:pt idx="2979">
                  <c:v>28.452999999999999</c:v>
                </c:pt>
                <c:pt idx="2980">
                  <c:v>28.7395</c:v>
                </c:pt>
                <c:pt idx="2981">
                  <c:v>28.817799999999998</c:v>
                </c:pt>
                <c:pt idx="2982">
                  <c:v>29.356400000000001</c:v>
                </c:pt>
                <c:pt idx="2983">
                  <c:v>24.905799999999999</c:v>
                </c:pt>
                <c:pt idx="2984">
                  <c:v>23.114999999999998</c:v>
                </c:pt>
                <c:pt idx="2985">
                  <c:v>25.7286</c:v>
                </c:pt>
                <c:pt idx="2986">
                  <c:v>26.563400000000001</c:v>
                </c:pt>
                <c:pt idx="2987">
                  <c:v>27.417100000000001</c:v>
                </c:pt>
                <c:pt idx="2988">
                  <c:v>33.076900000000002</c:v>
                </c:pt>
                <c:pt idx="2989">
                  <c:v>30.543600000000001</c:v>
                </c:pt>
                <c:pt idx="2990">
                  <c:v>30.773800000000001</c:v>
                </c:pt>
                <c:pt idx="2991">
                  <c:v>27.339200000000002</c:v>
                </c:pt>
                <c:pt idx="2992">
                  <c:v>25.6374</c:v>
                </c:pt>
                <c:pt idx="2993">
                  <c:v>28.264299999999999</c:v>
                </c:pt>
                <c:pt idx="2994">
                  <c:v>29.93</c:v>
                </c:pt>
                <c:pt idx="2995">
                  <c:v>30.3782</c:v>
                </c:pt>
                <c:pt idx="2996">
                  <c:v>31.581499999999998</c:v>
                </c:pt>
                <c:pt idx="2997">
                  <c:v>31.3215</c:v>
                </c:pt>
                <c:pt idx="2998">
                  <c:v>33.585500000000003</c:v>
                </c:pt>
                <c:pt idx="2999">
                  <c:v>33.316699999999997</c:v>
                </c:pt>
                <c:pt idx="3000">
                  <c:v>33.252000000000002</c:v>
                </c:pt>
                <c:pt idx="3001">
                  <c:v>37.114400000000003</c:v>
                </c:pt>
                <c:pt idx="3002">
                  <c:v>35.575000000000003</c:v>
                </c:pt>
                <c:pt idx="3003">
                  <c:v>34.297800000000002</c:v>
                </c:pt>
                <c:pt idx="3004">
                  <c:v>34.181199999999997</c:v>
                </c:pt>
                <c:pt idx="3005">
                  <c:v>35.337800000000001</c:v>
                </c:pt>
                <c:pt idx="3006">
                  <c:v>34.963900000000002</c:v>
                </c:pt>
                <c:pt idx="3007">
                  <c:v>32.709299999999999</c:v>
                </c:pt>
                <c:pt idx="3008">
                  <c:v>32.639800000000001</c:v>
                </c:pt>
                <c:pt idx="3009">
                  <c:v>34.330500000000001</c:v>
                </c:pt>
                <c:pt idx="3010">
                  <c:v>36.586599999999997</c:v>
                </c:pt>
                <c:pt idx="3011">
                  <c:v>36.035200000000003</c:v>
                </c:pt>
                <c:pt idx="3012">
                  <c:v>36.912500000000001</c:v>
                </c:pt>
                <c:pt idx="3013">
                  <c:v>36.799599999999998</c:v>
                </c:pt>
                <c:pt idx="3014">
                  <c:v>35.799799999999998</c:v>
                </c:pt>
                <c:pt idx="3015">
                  <c:v>34.615699999999997</c:v>
                </c:pt>
                <c:pt idx="3016">
                  <c:v>33.8337</c:v>
                </c:pt>
                <c:pt idx="3017">
                  <c:v>35.613500000000002</c:v>
                </c:pt>
                <c:pt idx="3018">
                  <c:v>36.113100000000003</c:v>
                </c:pt>
                <c:pt idx="3019">
                  <c:v>37.249000000000002</c:v>
                </c:pt>
                <c:pt idx="3020">
                  <c:v>37.283099999999997</c:v>
                </c:pt>
                <c:pt idx="3021">
                  <c:v>37.083399999999997</c:v>
                </c:pt>
                <c:pt idx="3022">
                  <c:v>35.2607</c:v>
                </c:pt>
                <c:pt idx="3023">
                  <c:v>36.9666</c:v>
                </c:pt>
                <c:pt idx="3024">
                  <c:v>36.188600000000001</c:v>
                </c:pt>
                <c:pt idx="3025">
                  <c:v>34.592399999999998</c:v>
                </c:pt>
                <c:pt idx="3026">
                  <c:v>35.6175</c:v>
                </c:pt>
                <c:pt idx="3027">
                  <c:v>34.4602</c:v>
                </c:pt>
                <c:pt idx="3028">
                  <c:v>33.240299999999998</c:v>
                </c:pt>
                <c:pt idx="3029">
                  <c:v>29.5535</c:v>
                </c:pt>
                <c:pt idx="3030">
                  <c:v>32.029200000000003</c:v>
                </c:pt>
                <c:pt idx="3031">
                  <c:v>29.9054</c:v>
                </c:pt>
                <c:pt idx="3032">
                  <c:v>29.329699999999999</c:v>
                </c:pt>
                <c:pt idx="3033">
                  <c:v>30.405899999999999</c:v>
                </c:pt>
                <c:pt idx="3034">
                  <c:v>29.828600000000002</c:v>
                </c:pt>
                <c:pt idx="3035">
                  <c:v>28.3733</c:v>
                </c:pt>
                <c:pt idx="3036">
                  <c:v>28.373100000000001</c:v>
                </c:pt>
                <c:pt idx="3037">
                  <c:v>26.825600000000001</c:v>
                </c:pt>
                <c:pt idx="3038">
                  <c:v>28.252099999999999</c:v>
                </c:pt>
                <c:pt idx="3039">
                  <c:v>27.333400000000001</c:v>
                </c:pt>
                <c:pt idx="3040">
                  <c:v>27.932500000000001</c:v>
                </c:pt>
                <c:pt idx="3041">
                  <c:v>28.645600000000002</c:v>
                </c:pt>
                <c:pt idx="3042">
                  <c:v>30.1938</c:v>
                </c:pt>
                <c:pt idx="3043">
                  <c:v>30.7164</c:v>
                </c:pt>
                <c:pt idx="3044">
                  <c:v>30.649100000000001</c:v>
                </c:pt>
                <c:pt idx="3045">
                  <c:v>30.411300000000001</c:v>
                </c:pt>
                <c:pt idx="3046">
                  <c:v>30.4102</c:v>
                </c:pt>
                <c:pt idx="3047">
                  <c:v>31.1602</c:v>
                </c:pt>
                <c:pt idx="3048">
                  <c:v>30.456299999999999</c:v>
                </c:pt>
                <c:pt idx="3049">
                  <c:v>30.072500000000002</c:v>
                </c:pt>
                <c:pt idx="3050">
                  <c:v>30.2166</c:v>
                </c:pt>
                <c:pt idx="3051">
                  <c:v>31.4284</c:v>
                </c:pt>
                <c:pt idx="3052">
                  <c:v>34.7271</c:v>
                </c:pt>
                <c:pt idx="3053">
                  <c:v>35.531500000000001</c:v>
                </c:pt>
                <c:pt idx="3054">
                  <c:v>35.135800000000003</c:v>
                </c:pt>
                <c:pt idx="3055">
                  <c:v>36.224600000000002</c:v>
                </c:pt>
                <c:pt idx="3056">
                  <c:v>36.762799999999999</c:v>
                </c:pt>
                <c:pt idx="3057">
                  <c:v>37.984400000000001</c:v>
                </c:pt>
                <c:pt idx="3058">
                  <c:v>38.1374</c:v>
                </c:pt>
                <c:pt idx="3059">
                  <c:v>38.975000000000001</c:v>
                </c:pt>
                <c:pt idx="3060">
                  <c:v>38.350299999999997</c:v>
                </c:pt>
                <c:pt idx="3061">
                  <c:v>39.2438</c:v>
                </c:pt>
                <c:pt idx="3062">
                  <c:v>40.051600000000001</c:v>
                </c:pt>
                <c:pt idx="3063">
                  <c:v>39.818899999999999</c:v>
                </c:pt>
                <c:pt idx="3064">
                  <c:v>40.408999999999999</c:v>
                </c:pt>
                <c:pt idx="3065">
                  <c:v>40.379199999999997</c:v>
                </c:pt>
                <c:pt idx="3066">
                  <c:v>42.103999999999999</c:v>
                </c:pt>
                <c:pt idx="3067">
                  <c:v>42.254100000000001</c:v>
                </c:pt>
                <c:pt idx="3068">
                  <c:v>43.811300000000003</c:v>
                </c:pt>
                <c:pt idx="3069">
                  <c:v>43.533099999999997</c:v>
                </c:pt>
                <c:pt idx="3070">
                  <c:v>44.116500000000002</c:v>
                </c:pt>
                <c:pt idx="3071">
                  <c:v>43.2988</c:v>
                </c:pt>
                <c:pt idx="3072">
                  <c:v>45.132800000000003</c:v>
                </c:pt>
                <c:pt idx="3073">
                  <c:v>45.035200000000003</c:v>
                </c:pt>
                <c:pt idx="3074">
                  <c:v>45.4495</c:v>
                </c:pt>
                <c:pt idx="3075">
                  <c:v>48.059100000000001</c:v>
                </c:pt>
                <c:pt idx="3076">
                  <c:v>47.137700000000002</c:v>
                </c:pt>
                <c:pt idx="3077">
                  <c:v>47.419800000000002</c:v>
                </c:pt>
                <c:pt idx="3078">
                  <c:v>47.8093</c:v>
                </c:pt>
                <c:pt idx="3079">
                  <c:v>46.2303</c:v>
                </c:pt>
                <c:pt idx="3080">
                  <c:v>46.704000000000001</c:v>
                </c:pt>
                <c:pt idx="3081">
                  <c:v>47.448999999999998</c:v>
                </c:pt>
                <c:pt idx="3082">
                  <c:v>47.331099999999999</c:v>
                </c:pt>
                <c:pt idx="3083">
                  <c:v>46.143500000000003</c:v>
                </c:pt>
                <c:pt idx="3084">
                  <c:v>45.641300000000001</c:v>
                </c:pt>
                <c:pt idx="3085">
                  <c:v>45.514499999999998</c:v>
                </c:pt>
                <c:pt idx="3086">
                  <c:v>45.3947</c:v>
                </c:pt>
                <c:pt idx="3087">
                  <c:v>44.127299999999998</c:v>
                </c:pt>
                <c:pt idx="3088">
                  <c:v>44.647100000000002</c:v>
                </c:pt>
                <c:pt idx="3089">
                  <c:v>45.788200000000003</c:v>
                </c:pt>
                <c:pt idx="3090">
                  <c:v>46.231299999999997</c:v>
                </c:pt>
                <c:pt idx="3091">
                  <c:v>51.4101</c:v>
                </c:pt>
                <c:pt idx="3092">
                  <c:v>50.752099999999999</c:v>
                </c:pt>
                <c:pt idx="3093">
                  <c:v>50.264699999999998</c:v>
                </c:pt>
                <c:pt idx="3094">
                  <c:v>49.060200000000002</c:v>
                </c:pt>
                <c:pt idx="3095">
                  <c:v>49.027500000000003</c:v>
                </c:pt>
                <c:pt idx="3096">
                  <c:v>49.164099999999998</c:v>
                </c:pt>
                <c:pt idx="3097">
                  <c:v>46.604399999999998</c:v>
                </c:pt>
                <c:pt idx="3098">
                  <c:v>47.345500000000001</c:v>
                </c:pt>
                <c:pt idx="3099">
                  <c:v>45.020400000000002</c:v>
                </c:pt>
                <c:pt idx="3100">
                  <c:v>46.403100000000002</c:v>
                </c:pt>
                <c:pt idx="3101">
                  <c:v>46.642699999999998</c:v>
                </c:pt>
                <c:pt idx="3102">
                  <c:v>48.110900000000001</c:v>
                </c:pt>
                <c:pt idx="3103">
                  <c:v>46.283900000000003</c:v>
                </c:pt>
                <c:pt idx="3104">
                  <c:v>47.1995</c:v>
                </c:pt>
                <c:pt idx="3105">
                  <c:v>50.825699999999998</c:v>
                </c:pt>
                <c:pt idx="3106">
                  <c:v>50.881500000000003</c:v>
                </c:pt>
                <c:pt idx="3107">
                  <c:v>49.657699999999998</c:v>
                </c:pt>
                <c:pt idx="3108">
                  <c:v>49.332000000000001</c:v>
                </c:pt>
                <c:pt idx="3109">
                  <c:v>51.032299999999999</c:v>
                </c:pt>
                <c:pt idx="3110">
                  <c:v>49.633800000000001</c:v>
                </c:pt>
                <c:pt idx="3111">
                  <c:v>47.637500000000003</c:v>
                </c:pt>
                <c:pt idx="3112">
                  <c:v>48.523200000000003</c:v>
                </c:pt>
                <c:pt idx="3113">
                  <c:v>51.067399999999999</c:v>
                </c:pt>
                <c:pt idx="3114">
                  <c:v>49.453699999999998</c:v>
                </c:pt>
                <c:pt idx="3115">
                  <c:v>51.0593</c:v>
                </c:pt>
                <c:pt idx="3116">
                  <c:v>51.1571</c:v>
                </c:pt>
                <c:pt idx="3117">
                  <c:v>51.292400000000001</c:v>
                </c:pt>
                <c:pt idx="3118">
                  <c:v>51.064500000000002</c:v>
                </c:pt>
                <c:pt idx="3119">
                  <c:v>50.243699999999997</c:v>
                </c:pt>
                <c:pt idx="3120">
                  <c:v>52.453400000000002</c:v>
                </c:pt>
                <c:pt idx="3121">
                  <c:v>53.231000000000002</c:v>
                </c:pt>
                <c:pt idx="3122">
                  <c:v>53.575899999999997</c:v>
                </c:pt>
                <c:pt idx="3123">
                  <c:v>53.258400000000002</c:v>
                </c:pt>
                <c:pt idx="3124">
                  <c:v>50.865200000000002</c:v>
                </c:pt>
                <c:pt idx="3125">
                  <c:v>50.479199999999999</c:v>
                </c:pt>
                <c:pt idx="3126">
                  <c:v>49.7652</c:v>
                </c:pt>
                <c:pt idx="3127">
                  <c:v>50.314300000000003</c:v>
                </c:pt>
                <c:pt idx="3128">
                  <c:v>49.430100000000003</c:v>
                </c:pt>
                <c:pt idx="3129">
                  <c:v>49.552300000000002</c:v>
                </c:pt>
                <c:pt idx="3130">
                  <c:v>50.523099999999999</c:v>
                </c:pt>
                <c:pt idx="3131">
                  <c:v>51.379199999999997</c:v>
                </c:pt>
                <c:pt idx="3132">
                  <c:v>54.231999999999999</c:v>
                </c:pt>
                <c:pt idx="3133">
                  <c:v>53.634999999999998</c:v>
                </c:pt>
                <c:pt idx="3134">
                  <c:v>56.909500000000001</c:v>
                </c:pt>
                <c:pt idx="3135">
                  <c:v>57.057600000000001</c:v>
                </c:pt>
                <c:pt idx="3136">
                  <c:v>56.639000000000003</c:v>
                </c:pt>
                <c:pt idx="3137">
                  <c:v>58.13</c:v>
                </c:pt>
                <c:pt idx="3138">
                  <c:v>59.713200000000001</c:v>
                </c:pt>
                <c:pt idx="3139">
                  <c:v>60.119700000000002</c:v>
                </c:pt>
                <c:pt idx="3140">
                  <c:v>61.898800000000001</c:v>
                </c:pt>
                <c:pt idx="3141">
                  <c:v>66.296700000000001</c:v>
                </c:pt>
                <c:pt idx="3142">
                  <c:v>67.791399999999996</c:v>
                </c:pt>
                <c:pt idx="3143">
                  <c:v>68.779600000000002</c:v>
                </c:pt>
                <c:pt idx="3144">
                  <c:v>67.443299999999994</c:v>
                </c:pt>
                <c:pt idx="3145">
                  <c:v>67.186800000000005</c:v>
                </c:pt>
                <c:pt idx="3146">
                  <c:v>66.731899999999996</c:v>
                </c:pt>
                <c:pt idx="3147">
                  <c:v>67.418400000000005</c:v>
                </c:pt>
                <c:pt idx="3148">
                  <c:v>68.547399999999996</c:v>
                </c:pt>
                <c:pt idx="3149">
                  <c:v>68.740499999999997</c:v>
                </c:pt>
                <c:pt idx="3150">
                  <c:v>69.453599999999994</c:v>
                </c:pt>
                <c:pt idx="3151">
                  <c:v>73.137</c:v>
                </c:pt>
                <c:pt idx="3152">
                  <c:v>71.661500000000004</c:v>
                </c:pt>
                <c:pt idx="3153">
                  <c:v>71.737700000000004</c:v>
                </c:pt>
                <c:pt idx="3154">
                  <c:v>73.964299999999994</c:v>
                </c:pt>
                <c:pt idx="3155">
                  <c:v>74.317899999999995</c:v>
                </c:pt>
                <c:pt idx="3156">
                  <c:v>72.956999999999994</c:v>
                </c:pt>
                <c:pt idx="3157">
                  <c:v>72.936300000000003</c:v>
                </c:pt>
                <c:pt idx="3158">
                  <c:v>74.033799999999999</c:v>
                </c:pt>
                <c:pt idx="3159">
                  <c:v>71.178100000000001</c:v>
                </c:pt>
                <c:pt idx="3160">
                  <c:v>74.656400000000005</c:v>
                </c:pt>
                <c:pt idx="3161">
                  <c:v>75.969200000000001</c:v>
                </c:pt>
                <c:pt idx="3162">
                  <c:v>75.296400000000006</c:v>
                </c:pt>
                <c:pt idx="3163">
                  <c:v>70.305599999999998</c:v>
                </c:pt>
                <c:pt idx="3164">
                  <c:v>74.222499999999997</c:v>
                </c:pt>
                <c:pt idx="3165">
                  <c:v>71.1768</c:v>
                </c:pt>
                <c:pt idx="3166">
                  <c:v>72.471500000000006</c:v>
                </c:pt>
                <c:pt idx="3167">
                  <c:v>73.038499999999999</c:v>
                </c:pt>
                <c:pt idx="3168">
                  <c:v>72.141599999999997</c:v>
                </c:pt>
                <c:pt idx="3169">
                  <c:v>73.582700000000003</c:v>
                </c:pt>
                <c:pt idx="3170">
                  <c:v>70.032799999999995</c:v>
                </c:pt>
                <c:pt idx="3171">
                  <c:v>69.454400000000007</c:v>
                </c:pt>
                <c:pt idx="3172">
                  <c:v>71.411000000000001</c:v>
                </c:pt>
                <c:pt idx="3173">
                  <c:v>77.049099999999996</c:v>
                </c:pt>
                <c:pt idx="3174">
                  <c:v>78.829099999999997</c:v>
                </c:pt>
                <c:pt idx="3175">
                  <c:v>82.994399999999999</c:v>
                </c:pt>
                <c:pt idx="3176">
                  <c:v>82.977400000000003</c:v>
                </c:pt>
                <c:pt idx="3177">
                  <c:v>82.910399999999996</c:v>
                </c:pt>
                <c:pt idx="3178">
                  <c:v>86.507099999999994</c:v>
                </c:pt>
                <c:pt idx="3179">
                  <c:v>84.250900000000001</c:v>
                </c:pt>
                <c:pt idx="3180">
                  <c:v>85.271299999999997</c:v>
                </c:pt>
                <c:pt idx="3181">
                  <c:v>88.546499999999995</c:v>
                </c:pt>
                <c:pt idx="3182">
                  <c:v>91.906499999999994</c:v>
                </c:pt>
                <c:pt idx="3183">
                  <c:v>99.424999999999997</c:v>
                </c:pt>
                <c:pt idx="3184">
                  <c:v>98.8917</c:v>
                </c:pt>
                <c:pt idx="3185">
                  <c:v>100.1853</c:v>
                </c:pt>
                <c:pt idx="3186">
                  <c:v>101.6041</c:v>
                </c:pt>
                <c:pt idx="3187">
                  <c:v>99.285899999999998</c:v>
                </c:pt>
                <c:pt idx="3188">
                  <c:v>101.16849999999999</c:v>
                </c:pt>
                <c:pt idx="3189">
                  <c:v>101.7319</c:v>
                </c:pt>
                <c:pt idx="3190">
                  <c:v>99.252399999999994</c:v>
                </c:pt>
                <c:pt idx="3191">
                  <c:v>100.14190000000001</c:v>
                </c:pt>
                <c:pt idx="3192">
                  <c:v>98.8322</c:v>
                </c:pt>
                <c:pt idx="3193">
                  <c:v>103.7004</c:v>
                </c:pt>
                <c:pt idx="3194">
                  <c:v>104.00190000000001</c:v>
                </c:pt>
                <c:pt idx="3195">
                  <c:v>102.4014</c:v>
                </c:pt>
                <c:pt idx="3196">
                  <c:v>104.5265</c:v>
                </c:pt>
                <c:pt idx="3197">
                  <c:v>104.1317</c:v>
                </c:pt>
                <c:pt idx="3198">
                  <c:v>106.92659999999999</c:v>
                </c:pt>
                <c:pt idx="3199">
                  <c:v>111.3021</c:v>
                </c:pt>
                <c:pt idx="3200">
                  <c:v>109.4789</c:v>
                </c:pt>
                <c:pt idx="3201">
                  <c:v>108.42919999999999</c:v>
                </c:pt>
                <c:pt idx="3202">
                  <c:v>106.2501</c:v>
                </c:pt>
                <c:pt idx="3203">
                  <c:v>104.0364</c:v>
                </c:pt>
                <c:pt idx="3204">
                  <c:v>102.8078</c:v>
                </c:pt>
                <c:pt idx="3205">
                  <c:v>98.614199999999997</c:v>
                </c:pt>
                <c:pt idx="3206">
                  <c:v>101.7877</c:v>
                </c:pt>
                <c:pt idx="3207">
                  <c:v>101.7567</c:v>
                </c:pt>
                <c:pt idx="3208">
                  <c:v>102.8326</c:v>
                </c:pt>
                <c:pt idx="3209">
                  <c:v>106.9701</c:v>
                </c:pt>
                <c:pt idx="3210">
                  <c:v>107.74469999999999</c:v>
                </c:pt>
                <c:pt idx="3211">
                  <c:v>108.38200000000001</c:v>
                </c:pt>
                <c:pt idx="3212">
                  <c:v>110.6344</c:v>
                </c:pt>
                <c:pt idx="3213">
                  <c:v>113.6071</c:v>
                </c:pt>
                <c:pt idx="3214">
                  <c:v>114.684</c:v>
                </c:pt>
                <c:pt idx="3215">
                  <c:v>115.31319999999999</c:v>
                </c:pt>
                <c:pt idx="3216">
                  <c:v>119.256</c:v>
                </c:pt>
                <c:pt idx="3217">
                  <c:v>130.92080000000001</c:v>
                </c:pt>
                <c:pt idx="3218">
                  <c:v>127.9913</c:v>
                </c:pt>
                <c:pt idx="3219">
                  <c:v>125.9747</c:v>
                </c:pt>
                <c:pt idx="3220">
                  <c:v>126.4003</c:v>
                </c:pt>
                <c:pt idx="3221">
                  <c:v>130.8588</c:v>
                </c:pt>
                <c:pt idx="3222">
                  <c:v>136.7662</c:v>
                </c:pt>
                <c:pt idx="3223">
                  <c:v>132.62569999999999</c:v>
                </c:pt>
                <c:pt idx="3224">
                  <c:v>126.5466</c:v>
                </c:pt>
                <c:pt idx="3225">
                  <c:v>131.77010000000001</c:v>
                </c:pt>
                <c:pt idx="3226">
                  <c:v>129.73060000000001</c:v>
                </c:pt>
                <c:pt idx="3227">
                  <c:v>133.8793</c:v>
                </c:pt>
                <c:pt idx="3228">
                  <c:v>134.03110000000001</c:v>
                </c:pt>
                <c:pt idx="3229">
                  <c:v>131.33519999999999</c:v>
                </c:pt>
                <c:pt idx="3230">
                  <c:v>132.5831</c:v>
                </c:pt>
                <c:pt idx="3231">
                  <c:v>131.54300000000001</c:v>
                </c:pt>
                <c:pt idx="3232">
                  <c:v>131.45679999999999</c:v>
                </c:pt>
                <c:pt idx="3233">
                  <c:v>129.19069999999999</c:v>
                </c:pt>
                <c:pt idx="3234">
                  <c:v>130.12700000000001</c:v>
                </c:pt>
                <c:pt idx="3235">
                  <c:v>128.76840000000001</c:v>
                </c:pt>
                <c:pt idx="3236">
                  <c:v>132.95779999999999</c:v>
                </c:pt>
                <c:pt idx="3237">
                  <c:v>129.67240000000001</c:v>
                </c:pt>
                <c:pt idx="3238">
                  <c:v>128.29830000000001</c:v>
                </c:pt>
                <c:pt idx="3239">
                  <c:v>126.69110000000001</c:v>
                </c:pt>
                <c:pt idx="3240">
                  <c:v>122.4751</c:v>
                </c:pt>
                <c:pt idx="3241">
                  <c:v>116.2337</c:v>
                </c:pt>
                <c:pt idx="3242">
                  <c:v>110.85290000000001</c:v>
                </c:pt>
                <c:pt idx="3243">
                  <c:v>118.6977</c:v>
                </c:pt>
                <c:pt idx="3244">
                  <c:v>116.298</c:v>
                </c:pt>
                <c:pt idx="3245">
                  <c:v>128.0077</c:v>
                </c:pt>
                <c:pt idx="3246">
                  <c:v>129.85740000000001</c:v>
                </c:pt>
                <c:pt idx="3247">
                  <c:v>133.33369999999999</c:v>
                </c:pt>
                <c:pt idx="3248">
                  <c:v>131.36539999999999</c:v>
                </c:pt>
                <c:pt idx="3249">
                  <c:v>129.85319999999999</c:v>
                </c:pt>
                <c:pt idx="3250">
                  <c:v>128.62010000000001</c:v>
                </c:pt>
                <c:pt idx="3251">
                  <c:v>129.40860000000001</c:v>
                </c:pt>
                <c:pt idx="3252">
                  <c:v>128.7876</c:v>
                </c:pt>
                <c:pt idx="3253">
                  <c:v>128.43360000000001</c:v>
                </c:pt>
                <c:pt idx="3254">
                  <c:v>124.5936</c:v>
                </c:pt>
                <c:pt idx="3255">
                  <c:v>117.93429999999999</c:v>
                </c:pt>
                <c:pt idx="3256">
                  <c:v>112.2289</c:v>
                </c:pt>
                <c:pt idx="3257">
                  <c:v>116.16119999999999</c:v>
                </c:pt>
                <c:pt idx="3258">
                  <c:v>126.6965</c:v>
                </c:pt>
                <c:pt idx="3259">
                  <c:v>123.8587</c:v>
                </c:pt>
                <c:pt idx="3260">
                  <c:v>112.26139999999999</c:v>
                </c:pt>
                <c:pt idx="3261">
                  <c:v>101.1726</c:v>
                </c:pt>
                <c:pt idx="3262">
                  <c:v>125.895</c:v>
                </c:pt>
                <c:pt idx="3263">
                  <c:v>125.40860000000001</c:v>
                </c:pt>
                <c:pt idx="3264">
                  <c:v>126.6534</c:v>
                </c:pt>
                <c:pt idx="3265">
                  <c:v>123.6879</c:v>
                </c:pt>
                <c:pt idx="3266">
                  <c:v>122.7706</c:v>
                </c:pt>
                <c:pt idx="3267">
                  <c:v>123.8154</c:v>
                </c:pt>
                <c:pt idx="3268">
                  <c:v>123.0668</c:v>
                </c:pt>
                <c:pt idx="3269">
                  <c:v>130.0035</c:v>
                </c:pt>
                <c:pt idx="3270">
                  <c:v>129.3228</c:v>
                </c:pt>
                <c:pt idx="3271">
                  <c:v>132.2116</c:v>
                </c:pt>
                <c:pt idx="3272">
                  <c:v>127.5665</c:v>
                </c:pt>
                <c:pt idx="3273">
                  <c:v>123.6292</c:v>
                </c:pt>
                <c:pt idx="3274">
                  <c:v>126.9059</c:v>
                </c:pt>
                <c:pt idx="3275">
                  <c:v>128.1285</c:v>
                </c:pt>
                <c:pt idx="3276">
                  <c:v>127.0703</c:v>
                </c:pt>
                <c:pt idx="3277">
                  <c:v>126.1253</c:v>
                </c:pt>
                <c:pt idx="3278">
                  <c:v>122.2512</c:v>
                </c:pt>
                <c:pt idx="3279">
                  <c:v>116.52500000000001</c:v>
                </c:pt>
                <c:pt idx="3280">
                  <c:v>113.79170000000001</c:v>
                </c:pt>
                <c:pt idx="3281">
                  <c:v>111.3725</c:v>
                </c:pt>
                <c:pt idx="3282">
                  <c:v>112.852</c:v>
                </c:pt>
                <c:pt idx="3283">
                  <c:v>105.1183</c:v>
                </c:pt>
                <c:pt idx="3284">
                  <c:v>104.256</c:v>
                </c:pt>
                <c:pt idx="3285">
                  <c:v>104.6097</c:v>
                </c:pt>
                <c:pt idx="3286">
                  <c:v>107.361</c:v>
                </c:pt>
                <c:pt idx="3287">
                  <c:v>106</c:v>
                </c:pt>
                <c:pt idx="3288">
                  <c:v>105.72790000000001</c:v>
                </c:pt>
                <c:pt idx="3289">
                  <c:v>104.6185</c:v>
                </c:pt>
                <c:pt idx="3290">
                  <c:v>98.617500000000007</c:v>
                </c:pt>
                <c:pt idx="3291">
                  <c:v>103.0903</c:v>
                </c:pt>
                <c:pt idx="3292">
                  <c:v>99.996300000000005</c:v>
                </c:pt>
                <c:pt idx="3293">
                  <c:v>97.618200000000002</c:v>
                </c:pt>
                <c:pt idx="3294">
                  <c:v>98.674000000000007</c:v>
                </c:pt>
                <c:pt idx="3295">
                  <c:v>102.5946</c:v>
                </c:pt>
                <c:pt idx="3296">
                  <c:v>100.35290000000001</c:v>
                </c:pt>
                <c:pt idx="3297">
                  <c:v>102.1544</c:v>
                </c:pt>
                <c:pt idx="3298">
                  <c:v>108.4693</c:v>
                </c:pt>
                <c:pt idx="3299">
                  <c:v>107.1061</c:v>
                </c:pt>
                <c:pt idx="3300">
                  <c:v>106.9594</c:v>
                </c:pt>
                <c:pt idx="3301">
                  <c:v>108.1896</c:v>
                </c:pt>
                <c:pt idx="3302">
                  <c:v>107.9828</c:v>
                </c:pt>
                <c:pt idx="3303">
                  <c:v>109.2206</c:v>
                </c:pt>
                <c:pt idx="3304">
                  <c:v>108.8629</c:v>
                </c:pt>
                <c:pt idx="3305">
                  <c:v>108.24250000000001</c:v>
                </c:pt>
                <c:pt idx="3306">
                  <c:v>107.0226</c:v>
                </c:pt>
                <c:pt idx="3307">
                  <c:v>109.8325</c:v>
                </c:pt>
                <c:pt idx="3308">
                  <c:v>107.4864</c:v>
                </c:pt>
                <c:pt idx="3309">
                  <c:v>104.8668</c:v>
                </c:pt>
                <c:pt idx="3310">
                  <c:v>105.26090000000001</c:v>
                </c:pt>
                <c:pt idx="3311">
                  <c:v>102.77079999999999</c:v>
                </c:pt>
                <c:pt idx="3312">
                  <c:v>100.2589</c:v>
                </c:pt>
                <c:pt idx="3313">
                  <c:v>101.7256</c:v>
                </c:pt>
                <c:pt idx="3314">
                  <c:v>99.585300000000004</c:v>
                </c:pt>
                <c:pt idx="3315">
                  <c:v>99.291399999999996</c:v>
                </c:pt>
                <c:pt idx="3316">
                  <c:v>104.5421</c:v>
                </c:pt>
                <c:pt idx="3317">
                  <c:v>100.8853</c:v>
                </c:pt>
                <c:pt idx="3318">
                  <c:v>99.505200000000002</c:v>
                </c:pt>
                <c:pt idx="3319">
                  <c:v>107.6904</c:v>
                </c:pt>
                <c:pt idx="3320">
                  <c:v>104.63760000000001</c:v>
                </c:pt>
                <c:pt idx="3321">
                  <c:v>97.686000000000007</c:v>
                </c:pt>
                <c:pt idx="3322">
                  <c:v>108.0206</c:v>
                </c:pt>
                <c:pt idx="3323">
                  <c:v>109.11199999999999</c:v>
                </c:pt>
                <c:pt idx="3324">
                  <c:v>106.657</c:v>
                </c:pt>
                <c:pt idx="3325">
                  <c:v>107.699</c:v>
                </c:pt>
                <c:pt idx="3326">
                  <c:v>106.80029999999999</c:v>
                </c:pt>
                <c:pt idx="3327">
                  <c:v>105.9415</c:v>
                </c:pt>
                <c:pt idx="3328">
                  <c:v>107.8288</c:v>
                </c:pt>
                <c:pt idx="3329">
                  <c:v>113.9782</c:v>
                </c:pt>
                <c:pt idx="3330">
                  <c:v>116.0201</c:v>
                </c:pt>
                <c:pt idx="3331">
                  <c:v>110.4936</c:v>
                </c:pt>
                <c:pt idx="3332">
                  <c:v>111.2042</c:v>
                </c:pt>
                <c:pt idx="3333">
                  <c:v>114.4665</c:v>
                </c:pt>
                <c:pt idx="3334">
                  <c:v>123.96120000000001</c:v>
                </c:pt>
                <c:pt idx="3335">
                  <c:v>123.05929999999999</c:v>
                </c:pt>
                <c:pt idx="3336">
                  <c:v>125.9119</c:v>
                </c:pt>
                <c:pt idx="3337">
                  <c:v>116.6812</c:v>
                </c:pt>
                <c:pt idx="3338">
                  <c:v>119.3301</c:v>
                </c:pt>
                <c:pt idx="3339">
                  <c:v>123.3107</c:v>
                </c:pt>
                <c:pt idx="3340">
                  <c:v>120.19710000000001</c:v>
                </c:pt>
                <c:pt idx="3341">
                  <c:v>123.0806</c:v>
                </c:pt>
                <c:pt idx="3342">
                  <c:v>123.35590000000001</c:v>
                </c:pt>
                <c:pt idx="3343">
                  <c:v>121.3445</c:v>
                </c:pt>
                <c:pt idx="3344">
                  <c:v>116.70440000000001</c:v>
                </c:pt>
                <c:pt idx="3345">
                  <c:v>115.61790000000001</c:v>
                </c:pt>
                <c:pt idx="3346">
                  <c:v>124.474</c:v>
                </c:pt>
                <c:pt idx="3347">
                  <c:v>120.2927</c:v>
                </c:pt>
                <c:pt idx="3348">
                  <c:v>121.9774</c:v>
                </c:pt>
                <c:pt idx="3349">
                  <c:v>121.2522</c:v>
                </c:pt>
                <c:pt idx="3350">
                  <c:v>134.01679999999999</c:v>
                </c:pt>
                <c:pt idx="3351">
                  <c:v>135.03579999999999</c:v>
                </c:pt>
                <c:pt idx="3352">
                  <c:v>135.3098</c:v>
                </c:pt>
                <c:pt idx="3353">
                  <c:v>132.98849999999999</c:v>
                </c:pt>
                <c:pt idx="3354">
                  <c:v>132.65979999999999</c:v>
                </c:pt>
                <c:pt idx="3355">
                  <c:v>133.17089999999999</c:v>
                </c:pt>
                <c:pt idx="3356">
                  <c:v>128.4298</c:v>
                </c:pt>
                <c:pt idx="3357">
                  <c:v>126.9462</c:v>
                </c:pt>
                <c:pt idx="3358">
                  <c:v>130.01730000000001</c:v>
                </c:pt>
                <c:pt idx="3359">
                  <c:v>132.78790000000001</c:v>
                </c:pt>
                <c:pt idx="3360">
                  <c:v>127.6032</c:v>
                </c:pt>
                <c:pt idx="3361">
                  <c:v>130.50919999999999</c:v>
                </c:pt>
                <c:pt idx="3362">
                  <c:v>132.68430000000001</c:v>
                </c:pt>
                <c:pt idx="3363">
                  <c:v>131.86240000000001</c:v>
                </c:pt>
                <c:pt idx="3364">
                  <c:v>130.57419999999999</c:v>
                </c:pt>
                <c:pt idx="3365">
                  <c:v>127.7252</c:v>
                </c:pt>
                <c:pt idx="3366">
                  <c:v>131.49100000000001</c:v>
                </c:pt>
                <c:pt idx="3367">
                  <c:v>135.83250000000001</c:v>
                </c:pt>
                <c:pt idx="3368">
                  <c:v>138.32159999999999</c:v>
                </c:pt>
                <c:pt idx="3369">
                  <c:v>137.7895</c:v>
                </c:pt>
                <c:pt idx="3370">
                  <c:v>137.49639999999999</c:v>
                </c:pt>
                <c:pt idx="3371">
                  <c:v>140.76150000000001</c:v>
                </c:pt>
                <c:pt idx="3372">
                  <c:v>140.31790000000001</c:v>
                </c:pt>
                <c:pt idx="3373">
                  <c:v>147.97030000000001</c:v>
                </c:pt>
                <c:pt idx="3374">
                  <c:v>159.05289999999999</c:v>
                </c:pt>
                <c:pt idx="3375">
                  <c:v>156.7114</c:v>
                </c:pt>
                <c:pt idx="3376">
                  <c:v>156.80670000000001</c:v>
                </c:pt>
                <c:pt idx="3377">
                  <c:v>155.8571</c:v>
                </c:pt>
                <c:pt idx="3378">
                  <c:v>159.7063</c:v>
                </c:pt>
                <c:pt idx="3379">
                  <c:v>156.95689999999999</c:v>
                </c:pt>
                <c:pt idx="3380">
                  <c:v>156.9288</c:v>
                </c:pt>
                <c:pt idx="3381">
                  <c:v>154.3485</c:v>
                </c:pt>
                <c:pt idx="3382">
                  <c:v>159.81790000000001</c:v>
                </c:pt>
                <c:pt idx="3383">
                  <c:v>152.84110000000001</c:v>
                </c:pt>
                <c:pt idx="3384">
                  <c:v>156.78530000000001</c:v>
                </c:pt>
                <c:pt idx="3385">
                  <c:v>153.6712</c:v>
                </c:pt>
                <c:pt idx="3386">
                  <c:v>142.84610000000001</c:v>
                </c:pt>
                <c:pt idx="3387">
                  <c:v>137.44309999999999</c:v>
                </c:pt>
                <c:pt idx="3388">
                  <c:v>149.52459999999999</c:v>
                </c:pt>
                <c:pt idx="3389">
                  <c:v>157.5367</c:v>
                </c:pt>
                <c:pt idx="3390">
                  <c:v>151.3407</c:v>
                </c:pt>
                <c:pt idx="3391">
                  <c:v>147.35669999999999</c:v>
                </c:pt>
                <c:pt idx="3392">
                  <c:v>152.60599999999999</c:v>
                </c:pt>
                <c:pt idx="3393">
                  <c:v>151.999</c:v>
                </c:pt>
                <c:pt idx="3394">
                  <c:v>148.34870000000001</c:v>
                </c:pt>
                <c:pt idx="3395">
                  <c:v>147.9545</c:v>
                </c:pt>
                <c:pt idx="3396">
                  <c:v>146.87129999999999</c:v>
                </c:pt>
                <c:pt idx="3397">
                  <c:v>142.22040000000001</c:v>
                </c:pt>
                <c:pt idx="3398">
                  <c:v>142.94710000000001</c:v>
                </c:pt>
                <c:pt idx="3399">
                  <c:v>140.2311</c:v>
                </c:pt>
                <c:pt idx="3400">
                  <c:v>144.45949999999999</c:v>
                </c:pt>
                <c:pt idx="3401">
                  <c:v>136.2764</c:v>
                </c:pt>
                <c:pt idx="3402">
                  <c:v>131.11789999999999</c:v>
                </c:pt>
                <c:pt idx="3403">
                  <c:v>130.40360000000001</c:v>
                </c:pt>
                <c:pt idx="3404">
                  <c:v>132.12540000000001</c:v>
                </c:pt>
                <c:pt idx="3405">
                  <c:v>139.49809999999999</c:v>
                </c:pt>
                <c:pt idx="3406">
                  <c:v>134.7544</c:v>
                </c:pt>
                <c:pt idx="3407">
                  <c:v>138.8295</c:v>
                </c:pt>
                <c:pt idx="3408">
                  <c:v>136.8544</c:v>
                </c:pt>
                <c:pt idx="3409">
                  <c:v>140.03469999999999</c:v>
                </c:pt>
                <c:pt idx="3410">
                  <c:v>148.7587</c:v>
                </c:pt>
                <c:pt idx="3411">
                  <c:v>148.63200000000001</c:v>
                </c:pt>
                <c:pt idx="3412">
                  <c:v>156.72229999999999</c:v>
                </c:pt>
                <c:pt idx="3413">
                  <c:v>153.75720000000001</c:v>
                </c:pt>
                <c:pt idx="3414">
                  <c:v>148.18899999999999</c:v>
                </c:pt>
                <c:pt idx="3415">
                  <c:v>150.06280000000001</c:v>
                </c:pt>
                <c:pt idx="3416">
                  <c:v>146.88650000000001</c:v>
                </c:pt>
                <c:pt idx="3417">
                  <c:v>137.87459999999999</c:v>
                </c:pt>
                <c:pt idx="3418">
                  <c:v>143.56010000000001</c:v>
                </c:pt>
                <c:pt idx="3419">
                  <c:v>137.8237</c:v>
                </c:pt>
                <c:pt idx="3420">
                  <c:v>135.12360000000001</c:v>
                </c:pt>
                <c:pt idx="3421">
                  <c:v>128.78829999999999</c:v>
                </c:pt>
                <c:pt idx="3422">
                  <c:v>130.3124</c:v>
                </c:pt>
                <c:pt idx="3423">
                  <c:v>130.65710000000001</c:v>
                </c:pt>
                <c:pt idx="3424">
                  <c:v>123.1671</c:v>
                </c:pt>
                <c:pt idx="3425">
                  <c:v>120.4581</c:v>
                </c:pt>
                <c:pt idx="3426">
                  <c:v>115.9422</c:v>
                </c:pt>
                <c:pt idx="3427">
                  <c:v>119.9029</c:v>
                </c:pt>
                <c:pt idx="3428">
                  <c:v>122.2574</c:v>
                </c:pt>
                <c:pt idx="3429">
                  <c:v>113.1587</c:v>
                </c:pt>
                <c:pt idx="3430">
                  <c:v>119.10680000000001</c:v>
                </c:pt>
                <c:pt idx="3431">
                  <c:v>120.61069999999999</c:v>
                </c:pt>
                <c:pt idx="3432">
                  <c:v>120.9367</c:v>
                </c:pt>
                <c:pt idx="3433">
                  <c:v>120.485</c:v>
                </c:pt>
                <c:pt idx="3434">
                  <c:v>121.1267</c:v>
                </c:pt>
                <c:pt idx="3435">
                  <c:v>123.33369999999999</c:v>
                </c:pt>
                <c:pt idx="3436">
                  <c:v>124.3</c:v>
                </c:pt>
                <c:pt idx="3437">
                  <c:v>125.0908</c:v>
                </c:pt>
                <c:pt idx="3438">
                  <c:v>125.6354</c:v>
                </c:pt>
                <c:pt idx="3439">
                  <c:v>127.8631</c:v>
                </c:pt>
                <c:pt idx="3440">
                  <c:v>127.8263</c:v>
                </c:pt>
                <c:pt idx="3441">
                  <c:v>129.25710000000001</c:v>
                </c:pt>
                <c:pt idx="3442">
                  <c:v>130.19290000000001</c:v>
                </c:pt>
                <c:pt idx="3443">
                  <c:v>131.40969999999999</c:v>
                </c:pt>
                <c:pt idx="3444">
                  <c:v>130.53139999999999</c:v>
                </c:pt>
                <c:pt idx="3445">
                  <c:v>133.54830000000001</c:v>
                </c:pt>
                <c:pt idx="3446">
                  <c:v>139.0412</c:v>
                </c:pt>
                <c:pt idx="3447">
                  <c:v>139.85290000000001</c:v>
                </c:pt>
                <c:pt idx="3448">
                  <c:v>145.15020000000001</c:v>
                </c:pt>
                <c:pt idx="3449">
                  <c:v>142.11840000000001</c:v>
                </c:pt>
                <c:pt idx="3450">
                  <c:v>139.9109</c:v>
                </c:pt>
                <c:pt idx="3451">
                  <c:v>139.63630000000001</c:v>
                </c:pt>
                <c:pt idx="3452">
                  <c:v>137.67160000000001</c:v>
                </c:pt>
                <c:pt idx="3453">
                  <c:v>133.97790000000001</c:v>
                </c:pt>
                <c:pt idx="3454">
                  <c:v>132.35650000000001</c:v>
                </c:pt>
                <c:pt idx="3455">
                  <c:v>135.56890000000001</c:v>
                </c:pt>
                <c:pt idx="3456">
                  <c:v>139.3278</c:v>
                </c:pt>
                <c:pt idx="3457">
                  <c:v>138.01140000000001</c:v>
                </c:pt>
                <c:pt idx="3458">
                  <c:v>133.10480000000001</c:v>
                </c:pt>
                <c:pt idx="3459">
                  <c:v>137.64750000000001</c:v>
                </c:pt>
                <c:pt idx="3460">
                  <c:v>136.74879999999999</c:v>
                </c:pt>
                <c:pt idx="3461">
                  <c:v>134.12469999999999</c:v>
                </c:pt>
                <c:pt idx="3462">
                  <c:v>135.2107</c:v>
                </c:pt>
                <c:pt idx="3463">
                  <c:v>130.4348</c:v>
                </c:pt>
                <c:pt idx="3464">
                  <c:v>133.2989</c:v>
                </c:pt>
                <c:pt idx="3465">
                  <c:v>134.50040000000001</c:v>
                </c:pt>
                <c:pt idx="3466">
                  <c:v>130.77029999999999</c:v>
                </c:pt>
                <c:pt idx="3467">
                  <c:v>128.8963</c:v>
                </c:pt>
                <c:pt idx="3468">
                  <c:v>127.1343</c:v>
                </c:pt>
                <c:pt idx="3469">
                  <c:v>128.3109</c:v>
                </c:pt>
                <c:pt idx="3470">
                  <c:v>121.0497</c:v>
                </c:pt>
                <c:pt idx="3471">
                  <c:v>117.3946</c:v>
                </c:pt>
                <c:pt idx="3472">
                  <c:v>113.2761</c:v>
                </c:pt>
                <c:pt idx="3473">
                  <c:v>116.8661</c:v>
                </c:pt>
                <c:pt idx="3474">
                  <c:v>116.78830000000001</c:v>
                </c:pt>
                <c:pt idx="3475">
                  <c:v>121.0317</c:v>
                </c:pt>
                <c:pt idx="3476">
                  <c:v>118.2825</c:v>
                </c:pt>
                <c:pt idx="3477">
                  <c:v>119.3145</c:v>
                </c:pt>
                <c:pt idx="3478">
                  <c:v>122.07250000000001</c:v>
                </c:pt>
                <c:pt idx="3479">
                  <c:v>125.01</c:v>
                </c:pt>
                <c:pt idx="3480">
                  <c:v>124.63460000000001</c:v>
                </c:pt>
                <c:pt idx="3481">
                  <c:v>128.31899999999999</c:v>
                </c:pt>
                <c:pt idx="3482">
                  <c:v>127.5994</c:v>
                </c:pt>
                <c:pt idx="3483">
                  <c:v>126.88979999999999</c:v>
                </c:pt>
                <c:pt idx="3484">
                  <c:v>127.5228</c:v>
                </c:pt>
                <c:pt idx="3485">
                  <c:v>130.2114</c:v>
                </c:pt>
                <c:pt idx="3486">
                  <c:v>128.19999999999999</c:v>
                </c:pt>
                <c:pt idx="3487">
                  <c:v>127.3789</c:v>
                </c:pt>
                <c:pt idx="3488">
                  <c:v>127.6416</c:v>
                </c:pt>
                <c:pt idx="3489">
                  <c:v>126.37520000000001</c:v>
                </c:pt>
                <c:pt idx="3490">
                  <c:v>128.02549999999999</c:v>
                </c:pt>
                <c:pt idx="3491">
                  <c:v>128.60550000000001</c:v>
                </c:pt>
                <c:pt idx="3492">
                  <c:v>132.3475</c:v>
                </c:pt>
                <c:pt idx="3493">
                  <c:v>138.77010000000001</c:v>
                </c:pt>
                <c:pt idx="3494">
                  <c:v>137.2379</c:v>
                </c:pt>
                <c:pt idx="3495">
                  <c:v>136.42070000000001</c:v>
                </c:pt>
                <c:pt idx="3496">
                  <c:v>136.9821</c:v>
                </c:pt>
                <c:pt idx="3497">
                  <c:v>141.25409999999999</c:v>
                </c:pt>
                <c:pt idx="3498">
                  <c:v>146.57220000000001</c:v>
                </c:pt>
                <c:pt idx="3499">
                  <c:v>145.68709999999999</c:v>
                </c:pt>
                <c:pt idx="3500">
                  <c:v>143.11439999999999</c:v>
                </c:pt>
                <c:pt idx="3501">
                  <c:v>143.4648</c:v>
                </c:pt>
                <c:pt idx="3502">
                  <c:v>147.74459999999999</c:v>
                </c:pt>
                <c:pt idx="3503">
                  <c:v>145.95189999999999</c:v>
                </c:pt>
                <c:pt idx="3504">
                  <c:v>142.92080000000001</c:v>
                </c:pt>
                <c:pt idx="3505">
                  <c:v>143.6968</c:v>
                </c:pt>
                <c:pt idx="3506">
                  <c:v>143.4813</c:v>
                </c:pt>
                <c:pt idx="3507">
                  <c:v>141.75729999999999</c:v>
                </c:pt>
                <c:pt idx="3508">
                  <c:v>139.7764</c:v>
                </c:pt>
                <c:pt idx="3509">
                  <c:v>138.9727</c:v>
                </c:pt>
                <c:pt idx="3510">
                  <c:v>141.5059</c:v>
                </c:pt>
                <c:pt idx="3511">
                  <c:v>140.67330000000001</c:v>
                </c:pt>
                <c:pt idx="3512">
                  <c:v>140.79140000000001</c:v>
                </c:pt>
                <c:pt idx="3513">
                  <c:v>137.7295</c:v>
                </c:pt>
                <c:pt idx="3514">
                  <c:v>135.57560000000001</c:v>
                </c:pt>
                <c:pt idx="3515">
                  <c:v>137.26300000000001</c:v>
                </c:pt>
                <c:pt idx="3516">
                  <c:v>132.34370000000001</c:v>
                </c:pt>
                <c:pt idx="3517">
                  <c:v>126.5656</c:v>
                </c:pt>
                <c:pt idx="3518">
                  <c:v>122.48399999999999</c:v>
                </c:pt>
                <c:pt idx="3519">
                  <c:v>119.1391</c:v>
                </c:pt>
                <c:pt idx="3520">
                  <c:v>123.6324</c:v>
                </c:pt>
                <c:pt idx="3521">
                  <c:v>124.84829999999999</c:v>
                </c:pt>
                <c:pt idx="3522">
                  <c:v>125.04730000000001</c:v>
                </c:pt>
                <c:pt idx="3523">
                  <c:v>123.80540000000001</c:v>
                </c:pt>
                <c:pt idx="3524">
                  <c:v>121.1764</c:v>
                </c:pt>
                <c:pt idx="3525">
                  <c:v>121.6653</c:v>
                </c:pt>
                <c:pt idx="3526">
                  <c:v>121.0325</c:v>
                </c:pt>
                <c:pt idx="3527">
                  <c:v>119.7079</c:v>
                </c:pt>
                <c:pt idx="3528">
                  <c:v>124.1324</c:v>
                </c:pt>
                <c:pt idx="3529">
                  <c:v>123.8869</c:v>
                </c:pt>
                <c:pt idx="3530">
                  <c:v>125.5167</c:v>
                </c:pt>
                <c:pt idx="3531">
                  <c:v>130.53739999999999</c:v>
                </c:pt>
                <c:pt idx="3532">
                  <c:v>127.3708</c:v>
                </c:pt>
                <c:pt idx="3533">
                  <c:v>126.7752</c:v>
                </c:pt>
                <c:pt idx="3534">
                  <c:v>124.646</c:v>
                </c:pt>
                <c:pt idx="3535">
                  <c:v>129.30590000000001</c:v>
                </c:pt>
                <c:pt idx="3536">
                  <c:v>130.2861</c:v>
                </c:pt>
                <c:pt idx="3537">
                  <c:v>126.63930000000001</c:v>
                </c:pt>
                <c:pt idx="3538">
                  <c:v>126.88339999999999</c:v>
                </c:pt>
                <c:pt idx="3539">
                  <c:v>123.3651</c:v>
                </c:pt>
                <c:pt idx="3540">
                  <c:v>128.63069999999999</c:v>
                </c:pt>
                <c:pt idx="3541">
                  <c:v>129.19479999999999</c:v>
                </c:pt>
                <c:pt idx="3542">
                  <c:v>121.1357</c:v>
                </c:pt>
                <c:pt idx="3543">
                  <c:v>119.2294</c:v>
                </c:pt>
                <c:pt idx="3544">
                  <c:v>119.09780000000001</c:v>
                </c:pt>
                <c:pt idx="3545">
                  <c:v>119.11669999999999</c:v>
                </c:pt>
                <c:pt idx="3546">
                  <c:v>120.4716</c:v>
                </c:pt>
                <c:pt idx="3547">
                  <c:v>123.8413</c:v>
                </c:pt>
                <c:pt idx="3548">
                  <c:v>127.48739999999999</c:v>
                </c:pt>
                <c:pt idx="3549">
                  <c:v>128.4126</c:v>
                </c:pt>
                <c:pt idx="3550">
                  <c:v>129.79679999999999</c:v>
                </c:pt>
                <c:pt idx="3551">
                  <c:v>132.8954</c:v>
                </c:pt>
                <c:pt idx="3552">
                  <c:v>136.70500000000001</c:v>
                </c:pt>
                <c:pt idx="3553">
                  <c:v>136.33600000000001</c:v>
                </c:pt>
                <c:pt idx="3554">
                  <c:v>135.6952</c:v>
                </c:pt>
                <c:pt idx="3555">
                  <c:v>135.20869999999999</c:v>
                </c:pt>
                <c:pt idx="3556">
                  <c:v>137.33019999999999</c:v>
                </c:pt>
                <c:pt idx="3557">
                  <c:v>136.59989999999999</c:v>
                </c:pt>
                <c:pt idx="3558">
                  <c:v>134.09889999999999</c:v>
                </c:pt>
                <c:pt idx="3559">
                  <c:v>129.42189999999999</c:v>
                </c:pt>
                <c:pt idx="3560">
                  <c:v>130.01410000000001</c:v>
                </c:pt>
                <c:pt idx="3561">
                  <c:v>127.13720000000001</c:v>
                </c:pt>
                <c:pt idx="3562">
                  <c:v>123.22790000000001</c:v>
                </c:pt>
                <c:pt idx="3563">
                  <c:v>124.7521</c:v>
                </c:pt>
                <c:pt idx="3564">
                  <c:v>129.29060000000001</c:v>
                </c:pt>
                <c:pt idx="3565">
                  <c:v>128.25829999999999</c:v>
                </c:pt>
                <c:pt idx="3566">
                  <c:v>128.58770000000001</c:v>
                </c:pt>
                <c:pt idx="3567">
                  <c:v>130.01830000000001</c:v>
                </c:pt>
                <c:pt idx="3568">
                  <c:v>131.5444</c:v>
                </c:pt>
                <c:pt idx="3569">
                  <c:v>131.7054</c:v>
                </c:pt>
                <c:pt idx="3570">
                  <c:v>128.32839999999999</c:v>
                </c:pt>
                <c:pt idx="3571">
                  <c:v>126.13979999999999</c:v>
                </c:pt>
                <c:pt idx="3572">
                  <c:v>125.9248</c:v>
                </c:pt>
                <c:pt idx="3573">
                  <c:v>125.7236</c:v>
                </c:pt>
                <c:pt idx="3574">
                  <c:v>128.28809999999999</c:v>
                </c:pt>
                <c:pt idx="3575">
                  <c:v>127.1883</c:v>
                </c:pt>
                <c:pt idx="3576">
                  <c:v>126.42100000000001</c:v>
                </c:pt>
                <c:pt idx="3577">
                  <c:v>124.2107</c:v>
                </c:pt>
                <c:pt idx="3578">
                  <c:v>126.4079</c:v>
                </c:pt>
                <c:pt idx="3579">
                  <c:v>124.67010000000001</c:v>
                </c:pt>
                <c:pt idx="3580">
                  <c:v>125.9153</c:v>
                </c:pt>
                <c:pt idx="3581">
                  <c:v>125.4764</c:v>
                </c:pt>
                <c:pt idx="3582">
                  <c:v>129.45419999999999</c:v>
                </c:pt>
                <c:pt idx="3583">
                  <c:v>128.0112</c:v>
                </c:pt>
                <c:pt idx="3584">
                  <c:v>128.4298</c:v>
                </c:pt>
                <c:pt idx="3585">
                  <c:v>129.24639999999999</c:v>
                </c:pt>
                <c:pt idx="3586">
                  <c:v>126.1662</c:v>
                </c:pt>
                <c:pt idx="3587">
                  <c:v>124.69589999999999</c:v>
                </c:pt>
                <c:pt idx="3588">
                  <c:v>123.599</c:v>
                </c:pt>
                <c:pt idx="3589">
                  <c:v>124.5842</c:v>
                </c:pt>
                <c:pt idx="3590">
                  <c:v>125.4453</c:v>
                </c:pt>
                <c:pt idx="3591">
                  <c:v>120.59869999999999</c:v>
                </c:pt>
                <c:pt idx="3592">
                  <c:v>122.1104</c:v>
                </c:pt>
                <c:pt idx="3593">
                  <c:v>122.8201</c:v>
                </c:pt>
                <c:pt idx="3594">
                  <c:v>122.88849999999999</c:v>
                </c:pt>
                <c:pt idx="3595">
                  <c:v>123.6781</c:v>
                </c:pt>
                <c:pt idx="3596">
                  <c:v>125.1735</c:v>
                </c:pt>
                <c:pt idx="3597">
                  <c:v>121.4383</c:v>
                </c:pt>
                <c:pt idx="3598">
                  <c:v>121.42959999999999</c:v>
                </c:pt>
                <c:pt idx="3599">
                  <c:v>120.1493</c:v>
                </c:pt>
                <c:pt idx="3600">
                  <c:v>117.6391</c:v>
                </c:pt>
                <c:pt idx="3601">
                  <c:v>118.59220000000001</c:v>
                </c:pt>
                <c:pt idx="3602">
                  <c:v>121.3775</c:v>
                </c:pt>
                <c:pt idx="3603">
                  <c:v>123.8056</c:v>
                </c:pt>
                <c:pt idx="3604">
                  <c:v>122.06010000000001</c:v>
                </c:pt>
                <c:pt idx="3605">
                  <c:v>120.2116</c:v>
                </c:pt>
                <c:pt idx="3606">
                  <c:v>119.6969</c:v>
                </c:pt>
                <c:pt idx="3607">
                  <c:v>120.8523</c:v>
                </c:pt>
                <c:pt idx="3608">
                  <c:v>118.9803</c:v>
                </c:pt>
                <c:pt idx="3609">
                  <c:v>116.4777</c:v>
                </c:pt>
                <c:pt idx="3610">
                  <c:v>114.8308</c:v>
                </c:pt>
                <c:pt idx="3611">
                  <c:v>112.0196</c:v>
                </c:pt>
                <c:pt idx="3612">
                  <c:v>114.5442</c:v>
                </c:pt>
                <c:pt idx="3613">
                  <c:v>112.72110000000001</c:v>
                </c:pt>
                <c:pt idx="3614">
                  <c:v>107.9053</c:v>
                </c:pt>
                <c:pt idx="3615">
                  <c:v>108.96469999999999</c:v>
                </c:pt>
                <c:pt idx="3616">
                  <c:v>115.3319</c:v>
                </c:pt>
                <c:pt idx="3617">
                  <c:v>115.7182</c:v>
                </c:pt>
                <c:pt idx="3618">
                  <c:v>115.08199999999999</c:v>
                </c:pt>
                <c:pt idx="3619">
                  <c:v>113.1331</c:v>
                </c:pt>
                <c:pt idx="3620">
                  <c:v>112.2274</c:v>
                </c:pt>
                <c:pt idx="3621">
                  <c:v>111.01179999999999</c:v>
                </c:pt>
                <c:pt idx="3622">
                  <c:v>108.8935</c:v>
                </c:pt>
                <c:pt idx="3623">
                  <c:v>108.6146</c:v>
                </c:pt>
                <c:pt idx="3624">
                  <c:v>109.6066</c:v>
                </c:pt>
                <c:pt idx="3625">
                  <c:v>109.9722</c:v>
                </c:pt>
                <c:pt idx="3626">
                  <c:v>108.91379999999999</c:v>
                </c:pt>
                <c:pt idx="3627">
                  <c:v>108.922</c:v>
                </c:pt>
                <c:pt idx="3628">
                  <c:v>107.7206</c:v>
                </c:pt>
                <c:pt idx="3629">
                  <c:v>104.8485</c:v>
                </c:pt>
                <c:pt idx="3630">
                  <c:v>108.18040000000001</c:v>
                </c:pt>
                <c:pt idx="3631">
                  <c:v>110.50020000000001</c:v>
                </c:pt>
                <c:pt idx="3632">
                  <c:v>108.3967</c:v>
                </c:pt>
                <c:pt idx="3633">
                  <c:v>111.5168</c:v>
                </c:pt>
                <c:pt idx="3634">
                  <c:v>110.4423</c:v>
                </c:pt>
                <c:pt idx="3635">
                  <c:v>107.9783</c:v>
                </c:pt>
                <c:pt idx="3636">
                  <c:v>108.0013</c:v>
                </c:pt>
                <c:pt idx="3637">
                  <c:v>105.6866</c:v>
                </c:pt>
                <c:pt idx="3638">
                  <c:v>103.1232</c:v>
                </c:pt>
                <c:pt idx="3639">
                  <c:v>101.8321</c:v>
                </c:pt>
                <c:pt idx="3640">
                  <c:v>102.6459</c:v>
                </c:pt>
                <c:pt idx="3641">
                  <c:v>103.6504</c:v>
                </c:pt>
                <c:pt idx="3642">
                  <c:v>101.616</c:v>
                </c:pt>
                <c:pt idx="3643">
                  <c:v>103.6979</c:v>
                </c:pt>
                <c:pt idx="3644">
                  <c:v>103.5227</c:v>
                </c:pt>
                <c:pt idx="3645">
                  <c:v>106.1767</c:v>
                </c:pt>
                <c:pt idx="3646">
                  <c:v>104.333</c:v>
                </c:pt>
                <c:pt idx="3647">
                  <c:v>102.92789999999999</c:v>
                </c:pt>
                <c:pt idx="3648">
                  <c:v>101.7743</c:v>
                </c:pt>
                <c:pt idx="3649">
                  <c:v>99.864999999999995</c:v>
                </c:pt>
                <c:pt idx="3650">
                  <c:v>99.323800000000006</c:v>
                </c:pt>
                <c:pt idx="3651">
                  <c:v>100.5864</c:v>
                </c:pt>
                <c:pt idx="3652">
                  <c:v>98.472200000000001</c:v>
                </c:pt>
                <c:pt idx="3653">
                  <c:v>94.692300000000003</c:v>
                </c:pt>
                <c:pt idx="3654">
                  <c:v>93.316400000000002</c:v>
                </c:pt>
                <c:pt idx="3655">
                  <c:v>91.904200000000003</c:v>
                </c:pt>
                <c:pt idx="3656">
                  <c:v>94.024299999999997</c:v>
                </c:pt>
                <c:pt idx="3657">
                  <c:v>92.944599999999994</c:v>
                </c:pt>
                <c:pt idx="3658">
                  <c:v>94.037199999999999</c:v>
                </c:pt>
                <c:pt idx="3659">
                  <c:v>94.138800000000003</c:v>
                </c:pt>
                <c:pt idx="3660">
                  <c:v>92.334999999999994</c:v>
                </c:pt>
                <c:pt idx="3661">
                  <c:v>90.461799999999997</c:v>
                </c:pt>
                <c:pt idx="3662">
                  <c:v>88.334400000000002</c:v>
                </c:pt>
                <c:pt idx="3663">
                  <c:v>91.442099999999996</c:v>
                </c:pt>
                <c:pt idx="3664">
                  <c:v>91.589100000000002</c:v>
                </c:pt>
                <c:pt idx="3665">
                  <c:v>92.528700000000001</c:v>
                </c:pt>
                <c:pt idx="3666">
                  <c:v>89.837000000000003</c:v>
                </c:pt>
                <c:pt idx="3667">
                  <c:v>89.807599999999994</c:v>
                </c:pt>
                <c:pt idx="3668">
                  <c:v>90.933800000000005</c:v>
                </c:pt>
                <c:pt idx="3669">
                  <c:v>89.570499999999996</c:v>
                </c:pt>
                <c:pt idx="3670">
                  <c:v>90.850700000000003</c:v>
                </c:pt>
                <c:pt idx="3671">
                  <c:v>91.345399999999998</c:v>
                </c:pt>
                <c:pt idx="3672">
                  <c:v>91.951999999999998</c:v>
                </c:pt>
                <c:pt idx="3673">
                  <c:v>90.308099999999996</c:v>
                </c:pt>
                <c:pt idx="3674">
                  <c:v>90.284499999999994</c:v>
                </c:pt>
                <c:pt idx="3675">
                  <c:v>90.412400000000005</c:v>
                </c:pt>
                <c:pt idx="3676">
                  <c:v>88.914199999999994</c:v>
                </c:pt>
                <c:pt idx="3677">
                  <c:v>89.961100000000002</c:v>
                </c:pt>
                <c:pt idx="3678">
                  <c:v>94.226100000000002</c:v>
                </c:pt>
                <c:pt idx="3679">
                  <c:v>95.294499999999999</c:v>
                </c:pt>
                <c:pt idx="3680">
                  <c:v>97.821100000000001</c:v>
                </c:pt>
                <c:pt idx="3681">
                  <c:v>99.866600000000005</c:v>
                </c:pt>
                <c:pt idx="3682">
                  <c:v>99.845799999999997</c:v>
                </c:pt>
                <c:pt idx="3683">
                  <c:v>99.495000000000005</c:v>
                </c:pt>
                <c:pt idx="3684">
                  <c:v>101.0274</c:v>
                </c:pt>
                <c:pt idx="3685">
                  <c:v>102.41759999999999</c:v>
                </c:pt>
                <c:pt idx="3686">
                  <c:v>100.15519999999999</c:v>
                </c:pt>
                <c:pt idx="3687">
                  <c:v>95.546000000000006</c:v>
                </c:pt>
                <c:pt idx="3688">
                  <c:v>92.260900000000007</c:v>
                </c:pt>
                <c:pt idx="3689">
                  <c:v>94.470200000000006</c:v>
                </c:pt>
                <c:pt idx="3690">
                  <c:v>92.913300000000007</c:v>
                </c:pt>
                <c:pt idx="3691">
                  <c:v>102.30240000000001</c:v>
                </c:pt>
                <c:pt idx="3692">
                  <c:v>100.86960000000001</c:v>
                </c:pt>
                <c:pt idx="3693">
                  <c:v>99.448800000000006</c:v>
                </c:pt>
                <c:pt idx="3694">
                  <c:v>96.289699999999996</c:v>
                </c:pt>
                <c:pt idx="3695">
                  <c:v>97.141400000000004</c:v>
                </c:pt>
                <c:pt idx="3696">
                  <c:v>97.137299999999996</c:v>
                </c:pt>
                <c:pt idx="3697">
                  <c:v>97.479699999999994</c:v>
                </c:pt>
                <c:pt idx="3698">
                  <c:v>100.0547</c:v>
                </c:pt>
                <c:pt idx="3699">
                  <c:v>101.8862</c:v>
                </c:pt>
                <c:pt idx="3700">
                  <c:v>100.84569999999999</c:v>
                </c:pt>
                <c:pt idx="3701">
                  <c:v>99.0929</c:v>
                </c:pt>
                <c:pt idx="3702">
                  <c:v>98.362099999999998</c:v>
                </c:pt>
                <c:pt idx="3703">
                  <c:v>99.087599999999995</c:v>
                </c:pt>
                <c:pt idx="3704">
                  <c:v>100.2791</c:v>
                </c:pt>
                <c:pt idx="3705">
                  <c:v>99.184200000000004</c:v>
                </c:pt>
                <c:pt idx="3706">
                  <c:v>100.1855</c:v>
                </c:pt>
                <c:pt idx="3707">
                  <c:v>97.891300000000001</c:v>
                </c:pt>
                <c:pt idx="3708">
                  <c:v>99.109099999999998</c:v>
                </c:pt>
                <c:pt idx="3709">
                  <c:v>97.565100000000001</c:v>
                </c:pt>
                <c:pt idx="3710">
                  <c:v>96.930400000000006</c:v>
                </c:pt>
                <c:pt idx="3711">
                  <c:v>96.201499999999996</c:v>
                </c:pt>
                <c:pt idx="3712">
                  <c:v>97.331299999999999</c:v>
                </c:pt>
                <c:pt idx="3713">
                  <c:v>98.067800000000005</c:v>
                </c:pt>
                <c:pt idx="3714">
                  <c:v>95.807500000000005</c:v>
                </c:pt>
                <c:pt idx="3715">
                  <c:v>94.156999999999996</c:v>
                </c:pt>
                <c:pt idx="3716">
                  <c:v>95.073800000000006</c:v>
                </c:pt>
                <c:pt idx="3717">
                  <c:v>99.013000000000005</c:v>
                </c:pt>
                <c:pt idx="3718">
                  <c:v>99.216099999999997</c:v>
                </c:pt>
                <c:pt idx="3719">
                  <c:v>97.218599999999995</c:v>
                </c:pt>
                <c:pt idx="3720">
                  <c:v>96.831800000000001</c:v>
                </c:pt>
                <c:pt idx="3721">
                  <c:v>96.633099999999999</c:v>
                </c:pt>
                <c:pt idx="3722">
                  <c:v>95.262799999999999</c:v>
                </c:pt>
                <c:pt idx="3723">
                  <c:v>95.248699999999999</c:v>
                </c:pt>
                <c:pt idx="3724">
                  <c:v>96.084400000000002</c:v>
                </c:pt>
                <c:pt idx="3725">
                  <c:v>95.369100000000003</c:v>
                </c:pt>
                <c:pt idx="3726">
                  <c:v>95.060599999999994</c:v>
                </c:pt>
                <c:pt idx="3727">
                  <c:v>96.770799999999994</c:v>
                </c:pt>
                <c:pt idx="3728">
                  <c:v>95.588899999999995</c:v>
                </c:pt>
                <c:pt idx="3729">
                  <c:v>96.268900000000002</c:v>
                </c:pt>
                <c:pt idx="3730">
                  <c:v>97.820300000000003</c:v>
                </c:pt>
                <c:pt idx="3731">
                  <c:v>97.004000000000005</c:v>
                </c:pt>
                <c:pt idx="3732">
                  <c:v>97.839399999999998</c:v>
                </c:pt>
                <c:pt idx="3733">
                  <c:v>98.0244</c:v>
                </c:pt>
                <c:pt idx="3734">
                  <c:v>98.471500000000006</c:v>
                </c:pt>
                <c:pt idx="3735">
                  <c:v>96.349299999999999</c:v>
                </c:pt>
                <c:pt idx="3736">
                  <c:v>97.78</c:v>
                </c:pt>
                <c:pt idx="3737">
                  <c:v>95.996399999999994</c:v>
                </c:pt>
                <c:pt idx="3738">
                  <c:v>91.968500000000006</c:v>
                </c:pt>
                <c:pt idx="3739">
                  <c:v>91.467600000000004</c:v>
                </c:pt>
                <c:pt idx="3740">
                  <c:v>95.075699999999998</c:v>
                </c:pt>
                <c:pt idx="3741">
                  <c:v>97.221599999999995</c:v>
                </c:pt>
                <c:pt idx="3742">
                  <c:v>95.207999999999998</c:v>
                </c:pt>
                <c:pt idx="3743">
                  <c:v>94.798299999999998</c:v>
                </c:pt>
                <c:pt idx="3744">
                  <c:v>94.164299999999997</c:v>
                </c:pt>
                <c:pt idx="3745">
                  <c:v>93.968199999999996</c:v>
                </c:pt>
                <c:pt idx="3746">
                  <c:v>94.390100000000004</c:v>
                </c:pt>
                <c:pt idx="3747">
                  <c:v>95.165700000000001</c:v>
                </c:pt>
                <c:pt idx="3748">
                  <c:v>93.4251</c:v>
                </c:pt>
                <c:pt idx="3749">
                  <c:v>92.005200000000002</c:v>
                </c:pt>
                <c:pt idx="3750">
                  <c:v>89.990399999999994</c:v>
                </c:pt>
                <c:pt idx="3751">
                  <c:v>89.597399999999993</c:v>
                </c:pt>
                <c:pt idx="3752">
                  <c:v>89.522499999999994</c:v>
                </c:pt>
                <c:pt idx="3753">
                  <c:v>90.151600000000002</c:v>
                </c:pt>
                <c:pt idx="3754">
                  <c:v>93.426100000000005</c:v>
                </c:pt>
                <c:pt idx="3755">
                  <c:v>92.550600000000003</c:v>
                </c:pt>
                <c:pt idx="3756">
                  <c:v>92.71</c:v>
                </c:pt>
                <c:pt idx="3757">
                  <c:v>93.075199999999995</c:v>
                </c:pt>
                <c:pt idx="3758">
                  <c:v>95.540499999999994</c:v>
                </c:pt>
                <c:pt idx="3759">
                  <c:v>98.408600000000007</c:v>
                </c:pt>
                <c:pt idx="3760">
                  <c:v>98.531999999999996</c:v>
                </c:pt>
                <c:pt idx="3761">
                  <c:v>98.193100000000001</c:v>
                </c:pt>
                <c:pt idx="3762">
                  <c:v>96.497</c:v>
                </c:pt>
                <c:pt idx="3763">
                  <c:v>96.439499999999995</c:v>
                </c:pt>
                <c:pt idx="3764">
                  <c:v>96.199399999999997</c:v>
                </c:pt>
                <c:pt idx="3765">
                  <c:v>95.431200000000004</c:v>
                </c:pt>
                <c:pt idx="3766">
                  <c:v>94.5124</c:v>
                </c:pt>
                <c:pt idx="3767">
                  <c:v>91.479399999999998</c:v>
                </c:pt>
                <c:pt idx="3768">
                  <c:v>84.107500000000002</c:v>
                </c:pt>
                <c:pt idx="3769">
                  <c:v>82.943200000000004</c:v>
                </c:pt>
                <c:pt idx="3770">
                  <c:v>77.603700000000003</c:v>
                </c:pt>
                <c:pt idx="3771">
                  <c:v>82.360900000000001</c:v>
                </c:pt>
                <c:pt idx="3772">
                  <c:v>84.796099999999996</c:v>
                </c:pt>
                <c:pt idx="3773">
                  <c:v>83.955100000000002</c:v>
                </c:pt>
                <c:pt idx="3774">
                  <c:v>82.466700000000003</c:v>
                </c:pt>
                <c:pt idx="3775">
                  <c:v>82.467399999999998</c:v>
                </c:pt>
                <c:pt idx="3776">
                  <c:v>79.590500000000006</c:v>
                </c:pt>
                <c:pt idx="3777">
                  <c:v>80.462100000000007</c:v>
                </c:pt>
                <c:pt idx="3778">
                  <c:v>82.803600000000003</c:v>
                </c:pt>
                <c:pt idx="3779">
                  <c:v>85.973299999999995</c:v>
                </c:pt>
                <c:pt idx="3780">
                  <c:v>84.986800000000002</c:v>
                </c:pt>
                <c:pt idx="3781">
                  <c:v>81.927800000000005</c:v>
                </c:pt>
                <c:pt idx="3782">
                  <c:v>79.459199999999996</c:v>
                </c:pt>
                <c:pt idx="3783">
                  <c:v>78.673500000000004</c:v>
                </c:pt>
                <c:pt idx="3784">
                  <c:v>80.036100000000005</c:v>
                </c:pt>
                <c:pt idx="3785">
                  <c:v>81.293599999999998</c:v>
                </c:pt>
                <c:pt idx="3786">
                  <c:v>78.3232</c:v>
                </c:pt>
                <c:pt idx="3787">
                  <c:v>79.727199999999996</c:v>
                </c:pt>
                <c:pt idx="3788">
                  <c:v>76.543400000000005</c:v>
                </c:pt>
                <c:pt idx="3789">
                  <c:v>78.388000000000005</c:v>
                </c:pt>
                <c:pt idx="3790">
                  <c:v>78.379499999999993</c:v>
                </c:pt>
                <c:pt idx="3791">
                  <c:v>75.968599999999995</c:v>
                </c:pt>
                <c:pt idx="3792">
                  <c:v>72.590299999999999</c:v>
                </c:pt>
                <c:pt idx="3793">
                  <c:v>69.483900000000006</c:v>
                </c:pt>
                <c:pt idx="3794">
                  <c:v>73.068299999999994</c:v>
                </c:pt>
                <c:pt idx="3795">
                  <c:v>71.596000000000004</c:v>
                </c:pt>
                <c:pt idx="3796">
                  <c:v>68.894099999999995</c:v>
                </c:pt>
                <c:pt idx="3797">
                  <c:v>66.369799999999998</c:v>
                </c:pt>
                <c:pt idx="3798">
                  <c:v>69.583200000000005</c:v>
                </c:pt>
                <c:pt idx="3799">
                  <c:v>70.798299999999998</c:v>
                </c:pt>
                <c:pt idx="3800">
                  <c:v>77.170699999999997</c:v>
                </c:pt>
                <c:pt idx="3801">
                  <c:v>75.351600000000005</c:v>
                </c:pt>
                <c:pt idx="3802">
                  <c:v>75.421499999999995</c:v>
                </c:pt>
                <c:pt idx="3803">
                  <c:v>73.175700000000006</c:v>
                </c:pt>
                <c:pt idx="3804">
                  <c:v>73.746300000000005</c:v>
                </c:pt>
                <c:pt idx="3805">
                  <c:v>69.992500000000007</c:v>
                </c:pt>
                <c:pt idx="3806">
                  <c:v>67.704300000000003</c:v>
                </c:pt>
                <c:pt idx="3807">
                  <c:v>69.157899999999998</c:v>
                </c:pt>
                <c:pt idx="3808">
                  <c:v>66.273399999999995</c:v>
                </c:pt>
                <c:pt idx="3809">
                  <c:v>66.489000000000004</c:v>
                </c:pt>
                <c:pt idx="3810">
                  <c:v>66.850800000000007</c:v>
                </c:pt>
                <c:pt idx="3811">
                  <c:v>66.797899999999998</c:v>
                </c:pt>
                <c:pt idx="3812">
                  <c:v>65.908100000000005</c:v>
                </c:pt>
                <c:pt idx="3813">
                  <c:v>64.822999999999993</c:v>
                </c:pt>
                <c:pt idx="3814">
                  <c:v>67.296899999999994</c:v>
                </c:pt>
                <c:pt idx="3815">
                  <c:v>67.598699999999994</c:v>
                </c:pt>
                <c:pt idx="3816">
                  <c:v>67.732900000000001</c:v>
                </c:pt>
                <c:pt idx="3817">
                  <c:v>69.352699999999999</c:v>
                </c:pt>
                <c:pt idx="3818">
                  <c:v>69.408100000000005</c:v>
                </c:pt>
                <c:pt idx="3819">
                  <c:v>65.537099999999995</c:v>
                </c:pt>
                <c:pt idx="3820">
                  <c:v>60.688699999999997</c:v>
                </c:pt>
                <c:pt idx="3821">
                  <c:v>61.702500000000001</c:v>
                </c:pt>
                <c:pt idx="3822">
                  <c:v>61.034100000000002</c:v>
                </c:pt>
                <c:pt idx="3823">
                  <c:v>59.725999999999999</c:v>
                </c:pt>
                <c:pt idx="3824">
                  <c:v>59.777999999999999</c:v>
                </c:pt>
                <c:pt idx="3825">
                  <c:v>58.653500000000001</c:v>
                </c:pt>
                <c:pt idx="3826">
                  <c:v>64.876000000000005</c:v>
                </c:pt>
                <c:pt idx="3827">
                  <c:v>64.054500000000004</c:v>
                </c:pt>
                <c:pt idx="3828">
                  <c:v>62.249099999999999</c:v>
                </c:pt>
                <c:pt idx="3829">
                  <c:v>63.83</c:v>
                </c:pt>
                <c:pt idx="3830">
                  <c:v>67.0989</c:v>
                </c:pt>
                <c:pt idx="3831">
                  <c:v>67.993099999999998</c:v>
                </c:pt>
                <c:pt idx="3832">
                  <c:v>67.859499999999997</c:v>
                </c:pt>
                <c:pt idx="3833">
                  <c:v>68.197900000000004</c:v>
                </c:pt>
                <c:pt idx="3834">
                  <c:v>68.616399999999999</c:v>
                </c:pt>
                <c:pt idx="3835">
                  <c:v>67.171999999999997</c:v>
                </c:pt>
                <c:pt idx="3836">
                  <c:v>65.949799999999996</c:v>
                </c:pt>
                <c:pt idx="3837">
                  <c:v>67.281300000000002</c:v>
                </c:pt>
                <c:pt idx="3838">
                  <c:v>68.130600000000001</c:v>
                </c:pt>
                <c:pt idx="3839">
                  <c:v>67.619299999999996</c:v>
                </c:pt>
                <c:pt idx="3840">
                  <c:v>67.188599999999994</c:v>
                </c:pt>
                <c:pt idx="3841">
                  <c:v>65.686000000000007</c:v>
                </c:pt>
                <c:pt idx="3842">
                  <c:v>66.935699999999997</c:v>
                </c:pt>
                <c:pt idx="3843">
                  <c:v>66.463099999999997</c:v>
                </c:pt>
                <c:pt idx="3844">
                  <c:v>66.544600000000003</c:v>
                </c:pt>
                <c:pt idx="3845">
                  <c:v>66.534199999999998</c:v>
                </c:pt>
                <c:pt idx="3846">
                  <c:v>66.745699999999999</c:v>
                </c:pt>
                <c:pt idx="3847">
                  <c:v>67.516800000000003</c:v>
                </c:pt>
                <c:pt idx="3848">
                  <c:v>67.432699999999997</c:v>
                </c:pt>
                <c:pt idx="3849">
                  <c:v>67.295299999999997</c:v>
                </c:pt>
                <c:pt idx="3850">
                  <c:v>65.816699999999997</c:v>
                </c:pt>
                <c:pt idx="3851">
                  <c:v>66.816199999999995</c:v>
                </c:pt>
                <c:pt idx="3852">
                  <c:v>67.018799999999999</c:v>
                </c:pt>
                <c:pt idx="3853">
                  <c:v>65.976200000000006</c:v>
                </c:pt>
                <c:pt idx="3854">
                  <c:v>66.733000000000004</c:v>
                </c:pt>
                <c:pt idx="3855">
                  <c:v>66.815899999999999</c:v>
                </c:pt>
                <c:pt idx="3856">
                  <c:v>69.804599999999994</c:v>
                </c:pt>
                <c:pt idx="3857">
                  <c:v>69.516800000000003</c:v>
                </c:pt>
                <c:pt idx="3858">
                  <c:v>69.906099999999995</c:v>
                </c:pt>
                <c:pt idx="3859">
                  <c:v>71.879900000000006</c:v>
                </c:pt>
                <c:pt idx="3860">
                  <c:v>72.894199999999998</c:v>
                </c:pt>
                <c:pt idx="3861">
                  <c:v>73.677899999999994</c:v>
                </c:pt>
                <c:pt idx="3862">
                  <c:v>74.548299999999998</c:v>
                </c:pt>
                <c:pt idx="3863">
                  <c:v>75.553100000000001</c:v>
                </c:pt>
                <c:pt idx="3864">
                  <c:v>76.239199999999997</c:v>
                </c:pt>
                <c:pt idx="3865">
                  <c:v>77.723100000000002</c:v>
                </c:pt>
                <c:pt idx="3866">
                  <c:v>77.108099999999993</c:v>
                </c:pt>
                <c:pt idx="3867">
                  <c:v>76.779899999999998</c:v>
                </c:pt>
                <c:pt idx="3868">
                  <c:v>75.861599999999996</c:v>
                </c:pt>
                <c:pt idx="3869">
                  <c:v>76.131500000000003</c:v>
                </c:pt>
                <c:pt idx="3870">
                  <c:v>76.894400000000005</c:v>
                </c:pt>
                <c:pt idx="3871">
                  <c:v>75.412199999999999</c:v>
                </c:pt>
                <c:pt idx="3872">
                  <c:v>75.0642</c:v>
                </c:pt>
                <c:pt idx="3873">
                  <c:v>72.910899999999998</c:v>
                </c:pt>
                <c:pt idx="3874">
                  <c:v>69.754300000000001</c:v>
                </c:pt>
                <c:pt idx="3875">
                  <c:v>69.233000000000004</c:v>
                </c:pt>
                <c:pt idx="3876">
                  <c:v>68.347300000000004</c:v>
                </c:pt>
                <c:pt idx="3877">
                  <c:v>66.679199999999994</c:v>
                </c:pt>
                <c:pt idx="3878">
                  <c:v>64.033900000000003</c:v>
                </c:pt>
                <c:pt idx="3879">
                  <c:v>65.537099999999995</c:v>
                </c:pt>
                <c:pt idx="3880">
                  <c:v>66.727900000000005</c:v>
                </c:pt>
                <c:pt idx="3881">
                  <c:v>65.474699999999999</c:v>
                </c:pt>
                <c:pt idx="3882">
                  <c:v>64.731800000000007</c:v>
                </c:pt>
                <c:pt idx="3883">
                  <c:v>67.887799999999999</c:v>
                </c:pt>
                <c:pt idx="3884">
                  <c:v>66.746600000000001</c:v>
                </c:pt>
                <c:pt idx="3885">
                  <c:v>65.751099999999994</c:v>
                </c:pt>
                <c:pt idx="3886">
                  <c:v>65.673599999999993</c:v>
                </c:pt>
                <c:pt idx="3887">
                  <c:v>65.434299999999993</c:v>
                </c:pt>
                <c:pt idx="3888">
                  <c:v>65.462199999999996</c:v>
                </c:pt>
                <c:pt idx="3889">
                  <c:v>64.547899999999998</c:v>
                </c:pt>
                <c:pt idx="3890">
                  <c:v>65.1935</c:v>
                </c:pt>
                <c:pt idx="3891">
                  <c:v>65.882900000000006</c:v>
                </c:pt>
                <c:pt idx="3892">
                  <c:v>63.379800000000003</c:v>
                </c:pt>
                <c:pt idx="3893">
                  <c:v>62.529899999999998</c:v>
                </c:pt>
                <c:pt idx="3894">
                  <c:v>61.354900000000001</c:v>
                </c:pt>
                <c:pt idx="3895">
                  <c:v>61.067399999999999</c:v>
                </c:pt>
                <c:pt idx="3896">
                  <c:v>61.346600000000002</c:v>
                </c:pt>
                <c:pt idx="3897">
                  <c:v>59.857500000000002</c:v>
                </c:pt>
                <c:pt idx="3898">
                  <c:v>57.726399999999998</c:v>
                </c:pt>
                <c:pt idx="3899">
                  <c:v>58.8444</c:v>
                </c:pt>
                <c:pt idx="3900">
                  <c:v>57.209499999999998</c:v>
                </c:pt>
                <c:pt idx="3901">
                  <c:v>59.021799999999999</c:v>
                </c:pt>
                <c:pt idx="3902">
                  <c:v>58.687800000000003</c:v>
                </c:pt>
                <c:pt idx="3903">
                  <c:v>55.9452</c:v>
                </c:pt>
                <c:pt idx="3904">
                  <c:v>54.280999999999999</c:v>
                </c:pt>
                <c:pt idx="3905">
                  <c:v>53.553199999999997</c:v>
                </c:pt>
                <c:pt idx="3906">
                  <c:v>51.396000000000001</c:v>
                </c:pt>
                <c:pt idx="3907">
                  <c:v>51.738399999999999</c:v>
                </c:pt>
                <c:pt idx="3908">
                  <c:v>50.933399999999999</c:v>
                </c:pt>
                <c:pt idx="3909">
                  <c:v>53.444400000000002</c:v>
                </c:pt>
                <c:pt idx="3910">
                  <c:v>52.774900000000002</c:v>
                </c:pt>
                <c:pt idx="3911">
                  <c:v>51.053800000000003</c:v>
                </c:pt>
                <c:pt idx="3912">
                  <c:v>53.366199999999999</c:v>
                </c:pt>
                <c:pt idx="3913">
                  <c:v>54.600499999999997</c:v>
                </c:pt>
                <c:pt idx="3914">
                  <c:v>54.574300000000001</c:v>
                </c:pt>
                <c:pt idx="3915">
                  <c:v>53.804299999999998</c:v>
                </c:pt>
                <c:pt idx="3916">
                  <c:v>54.174900000000001</c:v>
                </c:pt>
                <c:pt idx="3917">
                  <c:v>54.375700000000002</c:v>
                </c:pt>
                <c:pt idx="3918">
                  <c:v>54.124699999999997</c:v>
                </c:pt>
                <c:pt idx="3919">
                  <c:v>53.863999999999997</c:v>
                </c:pt>
                <c:pt idx="3920">
                  <c:v>54.283200000000001</c:v>
                </c:pt>
                <c:pt idx="3921">
                  <c:v>53.396599999999999</c:v>
                </c:pt>
                <c:pt idx="3922">
                  <c:v>49.841200000000001</c:v>
                </c:pt>
                <c:pt idx="3923">
                  <c:v>48.9559</c:v>
                </c:pt>
                <c:pt idx="3924">
                  <c:v>46.939399999999999</c:v>
                </c:pt>
                <c:pt idx="3925">
                  <c:v>47.651400000000002</c:v>
                </c:pt>
                <c:pt idx="3926">
                  <c:v>48.406599999999997</c:v>
                </c:pt>
                <c:pt idx="3927">
                  <c:v>48.515099999999997</c:v>
                </c:pt>
                <c:pt idx="3928">
                  <c:v>48.410200000000003</c:v>
                </c:pt>
                <c:pt idx="3929">
                  <c:v>50.008099999999999</c:v>
                </c:pt>
                <c:pt idx="3930">
                  <c:v>50.024099999999997</c:v>
                </c:pt>
                <c:pt idx="3931">
                  <c:v>49.079599999999999</c:v>
                </c:pt>
                <c:pt idx="3932">
                  <c:v>48.453800000000001</c:v>
                </c:pt>
                <c:pt idx="3933">
                  <c:v>48.378500000000003</c:v>
                </c:pt>
                <c:pt idx="3934">
                  <c:v>48.23</c:v>
                </c:pt>
                <c:pt idx="3935">
                  <c:v>47.3369</c:v>
                </c:pt>
                <c:pt idx="3936">
                  <c:v>47.767600000000002</c:v>
                </c:pt>
                <c:pt idx="3937">
                  <c:v>48.865400000000001</c:v>
                </c:pt>
                <c:pt idx="3938">
                  <c:v>48.067700000000002</c:v>
                </c:pt>
                <c:pt idx="3939">
                  <c:v>46.9741</c:v>
                </c:pt>
                <c:pt idx="3940">
                  <c:v>46.946599999999997</c:v>
                </c:pt>
                <c:pt idx="3941">
                  <c:v>47.567599999999999</c:v>
                </c:pt>
                <c:pt idx="3942">
                  <c:v>47.173499999999997</c:v>
                </c:pt>
                <c:pt idx="3943">
                  <c:v>47.120100000000001</c:v>
                </c:pt>
                <c:pt idx="3944">
                  <c:v>45.902700000000003</c:v>
                </c:pt>
                <c:pt idx="3945">
                  <c:v>46.191200000000002</c:v>
                </c:pt>
                <c:pt idx="3946">
                  <c:v>46.405000000000001</c:v>
                </c:pt>
                <c:pt idx="3947">
                  <c:v>46.246699999999997</c:v>
                </c:pt>
                <c:pt idx="3948">
                  <c:v>45.900300000000001</c:v>
                </c:pt>
                <c:pt idx="3949">
                  <c:v>46.045099999999998</c:v>
                </c:pt>
                <c:pt idx="3950">
                  <c:v>46.212600000000002</c:v>
                </c:pt>
                <c:pt idx="3951">
                  <c:v>44.4664</c:v>
                </c:pt>
                <c:pt idx="3952">
                  <c:v>43.8352</c:v>
                </c:pt>
                <c:pt idx="3953">
                  <c:v>43.945300000000003</c:v>
                </c:pt>
                <c:pt idx="3954">
                  <c:v>42.947299999999998</c:v>
                </c:pt>
                <c:pt idx="3955">
                  <c:v>44.334299999999999</c:v>
                </c:pt>
                <c:pt idx="3956">
                  <c:v>44.3842</c:v>
                </c:pt>
                <c:pt idx="3957">
                  <c:v>44.949399999999997</c:v>
                </c:pt>
                <c:pt idx="3958">
                  <c:v>45.986199999999997</c:v>
                </c:pt>
                <c:pt idx="3959">
                  <c:v>45.269100000000002</c:v>
                </c:pt>
                <c:pt idx="3960">
                  <c:v>46.515700000000002</c:v>
                </c:pt>
                <c:pt idx="3961">
                  <c:v>47.223599999999998</c:v>
                </c:pt>
                <c:pt idx="3962">
                  <c:v>47.832799999999999</c:v>
                </c:pt>
                <c:pt idx="3963">
                  <c:v>46.817100000000003</c:v>
                </c:pt>
                <c:pt idx="3964">
                  <c:v>45.6828</c:v>
                </c:pt>
                <c:pt idx="3965">
                  <c:v>45.087499999999999</c:v>
                </c:pt>
                <c:pt idx="3966">
                  <c:v>43.6633</c:v>
                </c:pt>
                <c:pt idx="3967">
                  <c:v>44.911000000000001</c:v>
                </c:pt>
                <c:pt idx="3968">
                  <c:v>45.742699999999999</c:v>
                </c:pt>
                <c:pt idx="3969">
                  <c:v>44.093400000000003</c:v>
                </c:pt>
                <c:pt idx="3970">
                  <c:v>44.164700000000003</c:v>
                </c:pt>
                <c:pt idx="3971">
                  <c:v>43.758200000000002</c:v>
                </c:pt>
                <c:pt idx="3972">
                  <c:v>43.41</c:v>
                </c:pt>
                <c:pt idx="3973">
                  <c:v>42.232999999999997</c:v>
                </c:pt>
                <c:pt idx="3974">
                  <c:v>41.530099999999997</c:v>
                </c:pt>
                <c:pt idx="3975">
                  <c:v>40.270099999999999</c:v>
                </c:pt>
                <c:pt idx="3976">
                  <c:v>40.722299999999997</c:v>
                </c:pt>
                <c:pt idx="3977">
                  <c:v>46.159599999999998</c:v>
                </c:pt>
                <c:pt idx="3978">
                  <c:v>47.314</c:v>
                </c:pt>
                <c:pt idx="3979">
                  <c:v>46.5047</c:v>
                </c:pt>
                <c:pt idx="3980">
                  <c:v>46.584099999999999</c:v>
                </c:pt>
                <c:pt idx="3981">
                  <c:v>46.603999999999999</c:v>
                </c:pt>
                <c:pt idx="3982">
                  <c:v>46.456800000000001</c:v>
                </c:pt>
                <c:pt idx="3983">
                  <c:v>46.678699999999999</c:v>
                </c:pt>
                <c:pt idx="3984">
                  <c:v>47.492600000000003</c:v>
                </c:pt>
                <c:pt idx="3985">
                  <c:v>46.529899999999998</c:v>
                </c:pt>
                <c:pt idx="3986">
                  <c:v>48.786700000000003</c:v>
                </c:pt>
                <c:pt idx="3987">
                  <c:v>49.253700000000002</c:v>
                </c:pt>
                <c:pt idx="3988">
                  <c:v>50.262300000000003</c:v>
                </c:pt>
                <c:pt idx="3989">
                  <c:v>46.816000000000003</c:v>
                </c:pt>
                <c:pt idx="3990">
                  <c:v>44.634500000000003</c:v>
                </c:pt>
                <c:pt idx="3991">
                  <c:v>44.946199999999997</c:v>
                </c:pt>
                <c:pt idx="3992">
                  <c:v>43.072600000000001</c:v>
                </c:pt>
                <c:pt idx="3993">
                  <c:v>42.445599999999999</c:v>
                </c:pt>
                <c:pt idx="3994">
                  <c:v>41.820900000000002</c:v>
                </c:pt>
                <c:pt idx="3995">
                  <c:v>42.668999999999997</c:v>
                </c:pt>
                <c:pt idx="3996">
                  <c:v>41.600499999999997</c:v>
                </c:pt>
                <c:pt idx="3997">
                  <c:v>38.631799999999998</c:v>
                </c:pt>
                <c:pt idx="3998">
                  <c:v>39.754300000000001</c:v>
                </c:pt>
                <c:pt idx="3999">
                  <c:v>39.773899999999998</c:v>
                </c:pt>
                <c:pt idx="4000">
                  <c:v>39.723399999999998</c:v>
                </c:pt>
                <c:pt idx="4001">
                  <c:v>37.987099999999998</c:v>
                </c:pt>
                <c:pt idx="4002">
                  <c:v>39.078699999999998</c:v>
                </c:pt>
                <c:pt idx="4003">
                  <c:v>40.072800000000001</c:v>
                </c:pt>
                <c:pt idx="4004">
                  <c:v>40.2408</c:v>
                </c:pt>
                <c:pt idx="4005">
                  <c:v>40.361699999999999</c:v>
                </c:pt>
                <c:pt idx="4006">
                  <c:v>40.717300000000002</c:v>
                </c:pt>
                <c:pt idx="4007">
                  <c:v>40.8904</c:v>
                </c:pt>
                <c:pt idx="4008">
                  <c:v>41.490299999999998</c:v>
                </c:pt>
                <c:pt idx="4009">
                  <c:v>41.826900000000002</c:v>
                </c:pt>
                <c:pt idx="4010">
                  <c:v>44.161499999999997</c:v>
                </c:pt>
                <c:pt idx="4011">
                  <c:v>47.116900000000001</c:v>
                </c:pt>
                <c:pt idx="4012">
                  <c:v>46.402000000000001</c:v>
                </c:pt>
                <c:pt idx="4013">
                  <c:v>45.405999999999999</c:v>
                </c:pt>
                <c:pt idx="4014">
                  <c:v>47.038200000000003</c:v>
                </c:pt>
                <c:pt idx="4015">
                  <c:v>45.792099999999998</c:v>
                </c:pt>
                <c:pt idx="4016">
                  <c:v>44.646999999999998</c:v>
                </c:pt>
                <c:pt idx="4017">
                  <c:v>44.278399999999998</c:v>
                </c:pt>
                <c:pt idx="4018">
                  <c:v>43.59</c:v>
                </c:pt>
                <c:pt idx="4019">
                  <c:v>45.055500000000002</c:v>
                </c:pt>
                <c:pt idx="4020">
                  <c:v>44.531100000000002</c:v>
                </c:pt>
                <c:pt idx="4021">
                  <c:v>43.721200000000003</c:v>
                </c:pt>
                <c:pt idx="4022">
                  <c:v>46.579900000000002</c:v>
                </c:pt>
                <c:pt idx="4023">
                  <c:v>46.615900000000003</c:v>
                </c:pt>
                <c:pt idx="4024">
                  <c:v>47.3001</c:v>
                </c:pt>
                <c:pt idx="4025">
                  <c:v>46.475499999999997</c:v>
                </c:pt>
                <c:pt idx="4026">
                  <c:v>46.721899999999998</c:v>
                </c:pt>
                <c:pt idx="4027">
                  <c:v>46.247</c:v>
                </c:pt>
                <c:pt idx="4028">
                  <c:v>46.101500000000001</c:v>
                </c:pt>
                <c:pt idx="4029">
                  <c:v>46.971600000000002</c:v>
                </c:pt>
                <c:pt idx="4030">
                  <c:v>47.355800000000002</c:v>
                </c:pt>
                <c:pt idx="4031">
                  <c:v>48.228200000000001</c:v>
                </c:pt>
                <c:pt idx="4032">
                  <c:v>47.332700000000003</c:v>
                </c:pt>
                <c:pt idx="4033">
                  <c:v>47.594900000000003</c:v>
                </c:pt>
                <c:pt idx="4034">
                  <c:v>47.367699999999999</c:v>
                </c:pt>
                <c:pt idx="4035">
                  <c:v>47.500500000000002</c:v>
                </c:pt>
                <c:pt idx="4036">
                  <c:v>47.761600000000001</c:v>
                </c:pt>
                <c:pt idx="4037">
                  <c:v>45.999899999999997</c:v>
                </c:pt>
                <c:pt idx="4038">
                  <c:v>45.8065</c:v>
                </c:pt>
                <c:pt idx="4039">
                  <c:v>45.45</c:v>
                </c:pt>
                <c:pt idx="4040">
                  <c:v>45.496299999999998</c:v>
                </c:pt>
                <c:pt idx="4041">
                  <c:v>45.7271</c:v>
                </c:pt>
                <c:pt idx="4042">
                  <c:v>45.313200000000002</c:v>
                </c:pt>
                <c:pt idx="4043">
                  <c:v>44.837400000000002</c:v>
                </c:pt>
                <c:pt idx="4044">
                  <c:v>44.7958</c:v>
                </c:pt>
                <c:pt idx="4045">
                  <c:v>44.334299999999999</c:v>
                </c:pt>
                <c:pt idx="4046">
                  <c:v>44.746499999999997</c:v>
                </c:pt>
                <c:pt idx="4047">
                  <c:v>44.973199999999999</c:v>
                </c:pt>
                <c:pt idx="4048">
                  <c:v>44.228900000000003</c:v>
                </c:pt>
                <c:pt idx="4049">
                  <c:v>44.421500000000002</c:v>
                </c:pt>
                <c:pt idx="4050">
                  <c:v>41.175699999999999</c:v>
                </c:pt>
                <c:pt idx="4051">
                  <c:v>43.3431</c:v>
                </c:pt>
                <c:pt idx="4052">
                  <c:v>44.684800000000003</c:v>
                </c:pt>
                <c:pt idx="4053">
                  <c:v>45.22</c:v>
                </c:pt>
                <c:pt idx="4054">
                  <c:v>44.700299999999999</c:v>
                </c:pt>
                <c:pt idx="4055">
                  <c:v>44.101399999999998</c:v>
                </c:pt>
                <c:pt idx="4056">
                  <c:v>44.141199999999998</c:v>
                </c:pt>
                <c:pt idx="4057">
                  <c:v>45.260399999999997</c:v>
                </c:pt>
                <c:pt idx="4058">
                  <c:v>45.317599999999999</c:v>
                </c:pt>
                <c:pt idx="4059">
                  <c:v>45.3093</c:v>
                </c:pt>
                <c:pt idx="4060">
                  <c:v>46.238199999999999</c:v>
                </c:pt>
                <c:pt idx="4061">
                  <c:v>46.263100000000001</c:v>
                </c:pt>
                <c:pt idx="4062">
                  <c:v>46.992400000000004</c:v>
                </c:pt>
                <c:pt idx="4063">
                  <c:v>48.509399999999999</c:v>
                </c:pt>
                <c:pt idx="4064">
                  <c:v>48.318300000000001</c:v>
                </c:pt>
                <c:pt idx="4065">
                  <c:v>49.111600000000003</c:v>
                </c:pt>
                <c:pt idx="4066">
                  <c:v>50.600999999999999</c:v>
                </c:pt>
                <c:pt idx="4067">
                  <c:v>50.661700000000003</c:v>
                </c:pt>
                <c:pt idx="4068">
                  <c:v>49.581499999999998</c:v>
                </c:pt>
                <c:pt idx="4069">
                  <c:v>52.085599999999999</c:v>
                </c:pt>
                <c:pt idx="4070">
                  <c:v>51.997100000000003</c:v>
                </c:pt>
                <c:pt idx="4071">
                  <c:v>52.676000000000002</c:v>
                </c:pt>
                <c:pt idx="4072">
                  <c:v>54.471800000000002</c:v>
                </c:pt>
                <c:pt idx="4073">
                  <c:v>54.510599999999997</c:v>
                </c:pt>
                <c:pt idx="4074">
                  <c:v>54.149500000000003</c:v>
                </c:pt>
                <c:pt idx="4075">
                  <c:v>54.575000000000003</c:v>
                </c:pt>
                <c:pt idx="4076">
                  <c:v>54.040900000000001</c:v>
                </c:pt>
                <c:pt idx="4077">
                  <c:v>53.831499999999998</c:v>
                </c:pt>
                <c:pt idx="4078">
                  <c:v>53.994300000000003</c:v>
                </c:pt>
                <c:pt idx="4079">
                  <c:v>55.493299999999998</c:v>
                </c:pt>
                <c:pt idx="4080">
                  <c:v>55.811900000000001</c:v>
                </c:pt>
                <c:pt idx="4081">
                  <c:v>54.141399999999997</c:v>
                </c:pt>
                <c:pt idx="4082">
                  <c:v>54.3446</c:v>
                </c:pt>
                <c:pt idx="4083">
                  <c:v>55.611699999999999</c:v>
                </c:pt>
                <c:pt idx="4084">
                  <c:v>55.232900000000001</c:v>
                </c:pt>
                <c:pt idx="4085">
                  <c:v>53.097799999999999</c:v>
                </c:pt>
                <c:pt idx="4086">
                  <c:v>54.751199999999997</c:v>
                </c:pt>
                <c:pt idx="4087">
                  <c:v>54.223500000000001</c:v>
                </c:pt>
                <c:pt idx="4088">
                  <c:v>53.964300000000001</c:v>
                </c:pt>
                <c:pt idx="4089">
                  <c:v>51.413600000000002</c:v>
                </c:pt>
                <c:pt idx="4090">
                  <c:v>51.011699999999998</c:v>
                </c:pt>
                <c:pt idx="4091">
                  <c:v>50.916699999999999</c:v>
                </c:pt>
                <c:pt idx="4092">
                  <c:v>50.420900000000003</c:v>
                </c:pt>
                <c:pt idx="4093">
                  <c:v>51.266399999999997</c:v>
                </c:pt>
                <c:pt idx="4094">
                  <c:v>51.910600000000002</c:v>
                </c:pt>
                <c:pt idx="4095">
                  <c:v>50.963900000000002</c:v>
                </c:pt>
                <c:pt idx="4096">
                  <c:v>49.364600000000003</c:v>
                </c:pt>
                <c:pt idx="4097">
                  <c:v>50.777799999999999</c:v>
                </c:pt>
                <c:pt idx="4098">
                  <c:v>51.423299999999998</c:v>
                </c:pt>
                <c:pt idx="4099">
                  <c:v>51.720599999999997</c:v>
                </c:pt>
                <c:pt idx="4100">
                  <c:v>48.357399999999998</c:v>
                </c:pt>
                <c:pt idx="4101">
                  <c:v>47.994500000000002</c:v>
                </c:pt>
                <c:pt idx="4102">
                  <c:v>46.043999999999997</c:v>
                </c:pt>
                <c:pt idx="4103">
                  <c:v>45.304900000000004</c:v>
                </c:pt>
                <c:pt idx="4104">
                  <c:v>44.758299999999998</c:v>
                </c:pt>
                <c:pt idx="4105">
                  <c:v>45.615299999999998</c:v>
                </c:pt>
                <c:pt idx="4106">
                  <c:v>45.9694</c:v>
                </c:pt>
                <c:pt idx="4107">
                  <c:v>45.268900000000002</c:v>
                </c:pt>
                <c:pt idx="4108">
                  <c:v>44.281300000000002</c:v>
                </c:pt>
                <c:pt idx="4109">
                  <c:v>44.689399999999999</c:v>
                </c:pt>
                <c:pt idx="4110">
                  <c:v>43.563299999999998</c:v>
                </c:pt>
                <c:pt idx="4111">
                  <c:v>43.272399999999998</c:v>
                </c:pt>
                <c:pt idx="4112">
                  <c:v>42.142699999999998</c:v>
                </c:pt>
                <c:pt idx="4113">
                  <c:v>41.918799999999997</c:v>
                </c:pt>
                <c:pt idx="4114">
                  <c:v>42.195</c:v>
                </c:pt>
                <c:pt idx="4115">
                  <c:v>43.374499999999998</c:v>
                </c:pt>
                <c:pt idx="4116">
                  <c:v>43.071599999999997</c:v>
                </c:pt>
                <c:pt idx="4117">
                  <c:v>44.501300000000001</c:v>
                </c:pt>
                <c:pt idx="4118">
                  <c:v>43.9739</c:v>
                </c:pt>
                <c:pt idx="4119">
                  <c:v>44.683999999999997</c:v>
                </c:pt>
                <c:pt idx="4120">
                  <c:v>43.008099999999999</c:v>
                </c:pt>
                <c:pt idx="4121">
                  <c:v>41.382899999999999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8-4879-8661-4D6615C65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604848"/>
        <c:axId val="444638576"/>
      </c:scatterChart>
      <c:valAx>
        <c:axId val="45360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38576"/>
        <c:crosses val="autoZero"/>
        <c:crossBetween val="midCat"/>
      </c:valAx>
      <c:valAx>
        <c:axId val="4446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0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627855580111725"/>
                  <c:y val="-6.06084381801029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'Sheet2 (2)'!$D$2:$D$4123</c:f>
              <c:numCache>
                <c:formatCode>General</c:formatCode>
                <c:ptCount val="4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</c:numCache>
            </c:numRef>
          </c:xVal>
          <c:yVal>
            <c:numRef>
              <c:f>'Sheet2 (2)'!$E$2:$E$4123</c:f>
              <c:numCache>
                <c:formatCode>General</c:formatCode>
                <c:ptCount val="4122"/>
                <c:pt idx="0">
                  <c:v>68.8703</c:v>
                </c:pt>
                <c:pt idx="1">
                  <c:v>68.864400000000003</c:v>
                </c:pt>
                <c:pt idx="2">
                  <c:v>67.255200000000002</c:v>
                </c:pt>
                <c:pt idx="3">
                  <c:v>66.234099999999998</c:v>
                </c:pt>
                <c:pt idx="4">
                  <c:v>65.359499999999997</c:v>
                </c:pt>
                <c:pt idx="5">
                  <c:v>64.997200000000007</c:v>
                </c:pt>
                <c:pt idx="6">
                  <c:v>64.900099999999995</c:v>
                </c:pt>
                <c:pt idx="7">
                  <c:v>66.947100000000006</c:v>
                </c:pt>
                <c:pt idx="8">
                  <c:v>67.619100000000003</c:v>
                </c:pt>
                <c:pt idx="9">
                  <c:v>67.116900000000001</c:v>
                </c:pt>
                <c:pt idx="10">
                  <c:v>66.574399999999997</c:v>
                </c:pt>
                <c:pt idx="11">
                  <c:v>67.431399999999996</c:v>
                </c:pt>
                <c:pt idx="12">
                  <c:v>66.196899999999999</c:v>
                </c:pt>
                <c:pt idx="13">
                  <c:v>65.683899999999994</c:v>
                </c:pt>
                <c:pt idx="14">
                  <c:v>65.429599999999994</c:v>
                </c:pt>
                <c:pt idx="15">
                  <c:v>66.897099999999995</c:v>
                </c:pt>
                <c:pt idx="16">
                  <c:v>66.743600000000001</c:v>
                </c:pt>
                <c:pt idx="17">
                  <c:v>66.868700000000004</c:v>
                </c:pt>
                <c:pt idx="18">
                  <c:v>66.328500000000005</c:v>
                </c:pt>
                <c:pt idx="19">
                  <c:v>67.466300000000004</c:v>
                </c:pt>
                <c:pt idx="20">
                  <c:v>65.295299999999997</c:v>
                </c:pt>
                <c:pt idx="21">
                  <c:v>66.009200000000007</c:v>
                </c:pt>
                <c:pt idx="22">
                  <c:v>67.736999999999995</c:v>
                </c:pt>
                <c:pt idx="23">
                  <c:v>64.408699999999996</c:v>
                </c:pt>
                <c:pt idx="24">
                  <c:v>60.7834</c:v>
                </c:pt>
                <c:pt idx="25">
                  <c:v>61.9846</c:v>
                </c:pt>
                <c:pt idx="26">
                  <c:v>61.700800000000001</c:v>
                </c:pt>
                <c:pt idx="27">
                  <c:v>62.0246</c:v>
                </c:pt>
                <c:pt idx="28">
                  <c:v>60.9651</c:v>
                </c:pt>
                <c:pt idx="29">
                  <c:v>63.2042</c:v>
                </c:pt>
                <c:pt idx="30">
                  <c:v>62.937899999999999</c:v>
                </c:pt>
                <c:pt idx="31">
                  <c:v>61.287500000000001</c:v>
                </c:pt>
                <c:pt idx="32">
                  <c:v>64.009</c:v>
                </c:pt>
                <c:pt idx="33">
                  <c:v>62.603299999999997</c:v>
                </c:pt>
                <c:pt idx="34">
                  <c:v>61.128100000000003</c:v>
                </c:pt>
                <c:pt idx="35">
                  <c:v>58.128999999999998</c:v>
                </c:pt>
                <c:pt idx="36">
                  <c:v>55.256100000000004</c:v>
                </c:pt>
                <c:pt idx="37">
                  <c:v>55.200499999999998</c:v>
                </c:pt>
                <c:pt idx="38">
                  <c:v>58.130200000000002</c:v>
                </c:pt>
                <c:pt idx="39">
                  <c:v>58.238500000000002</c:v>
                </c:pt>
                <c:pt idx="40">
                  <c:v>58.391199999999998</c:v>
                </c:pt>
                <c:pt idx="41">
                  <c:v>58.945300000000003</c:v>
                </c:pt>
                <c:pt idx="42">
                  <c:v>60.501600000000003</c:v>
                </c:pt>
                <c:pt idx="43">
                  <c:v>61.9176</c:v>
                </c:pt>
                <c:pt idx="44">
                  <c:v>61.3476</c:v>
                </c:pt>
                <c:pt idx="45">
                  <c:v>61.593400000000003</c:v>
                </c:pt>
                <c:pt idx="46">
                  <c:v>61.6145</c:v>
                </c:pt>
                <c:pt idx="47">
                  <c:v>62.726599999999998</c:v>
                </c:pt>
                <c:pt idx="48">
                  <c:v>61.381799999999998</c:v>
                </c:pt>
                <c:pt idx="49">
                  <c:v>61.267000000000003</c:v>
                </c:pt>
                <c:pt idx="50">
                  <c:v>62.121899999999997</c:v>
                </c:pt>
                <c:pt idx="51">
                  <c:v>60.187399999999997</c:v>
                </c:pt>
                <c:pt idx="52">
                  <c:v>60.930999999999997</c:v>
                </c:pt>
                <c:pt idx="53">
                  <c:v>60.708300000000001</c:v>
                </c:pt>
                <c:pt idx="54">
                  <c:v>59.880200000000002</c:v>
                </c:pt>
                <c:pt idx="55">
                  <c:v>60.182899999999997</c:v>
                </c:pt>
                <c:pt idx="56">
                  <c:v>61.9953</c:v>
                </c:pt>
                <c:pt idx="57">
                  <c:v>59.924100000000003</c:v>
                </c:pt>
                <c:pt idx="58">
                  <c:v>60.480800000000002</c:v>
                </c:pt>
                <c:pt idx="59">
                  <c:v>60.758600000000001</c:v>
                </c:pt>
                <c:pt idx="60">
                  <c:v>60.775500000000001</c:v>
                </c:pt>
                <c:pt idx="61">
                  <c:v>60.181699999999999</c:v>
                </c:pt>
                <c:pt idx="62">
                  <c:v>61.834400000000002</c:v>
                </c:pt>
                <c:pt idx="63">
                  <c:v>60.665799999999997</c:v>
                </c:pt>
                <c:pt idx="64">
                  <c:v>58.837200000000003</c:v>
                </c:pt>
                <c:pt idx="65">
                  <c:v>57.842599999999997</c:v>
                </c:pt>
                <c:pt idx="66">
                  <c:v>57.6616</c:v>
                </c:pt>
                <c:pt idx="67">
                  <c:v>56.5411</c:v>
                </c:pt>
                <c:pt idx="68">
                  <c:v>57.133899999999997</c:v>
                </c:pt>
                <c:pt idx="69">
                  <c:v>57.248399999999997</c:v>
                </c:pt>
                <c:pt idx="70">
                  <c:v>58.3431</c:v>
                </c:pt>
                <c:pt idx="71">
                  <c:v>59.760599999999997</c:v>
                </c:pt>
                <c:pt idx="72">
                  <c:v>58.524500000000003</c:v>
                </c:pt>
                <c:pt idx="73">
                  <c:v>57.702599999999997</c:v>
                </c:pt>
                <c:pt idx="74">
                  <c:v>57.289700000000003</c:v>
                </c:pt>
                <c:pt idx="75">
                  <c:v>57.376300000000001</c:v>
                </c:pt>
                <c:pt idx="76">
                  <c:v>56.826799999999999</c:v>
                </c:pt>
                <c:pt idx="77">
                  <c:v>57.599600000000002</c:v>
                </c:pt>
                <c:pt idx="78">
                  <c:v>55.576599999999999</c:v>
                </c:pt>
                <c:pt idx="79">
                  <c:v>55.607900000000001</c:v>
                </c:pt>
                <c:pt idx="80">
                  <c:v>56.063699999999997</c:v>
                </c:pt>
                <c:pt idx="81">
                  <c:v>55.254199999999997</c:v>
                </c:pt>
                <c:pt idx="82">
                  <c:v>54.618400000000001</c:v>
                </c:pt>
                <c:pt idx="83">
                  <c:v>53.728000000000002</c:v>
                </c:pt>
                <c:pt idx="84">
                  <c:v>51.8444</c:v>
                </c:pt>
                <c:pt idx="85">
                  <c:v>47.890099999999997</c:v>
                </c:pt>
                <c:pt idx="86">
                  <c:v>45.298499999999997</c:v>
                </c:pt>
                <c:pt idx="87">
                  <c:v>49.985500000000002</c:v>
                </c:pt>
                <c:pt idx="88">
                  <c:v>49.5916</c:v>
                </c:pt>
                <c:pt idx="89">
                  <c:v>50.646500000000003</c:v>
                </c:pt>
                <c:pt idx="90">
                  <c:v>50.4193</c:v>
                </c:pt>
                <c:pt idx="91">
                  <c:v>48.331299999999999</c:v>
                </c:pt>
                <c:pt idx="92">
                  <c:v>46.677500000000002</c:v>
                </c:pt>
                <c:pt idx="93">
                  <c:v>45.562899999999999</c:v>
                </c:pt>
                <c:pt idx="94">
                  <c:v>46.216000000000001</c:v>
                </c:pt>
                <c:pt idx="95">
                  <c:v>43.272500000000001</c:v>
                </c:pt>
                <c:pt idx="96">
                  <c:v>43.224800000000002</c:v>
                </c:pt>
                <c:pt idx="97">
                  <c:v>43.626300000000001</c:v>
                </c:pt>
                <c:pt idx="98">
                  <c:v>42.1327</c:v>
                </c:pt>
                <c:pt idx="99">
                  <c:v>43.0563</c:v>
                </c:pt>
                <c:pt idx="100">
                  <c:v>44.934399999999997</c:v>
                </c:pt>
                <c:pt idx="101">
                  <c:v>45.730200000000004</c:v>
                </c:pt>
                <c:pt idx="102">
                  <c:v>44.380400000000002</c:v>
                </c:pt>
                <c:pt idx="103">
                  <c:v>45.072800000000001</c:v>
                </c:pt>
                <c:pt idx="104">
                  <c:v>46.5608</c:v>
                </c:pt>
                <c:pt idx="105">
                  <c:v>43.390500000000003</c:v>
                </c:pt>
                <c:pt idx="106">
                  <c:v>42.433700000000002</c:v>
                </c:pt>
                <c:pt idx="107">
                  <c:v>43.502200000000002</c:v>
                </c:pt>
                <c:pt idx="108">
                  <c:v>44.697400000000002</c:v>
                </c:pt>
                <c:pt idx="109">
                  <c:v>45.643700000000003</c:v>
                </c:pt>
                <c:pt idx="110">
                  <c:v>45.411900000000003</c:v>
                </c:pt>
                <c:pt idx="111">
                  <c:v>47.506500000000003</c:v>
                </c:pt>
                <c:pt idx="112">
                  <c:v>49.295299999999997</c:v>
                </c:pt>
                <c:pt idx="113">
                  <c:v>49.136899999999997</c:v>
                </c:pt>
                <c:pt idx="114">
                  <c:v>48.855200000000004</c:v>
                </c:pt>
                <c:pt idx="115">
                  <c:v>48.4908</c:v>
                </c:pt>
                <c:pt idx="116">
                  <c:v>48.818600000000004</c:v>
                </c:pt>
                <c:pt idx="117">
                  <c:v>47.3812</c:v>
                </c:pt>
                <c:pt idx="118">
                  <c:v>46.309899999999999</c:v>
                </c:pt>
                <c:pt idx="119">
                  <c:v>45.740299999999998</c:v>
                </c:pt>
                <c:pt idx="120">
                  <c:v>44.983499999999999</c:v>
                </c:pt>
                <c:pt idx="121">
                  <c:v>45.819499999999998</c:v>
                </c:pt>
                <c:pt idx="122">
                  <c:v>44.740099999999998</c:v>
                </c:pt>
                <c:pt idx="123">
                  <c:v>44.862699999999997</c:v>
                </c:pt>
                <c:pt idx="124">
                  <c:v>45.952599999999997</c:v>
                </c:pt>
                <c:pt idx="125">
                  <c:v>48.771900000000002</c:v>
                </c:pt>
                <c:pt idx="126">
                  <c:v>50.530900000000003</c:v>
                </c:pt>
                <c:pt idx="127">
                  <c:v>49.9636</c:v>
                </c:pt>
                <c:pt idx="128">
                  <c:v>50.944600000000001</c:v>
                </c:pt>
                <c:pt idx="129">
                  <c:v>49.970500000000001</c:v>
                </c:pt>
                <c:pt idx="130">
                  <c:v>50.365099999999998</c:v>
                </c:pt>
                <c:pt idx="131">
                  <c:v>50.587400000000002</c:v>
                </c:pt>
                <c:pt idx="132">
                  <c:v>51.254899999999999</c:v>
                </c:pt>
                <c:pt idx="133">
                  <c:v>52.151600000000002</c:v>
                </c:pt>
                <c:pt idx="134">
                  <c:v>53.254800000000003</c:v>
                </c:pt>
                <c:pt idx="135">
                  <c:v>54.363599999999998</c:v>
                </c:pt>
                <c:pt idx="136">
                  <c:v>55.231900000000003</c:v>
                </c:pt>
                <c:pt idx="137">
                  <c:v>55.580599999999997</c:v>
                </c:pt>
                <c:pt idx="138">
                  <c:v>55.431699999999999</c:v>
                </c:pt>
                <c:pt idx="139">
                  <c:v>55.435899999999997</c:v>
                </c:pt>
                <c:pt idx="140">
                  <c:v>55.935899999999997</c:v>
                </c:pt>
                <c:pt idx="141">
                  <c:v>58.569899999999997</c:v>
                </c:pt>
                <c:pt idx="142">
                  <c:v>57.853299999999997</c:v>
                </c:pt>
                <c:pt idx="143">
                  <c:v>56.976599999999998</c:v>
                </c:pt>
                <c:pt idx="144">
                  <c:v>55.262500000000003</c:v>
                </c:pt>
                <c:pt idx="145">
                  <c:v>55.637900000000002</c:v>
                </c:pt>
                <c:pt idx="146">
                  <c:v>56.359400000000001</c:v>
                </c:pt>
                <c:pt idx="147">
                  <c:v>55.704900000000002</c:v>
                </c:pt>
                <c:pt idx="148">
                  <c:v>56.329099999999997</c:v>
                </c:pt>
                <c:pt idx="149">
                  <c:v>55.688299999999998</c:v>
                </c:pt>
                <c:pt idx="150">
                  <c:v>56.829300000000003</c:v>
                </c:pt>
                <c:pt idx="151">
                  <c:v>56.6372</c:v>
                </c:pt>
                <c:pt idx="152">
                  <c:v>55.838299999999997</c:v>
                </c:pt>
                <c:pt idx="153">
                  <c:v>55.049100000000003</c:v>
                </c:pt>
                <c:pt idx="154">
                  <c:v>55.503</c:v>
                </c:pt>
                <c:pt idx="155">
                  <c:v>55.648400000000002</c:v>
                </c:pt>
                <c:pt idx="156">
                  <c:v>56.0473</c:v>
                </c:pt>
                <c:pt idx="157">
                  <c:v>57.847799999999999</c:v>
                </c:pt>
                <c:pt idx="158">
                  <c:v>58.035499999999999</c:v>
                </c:pt>
                <c:pt idx="159">
                  <c:v>58.212000000000003</c:v>
                </c:pt>
                <c:pt idx="160">
                  <c:v>55.815300000000001</c:v>
                </c:pt>
                <c:pt idx="161">
                  <c:v>56.524500000000003</c:v>
                </c:pt>
                <c:pt idx="162">
                  <c:v>55.785699999999999</c:v>
                </c:pt>
                <c:pt idx="163">
                  <c:v>56.945500000000003</c:v>
                </c:pt>
                <c:pt idx="164">
                  <c:v>56.835299999999997</c:v>
                </c:pt>
                <c:pt idx="165">
                  <c:v>57.352400000000003</c:v>
                </c:pt>
                <c:pt idx="166">
                  <c:v>56.897799999999997</c:v>
                </c:pt>
                <c:pt idx="167">
                  <c:v>58.119100000000003</c:v>
                </c:pt>
                <c:pt idx="168">
                  <c:v>58.052599999999998</c:v>
                </c:pt>
                <c:pt idx="169">
                  <c:v>58.344499999999996</c:v>
                </c:pt>
                <c:pt idx="170">
                  <c:v>58.058100000000003</c:v>
                </c:pt>
                <c:pt idx="171">
                  <c:v>57.6145</c:v>
                </c:pt>
                <c:pt idx="172">
                  <c:v>57.927399999999999</c:v>
                </c:pt>
                <c:pt idx="173">
                  <c:v>58.347999999999999</c:v>
                </c:pt>
                <c:pt idx="174">
                  <c:v>59.672800000000002</c:v>
                </c:pt>
                <c:pt idx="175">
                  <c:v>60.354999999999997</c:v>
                </c:pt>
                <c:pt idx="176">
                  <c:v>62.114100000000001</c:v>
                </c:pt>
                <c:pt idx="177">
                  <c:v>61.935000000000002</c:v>
                </c:pt>
                <c:pt idx="178">
                  <c:v>61.5032</c:v>
                </c:pt>
                <c:pt idx="179">
                  <c:v>62.628300000000003</c:v>
                </c:pt>
                <c:pt idx="180">
                  <c:v>63.075800000000001</c:v>
                </c:pt>
                <c:pt idx="181">
                  <c:v>62.318600000000004</c:v>
                </c:pt>
                <c:pt idx="182">
                  <c:v>61.651299999999999</c:v>
                </c:pt>
                <c:pt idx="183">
                  <c:v>61.483400000000003</c:v>
                </c:pt>
                <c:pt idx="184">
                  <c:v>62.464500000000001</c:v>
                </c:pt>
                <c:pt idx="185">
                  <c:v>65.158299999999997</c:v>
                </c:pt>
                <c:pt idx="186">
                  <c:v>67.114500000000007</c:v>
                </c:pt>
                <c:pt idx="187">
                  <c:v>70.100800000000007</c:v>
                </c:pt>
                <c:pt idx="188">
                  <c:v>68.700699999999998</c:v>
                </c:pt>
                <c:pt idx="189">
                  <c:v>70.096900000000005</c:v>
                </c:pt>
                <c:pt idx="190">
                  <c:v>71.736599999999996</c:v>
                </c:pt>
                <c:pt idx="191">
                  <c:v>71.573599999999999</c:v>
                </c:pt>
                <c:pt idx="192">
                  <c:v>71.5869</c:v>
                </c:pt>
                <c:pt idx="193">
                  <c:v>70.584800000000001</c:v>
                </c:pt>
                <c:pt idx="194">
                  <c:v>72.077699999999993</c:v>
                </c:pt>
                <c:pt idx="195">
                  <c:v>72.810299999999998</c:v>
                </c:pt>
                <c:pt idx="196">
                  <c:v>70.0227</c:v>
                </c:pt>
                <c:pt idx="197">
                  <c:v>67.5886</c:v>
                </c:pt>
                <c:pt idx="198">
                  <c:v>68.367000000000004</c:v>
                </c:pt>
                <c:pt idx="199">
                  <c:v>68.1875</c:v>
                </c:pt>
                <c:pt idx="200">
                  <c:v>69.9221</c:v>
                </c:pt>
                <c:pt idx="201">
                  <c:v>69.458699999999993</c:v>
                </c:pt>
                <c:pt idx="202">
                  <c:v>71.221900000000005</c:v>
                </c:pt>
                <c:pt idx="203">
                  <c:v>72.226900000000001</c:v>
                </c:pt>
                <c:pt idx="204">
                  <c:v>72.249899999999997</c:v>
                </c:pt>
                <c:pt idx="205">
                  <c:v>73.162000000000006</c:v>
                </c:pt>
                <c:pt idx="206">
                  <c:v>71.171300000000002</c:v>
                </c:pt>
                <c:pt idx="207">
                  <c:v>69.275000000000006</c:v>
                </c:pt>
                <c:pt idx="208">
                  <c:v>69.137200000000007</c:v>
                </c:pt>
                <c:pt idx="209">
                  <c:v>68.7911</c:v>
                </c:pt>
                <c:pt idx="210">
                  <c:v>68.341700000000003</c:v>
                </c:pt>
                <c:pt idx="211">
                  <c:v>70.798299999999998</c:v>
                </c:pt>
                <c:pt idx="212">
                  <c:v>71.377399999999994</c:v>
                </c:pt>
                <c:pt idx="213">
                  <c:v>70.408299999999997</c:v>
                </c:pt>
                <c:pt idx="214">
                  <c:v>70.211799999999997</c:v>
                </c:pt>
                <c:pt idx="215">
                  <c:v>70.081500000000005</c:v>
                </c:pt>
                <c:pt idx="216">
                  <c:v>69.476699999999994</c:v>
                </c:pt>
                <c:pt idx="217">
                  <c:v>69.273700000000005</c:v>
                </c:pt>
                <c:pt idx="218">
                  <c:v>67.685900000000004</c:v>
                </c:pt>
                <c:pt idx="219">
                  <c:v>68.051100000000005</c:v>
                </c:pt>
                <c:pt idx="220">
                  <c:v>69.254099999999994</c:v>
                </c:pt>
                <c:pt idx="221">
                  <c:v>68.506600000000006</c:v>
                </c:pt>
                <c:pt idx="222">
                  <c:v>68.138800000000003</c:v>
                </c:pt>
                <c:pt idx="223">
                  <c:v>68.713499999999996</c:v>
                </c:pt>
                <c:pt idx="224">
                  <c:v>66.989500000000007</c:v>
                </c:pt>
                <c:pt idx="225">
                  <c:v>62.389600000000002</c:v>
                </c:pt>
                <c:pt idx="226">
                  <c:v>61.607700000000001</c:v>
                </c:pt>
                <c:pt idx="227">
                  <c:v>63.2136</c:v>
                </c:pt>
                <c:pt idx="228">
                  <c:v>59.0946</c:v>
                </c:pt>
                <c:pt idx="229">
                  <c:v>59.128999999999998</c:v>
                </c:pt>
                <c:pt idx="230">
                  <c:v>59.9039</c:v>
                </c:pt>
                <c:pt idx="231">
                  <c:v>61.077599999999997</c:v>
                </c:pt>
                <c:pt idx="232">
                  <c:v>58.502499999999998</c:v>
                </c:pt>
                <c:pt idx="233">
                  <c:v>57.461599999999997</c:v>
                </c:pt>
                <c:pt idx="234">
                  <c:v>56.764899999999997</c:v>
                </c:pt>
                <c:pt idx="235">
                  <c:v>57.877499999999998</c:v>
                </c:pt>
                <c:pt idx="236">
                  <c:v>55.324300000000001</c:v>
                </c:pt>
                <c:pt idx="237">
                  <c:v>54.020299999999999</c:v>
                </c:pt>
                <c:pt idx="238">
                  <c:v>54.304000000000002</c:v>
                </c:pt>
                <c:pt idx="239">
                  <c:v>55.8904</c:v>
                </c:pt>
                <c:pt idx="240">
                  <c:v>55.407499999999999</c:v>
                </c:pt>
                <c:pt idx="241">
                  <c:v>54.606999999999999</c:v>
                </c:pt>
                <c:pt idx="242">
                  <c:v>52.752699999999997</c:v>
                </c:pt>
                <c:pt idx="243">
                  <c:v>51.539700000000003</c:v>
                </c:pt>
                <c:pt idx="244">
                  <c:v>52.549700000000001</c:v>
                </c:pt>
                <c:pt idx="245">
                  <c:v>54.596400000000003</c:v>
                </c:pt>
                <c:pt idx="246">
                  <c:v>55.317900000000002</c:v>
                </c:pt>
                <c:pt idx="247">
                  <c:v>55.543700000000001</c:v>
                </c:pt>
                <c:pt idx="248">
                  <c:v>55.122300000000003</c:v>
                </c:pt>
                <c:pt idx="249">
                  <c:v>55.038400000000003</c:v>
                </c:pt>
                <c:pt idx="250">
                  <c:v>56.313899999999997</c:v>
                </c:pt>
                <c:pt idx="251">
                  <c:v>55.172600000000003</c:v>
                </c:pt>
                <c:pt idx="252">
                  <c:v>57.141300000000001</c:v>
                </c:pt>
                <c:pt idx="253">
                  <c:v>58.273400000000002</c:v>
                </c:pt>
                <c:pt idx="254">
                  <c:v>58.0276</c:v>
                </c:pt>
                <c:pt idx="255">
                  <c:v>57.939</c:v>
                </c:pt>
                <c:pt idx="256">
                  <c:v>57.538800000000002</c:v>
                </c:pt>
                <c:pt idx="257">
                  <c:v>53.900700000000001</c:v>
                </c:pt>
                <c:pt idx="258">
                  <c:v>52.929900000000004</c:v>
                </c:pt>
                <c:pt idx="259">
                  <c:v>53.4709</c:v>
                </c:pt>
                <c:pt idx="260">
                  <c:v>54.191400000000002</c:v>
                </c:pt>
                <c:pt idx="261">
                  <c:v>55.315199999999997</c:v>
                </c:pt>
                <c:pt idx="262">
                  <c:v>53.495600000000003</c:v>
                </c:pt>
                <c:pt idx="263">
                  <c:v>54.256500000000003</c:v>
                </c:pt>
                <c:pt idx="264">
                  <c:v>53.444699999999997</c:v>
                </c:pt>
                <c:pt idx="265">
                  <c:v>52.958599999999997</c:v>
                </c:pt>
                <c:pt idx="266">
                  <c:v>52.767000000000003</c:v>
                </c:pt>
                <c:pt idx="267">
                  <c:v>56.365299999999998</c:v>
                </c:pt>
                <c:pt idx="268">
                  <c:v>57.213799999999999</c:v>
                </c:pt>
                <c:pt idx="269">
                  <c:v>57.354500000000002</c:v>
                </c:pt>
                <c:pt idx="270">
                  <c:v>55.209499999999998</c:v>
                </c:pt>
                <c:pt idx="271">
                  <c:v>54.368000000000002</c:v>
                </c:pt>
                <c:pt idx="272">
                  <c:v>55.373699999999999</c:v>
                </c:pt>
                <c:pt idx="273">
                  <c:v>55.597999999999999</c:v>
                </c:pt>
                <c:pt idx="274">
                  <c:v>53.518799999999999</c:v>
                </c:pt>
                <c:pt idx="275">
                  <c:v>53.7074</c:v>
                </c:pt>
                <c:pt idx="276">
                  <c:v>54.078000000000003</c:v>
                </c:pt>
                <c:pt idx="277">
                  <c:v>53.502699999999997</c:v>
                </c:pt>
                <c:pt idx="278">
                  <c:v>54.561599999999999</c:v>
                </c:pt>
                <c:pt idx="279">
                  <c:v>53.556899999999999</c:v>
                </c:pt>
                <c:pt idx="280">
                  <c:v>54.7637</c:v>
                </c:pt>
                <c:pt idx="281">
                  <c:v>53.528500000000001</c:v>
                </c:pt>
                <c:pt idx="282">
                  <c:v>52.103700000000003</c:v>
                </c:pt>
                <c:pt idx="283">
                  <c:v>52.244799999999998</c:v>
                </c:pt>
                <c:pt idx="284">
                  <c:v>52.081499999999998</c:v>
                </c:pt>
                <c:pt idx="285">
                  <c:v>52.197699999999998</c:v>
                </c:pt>
                <c:pt idx="286">
                  <c:v>47.598500000000001</c:v>
                </c:pt>
                <c:pt idx="287">
                  <c:v>44.292999999999999</c:v>
                </c:pt>
                <c:pt idx="288">
                  <c:v>42.912199999999999</c:v>
                </c:pt>
                <c:pt idx="289">
                  <c:v>46.070300000000003</c:v>
                </c:pt>
                <c:pt idx="290">
                  <c:v>45.044699999999999</c:v>
                </c:pt>
                <c:pt idx="291">
                  <c:v>41.555700000000002</c:v>
                </c:pt>
                <c:pt idx="292">
                  <c:v>40.799100000000003</c:v>
                </c:pt>
                <c:pt idx="293">
                  <c:v>43.932600000000001</c:v>
                </c:pt>
                <c:pt idx="294">
                  <c:v>43.773600000000002</c:v>
                </c:pt>
                <c:pt idx="295">
                  <c:v>42.883200000000002</c:v>
                </c:pt>
                <c:pt idx="296">
                  <c:v>44.209099999999999</c:v>
                </c:pt>
                <c:pt idx="297">
                  <c:v>44.677300000000002</c:v>
                </c:pt>
                <c:pt idx="298">
                  <c:v>45.475900000000003</c:v>
                </c:pt>
                <c:pt idx="299">
                  <c:v>46.017899999999997</c:v>
                </c:pt>
                <c:pt idx="300">
                  <c:v>46.688499999999998</c:v>
                </c:pt>
                <c:pt idx="301">
                  <c:v>47.601999999999997</c:v>
                </c:pt>
                <c:pt idx="302">
                  <c:v>45.7607</c:v>
                </c:pt>
                <c:pt idx="303">
                  <c:v>45.9009</c:v>
                </c:pt>
                <c:pt idx="304">
                  <c:v>46.083300000000001</c:v>
                </c:pt>
                <c:pt idx="305">
                  <c:v>45.710999999999999</c:v>
                </c:pt>
                <c:pt idx="306">
                  <c:v>45.7303</c:v>
                </c:pt>
                <c:pt idx="307">
                  <c:v>45.246600000000001</c:v>
                </c:pt>
                <c:pt idx="308">
                  <c:v>43.941000000000003</c:v>
                </c:pt>
                <c:pt idx="309">
                  <c:v>43.387999999999998</c:v>
                </c:pt>
                <c:pt idx="310">
                  <c:v>43.552100000000003</c:v>
                </c:pt>
                <c:pt idx="311">
                  <c:v>43.287100000000002</c:v>
                </c:pt>
                <c:pt idx="312">
                  <c:v>44.091000000000001</c:v>
                </c:pt>
                <c:pt idx="313">
                  <c:v>43.4238</c:v>
                </c:pt>
                <c:pt idx="314">
                  <c:v>44.563800000000001</c:v>
                </c:pt>
                <c:pt idx="315">
                  <c:v>45.594000000000001</c:v>
                </c:pt>
                <c:pt idx="316">
                  <c:v>45.359499999999997</c:v>
                </c:pt>
                <c:pt idx="317">
                  <c:v>45.5565</c:v>
                </c:pt>
                <c:pt idx="318">
                  <c:v>45.946599999999997</c:v>
                </c:pt>
                <c:pt idx="319">
                  <c:v>44.473100000000002</c:v>
                </c:pt>
                <c:pt idx="320">
                  <c:v>45.049599999999998</c:v>
                </c:pt>
                <c:pt idx="321">
                  <c:v>45.9666</c:v>
                </c:pt>
                <c:pt idx="322">
                  <c:v>45.512700000000002</c:v>
                </c:pt>
                <c:pt idx="323">
                  <c:v>44.735300000000002</c:v>
                </c:pt>
                <c:pt idx="324">
                  <c:v>42.838700000000003</c:v>
                </c:pt>
                <c:pt idx="325">
                  <c:v>43.391199999999998</c:v>
                </c:pt>
                <c:pt idx="326">
                  <c:v>43.626800000000003</c:v>
                </c:pt>
                <c:pt idx="327">
                  <c:v>43.872900000000001</c:v>
                </c:pt>
                <c:pt idx="328">
                  <c:v>44.487099999999998</c:v>
                </c:pt>
                <c:pt idx="329">
                  <c:v>44.061999999999998</c:v>
                </c:pt>
                <c:pt idx="330">
                  <c:v>43.233400000000003</c:v>
                </c:pt>
                <c:pt idx="331">
                  <c:v>43.404400000000003</c:v>
                </c:pt>
                <c:pt idx="332">
                  <c:v>42.787700000000001</c:v>
                </c:pt>
                <c:pt idx="333">
                  <c:v>42.754800000000003</c:v>
                </c:pt>
                <c:pt idx="334">
                  <c:v>43.504399999999997</c:v>
                </c:pt>
                <c:pt idx="335">
                  <c:v>44.9497</c:v>
                </c:pt>
                <c:pt idx="336">
                  <c:v>45.777099999999997</c:v>
                </c:pt>
                <c:pt idx="337">
                  <c:v>45.777900000000002</c:v>
                </c:pt>
                <c:pt idx="338">
                  <c:v>45.194699999999997</c:v>
                </c:pt>
                <c:pt idx="339">
                  <c:v>43.9617</c:v>
                </c:pt>
                <c:pt idx="340">
                  <c:v>42.9739</c:v>
                </c:pt>
                <c:pt idx="341">
                  <c:v>43.139400000000002</c:v>
                </c:pt>
                <c:pt idx="342">
                  <c:v>42.396099999999997</c:v>
                </c:pt>
                <c:pt idx="343">
                  <c:v>41.694099999999999</c:v>
                </c:pt>
                <c:pt idx="344">
                  <c:v>43.202300000000001</c:v>
                </c:pt>
                <c:pt idx="345">
                  <c:v>41.007599999999996</c:v>
                </c:pt>
                <c:pt idx="346">
                  <c:v>42.114199999999997</c:v>
                </c:pt>
                <c:pt idx="347">
                  <c:v>40.756100000000004</c:v>
                </c:pt>
                <c:pt idx="348">
                  <c:v>40.147199999999998</c:v>
                </c:pt>
                <c:pt idx="349">
                  <c:v>40.1265</c:v>
                </c:pt>
                <c:pt idx="350">
                  <c:v>39.582799999999999</c:v>
                </c:pt>
                <c:pt idx="351">
                  <c:v>39.471400000000003</c:v>
                </c:pt>
                <c:pt idx="352">
                  <c:v>38.096499999999999</c:v>
                </c:pt>
                <c:pt idx="353">
                  <c:v>38.972200000000001</c:v>
                </c:pt>
                <c:pt idx="354">
                  <c:v>39.285600000000002</c:v>
                </c:pt>
                <c:pt idx="355">
                  <c:v>39.144799999999996</c:v>
                </c:pt>
                <c:pt idx="356">
                  <c:v>39.174799999999998</c:v>
                </c:pt>
                <c:pt idx="357">
                  <c:v>39.436999999999998</c:v>
                </c:pt>
                <c:pt idx="358">
                  <c:v>39.894300000000001</c:v>
                </c:pt>
                <c:pt idx="359">
                  <c:v>39.601900000000001</c:v>
                </c:pt>
                <c:pt idx="360">
                  <c:v>39.104399999999998</c:v>
                </c:pt>
                <c:pt idx="361">
                  <c:v>39.599499999999999</c:v>
                </c:pt>
                <c:pt idx="362">
                  <c:v>40.1111</c:v>
                </c:pt>
                <c:pt idx="363">
                  <c:v>39.023099999999999</c:v>
                </c:pt>
                <c:pt idx="364">
                  <c:v>38.163600000000002</c:v>
                </c:pt>
                <c:pt idx="365">
                  <c:v>37.516800000000003</c:v>
                </c:pt>
                <c:pt idx="366">
                  <c:v>37.720100000000002</c:v>
                </c:pt>
                <c:pt idx="367">
                  <c:v>38.111400000000003</c:v>
                </c:pt>
                <c:pt idx="368">
                  <c:v>38.178100000000001</c:v>
                </c:pt>
                <c:pt idx="369">
                  <c:v>37.460099999999997</c:v>
                </c:pt>
                <c:pt idx="370">
                  <c:v>38.686700000000002</c:v>
                </c:pt>
                <c:pt idx="371">
                  <c:v>39.409500000000001</c:v>
                </c:pt>
                <c:pt idx="372">
                  <c:v>39.6111</c:v>
                </c:pt>
                <c:pt idx="373">
                  <c:v>39.418999999999997</c:v>
                </c:pt>
                <c:pt idx="374">
                  <c:v>38.655299999999997</c:v>
                </c:pt>
                <c:pt idx="375">
                  <c:v>39.537199999999999</c:v>
                </c:pt>
                <c:pt idx="376">
                  <c:v>40.137300000000003</c:v>
                </c:pt>
                <c:pt idx="377">
                  <c:v>38.687899999999999</c:v>
                </c:pt>
                <c:pt idx="378">
                  <c:v>37.909100000000002</c:v>
                </c:pt>
                <c:pt idx="379">
                  <c:v>37.482599999999998</c:v>
                </c:pt>
                <c:pt idx="380">
                  <c:v>37.349499999999999</c:v>
                </c:pt>
                <c:pt idx="381">
                  <c:v>37.198399999999999</c:v>
                </c:pt>
                <c:pt idx="382">
                  <c:v>36.209600000000002</c:v>
                </c:pt>
                <c:pt idx="383">
                  <c:v>35.771799999999999</c:v>
                </c:pt>
                <c:pt idx="384">
                  <c:v>35.434699999999999</c:v>
                </c:pt>
                <c:pt idx="385">
                  <c:v>34.685600000000001</c:v>
                </c:pt>
                <c:pt idx="386">
                  <c:v>33.336399999999998</c:v>
                </c:pt>
                <c:pt idx="387">
                  <c:v>32.607100000000003</c:v>
                </c:pt>
                <c:pt idx="388">
                  <c:v>32.3232</c:v>
                </c:pt>
                <c:pt idx="389">
                  <c:v>31.585100000000001</c:v>
                </c:pt>
                <c:pt idx="390">
                  <c:v>31.344200000000001</c:v>
                </c:pt>
                <c:pt idx="391">
                  <c:v>30.9831</c:v>
                </c:pt>
                <c:pt idx="392">
                  <c:v>30.8432</c:v>
                </c:pt>
                <c:pt idx="393">
                  <c:v>31.184899999999999</c:v>
                </c:pt>
                <c:pt idx="394">
                  <c:v>31.5547</c:v>
                </c:pt>
                <c:pt idx="395">
                  <c:v>31.383299999999998</c:v>
                </c:pt>
                <c:pt idx="396">
                  <c:v>30.903500000000001</c:v>
                </c:pt>
                <c:pt idx="397">
                  <c:v>30.290400000000002</c:v>
                </c:pt>
                <c:pt idx="398">
                  <c:v>29.166</c:v>
                </c:pt>
                <c:pt idx="399">
                  <c:v>28.839500000000001</c:v>
                </c:pt>
                <c:pt idx="400">
                  <c:v>26.5717</c:v>
                </c:pt>
                <c:pt idx="401">
                  <c:v>23.319800000000001</c:v>
                </c:pt>
                <c:pt idx="402">
                  <c:v>22.955400000000001</c:v>
                </c:pt>
                <c:pt idx="403">
                  <c:v>21.736599999999999</c:v>
                </c:pt>
                <c:pt idx="404">
                  <c:v>22.2209</c:v>
                </c:pt>
                <c:pt idx="405">
                  <c:v>22.203099999999999</c:v>
                </c:pt>
                <c:pt idx="406">
                  <c:v>22.0381</c:v>
                </c:pt>
                <c:pt idx="407">
                  <c:v>21.5091</c:v>
                </c:pt>
                <c:pt idx="408">
                  <c:v>21.527200000000001</c:v>
                </c:pt>
                <c:pt idx="409">
                  <c:v>20.265799999999999</c:v>
                </c:pt>
                <c:pt idx="410">
                  <c:v>19.693899999999999</c:v>
                </c:pt>
                <c:pt idx="411">
                  <c:v>19.6068</c:v>
                </c:pt>
                <c:pt idx="412">
                  <c:v>19.573399999999999</c:v>
                </c:pt>
                <c:pt idx="413">
                  <c:v>20.924900000000001</c:v>
                </c:pt>
                <c:pt idx="414">
                  <c:v>20.541599999999999</c:v>
                </c:pt>
                <c:pt idx="415">
                  <c:v>20.555599999999998</c:v>
                </c:pt>
                <c:pt idx="416">
                  <c:v>20.689599999999999</c:v>
                </c:pt>
                <c:pt idx="417">
                  <c:v>20.464300000000001</c:v>
                </c:pt>
                <c:pt idx="418">
                  <c:v>20.421700000000001</c:v>
                </c:pt>
                <c:pt idx="419">
                  <c:v>20.648900000000001</c:v>
                </c:pt>
                <c:pt idx="420">
                  <c:v>20.501100000000001</c:v>
                </c:pt>
                <c:pt idx="421">
                  <c:v>19.8856</c:v>
                </c:pt>
                <c:pt idx="422">
                  <c:v>21.446400000000001</c:v>
                </c:pt>
                <c:pt idx="423">
                  <c:v>21.673300000000001</c:v>
                </c:pt>
                <c:pt idx="424">
                  <c:v>21.703399999999998</c:v>
                </c:pt>
                <c:pt idx="425">
                  <c:v>22.8993</c:v>
                </c:pt>
                <c:pt idx="426">
                  <c:v>23.3032</c:v>
                </c:pt>
                <c:pt idx="427">
                  <c:v>23.122800000000002</c:v>
                </c:pt>
                <c:pt idx="428">
                  <c:v>23.6479</c:v>
                </c:pt>
                <c:pt idx="429">
                  <c:v>23.399699999999999</c:v>
                </c:pt>
                <c:pt idx="430">
                  <c:v>24.019500000000001</c:v>
                </c:pt>
                <c:pt idx="431">
                  <c:v>23.808</c:v>
                </c:pt>
                <c:pt idx="432">
                  <c:v>24.104500000000002</c:v>
                </c:pt>
                <c:pt idx="433">
                  <c:v>23.3659</c:v>
                </c:pt>
                <c:pt idx="434">
                  <c:v>23.441700000000001</c:v>
                </c:pt>
                <c:pt idx="435">
                  <c:v>24.119299999999999</c:v>
                </c:pt>
                <c:pt idx="436">
                  <c:v>23.3856</c:v>
                </c:pt>
                <c:pt idx="437">
                  <c:v>24.707100000000001</c:v>
                </c:pt>
                <c:pt idx="438">
                  <c:v>24.844100000000001</c:v>
                </c:pt>
                <c:pt idx="439">
                  <c:v>24.542000000000002</c:v>
                </c:pt>
                <c:pt idx="440">
                  <c:v>24.131</c:v>
                </c:pt>
                <c:pt idx="441">
                  <c:v>23.250599999999999</c:v>
                </c:pt>
                <c:pt idx="442">
                  <c:v>23.101600000000001</c:v>
                </c:pt>
                <c:pt idx="443">
                  <c:v>22.785299999999999</c:v>
                </c:pt>
                <c:pt idx="444">
                  <c:v>23.541399999999999</c:v>
                </c:pt>
                <c:pt idx="445">
                  <c:v>22.787700000000001</c:v>
                </c:pt>
                <c:pt idx="446">
                  <c:v>23.384599999999999</c:v>
                </c:pt>
                <c:pt idx="447">
                  <c:v>23.111000000000001</c:v>
                </c:pt>
                <c:pt idx="448">
                  <c:v>23.3933</c:v>
                </c:pt>
                <c:pt idx="449">
                  <c:v>22.972899999999999</c:v>
                </c:pt>
                <c:pt idx="450">
                  <c:v>22.8002</c:v>
                </c:pt>
                <c:pt idx="451">
                  <c:v>22.561299999999999</c:v>
                </c:pt>
                <c:pt idx="452">
                  <c:v>22.323499999999999</c:v>
                </c:pt>
                <c:pt idx="453">
                  <c:v>22.3916</c:v>
                </c:pt>
                <c:pt idx="454">
                  <c:v>22.623799999999999</c:v>
                </c:pt>
                <c:pt idx="455">
                  <c:v>22.553799999999999</c:v>
                </c:pt>
                <c:pt idx="456">
                  <c:v>22.4894</c:v>
                </c:pt>
                <c:pt idx="457">
                  <c:v>22.102799999999998</c:v>
                </c:pt>
                <c:pt idx="458">
                  <c:v>22.833300000000001</c:v>
                </c:pt>
                <c:pt idx="459">
                  <c:v>23.3401</c:v>
                </c:pt>
                <c:pt idx="460">
                  <c:v>22.9663</c:v>
                </c:pt>
                <c:pt idx="461">
                  <c:v>22.175799999999999</c:v>
                </c:pt>
                <c:pt idx="462">
                  <c:v>21.73</c:v>
                </c:pt>
                <c:pt idx="463">
                  <c:v>21.6205</c:v>
                </c:pt>
                <c:pt idx="464">
                  <c:v>21.8123</c:v>
                </c:pt>
                <c:pt idx="465">
                  <c:v>21.2621</c:v>
                </c:pt>
                <c:pt idx="466">
                  <c:v>21.010200000000001</c:v>
                </c:pt>
                <c:pt idx="467">
                  <c:v>21.1829</c:v>
                </c:pt>
                <c:pt idx="468">
                  <c:v>20.765799999999999</c:v>
                </c:pt>
                <c:pt idx="469">
                  <c:v>20.6173</c:v>
                </c:pt>
                <c:pt idx="470">
                  <c:v>21.5776</c:v>
                </c:pt>
                <c:pt idx="471">
                  <c:v>22.0077</c:v>
                </c:pt>
                <c:pt idx="472">
                  <c:v>22.0503</c:v>
                </c:pt>
                <c:pt idx="473">
                  <c:v>22.538599999999999</c:v>
                </c:pt>
                <c:pt idx="474">
                  <c:v>21.837700000000002</c:v>
                </c:pt>
                <c:pt idx="475">
                  <c:v>21.1859</c:v>
                </c:pt>
                <c:pt idx="476">
                  <c:v>20.528600000000001</c:v>
                </c:pt>
                <c:pt idx="477">
                  <c:v>20.349299999999999</c:v>
                </c:pt>
                <c:pt idx="478">
                  <c:v>19.839200000000002</c:v>
                </c:pt>
                <c:pt idx="479">
                  <c:v>19.8111</c:v>
                </c:pt>
                <c:pt idx="480">
                  <c:v>19.546800000000001</c:v>
                </c:pt>
                <c:pt idx="481">
                  <c:v>19.850300000000001</c:v>
                </c:pt>
                <c:pt idx="482">
                  <c:v>20.241700000000002</c:v>
                </c:pt>
                <c:pt idx="483">
                  <c:v>20.008099999999999</c:v>
                </c:pt>
                <c:pt idx="484">
                  <c:v>20.39</c:v>
                </c:pt>
                <c:pt idx="485">
                  <c:v>20.074300000000001</c:v>
                </c:pt>
                <c:pt idx="486">
                  <c:v>19.997199999999999</c:v>
                </c:pt>
                <c:pt idx="487">
                  <c:v>19.8034</c:v>
                </c:pt>
                <c:pt idx="488">
                  <c:v>19.654800000000002</c:v>
                </c:pt>
                <c:pt idx="489">
                  <c:v>19.782699999999998</c:v>
                </c:pt>
                <c:pt idx="490">
                  <c:v>19.7303</c:v>
                </c:pt>
                <c:pt idx="491">
                  <c:v>19.430499999999999</c:v>
                </c:pt>
                <c:pt idx="492">
                  <c:v>19.967700000000001</c:v>
                </c:pt>
                <c:pt idx="493">
                  <c:v>20.234200000000001</c:v>
                </c:pt>
                <c:pt idx="494">
                  <c:v>19.808700000000002</c:v>
                </c:pt>
                <c:pt idx="495">
                  <c:v>19.909700000000001</c:v>
                </c:pt>
                <c:pt idx="496">
                  <c:v>19.783300000000001</c:v>
                </c:pt>
                <c:pt idx="497">
                  <c:v>19.8139</c:v>
                </c:pt>
                <c:pt idx="498">
                  <c:v>19.823599999999999</c:v>
                </c:pt>
                <c:pt idx="499">
                  <c:v>19.750399999999999</c:v>
                </c:pt>
                <c:pt idx="500">
                  <c:v>19.707699999999999</c:v>
                </c:pt>
                <c:pt idx="501">
                  <c:v>19.596699999999998</c:v>
                </c:pt>
                <c:pt idx="502">
                  <c:v>19.208600000000001</c:v>
                </c:pt>
                <c:pt idx="503">
                  <c:v>19.795000000000002</c:v>
                </c:pt>
                <c:pt idx="504">
                  <c:v>19.27</c:v>
                </c:pt>
                <c:pt idx="505">
                  <c:v>18.761800000000001</c:v>
                </c:pt>
                <c:pt idx="506">
                  <c:v>18.344899999999999</c:v>
                </c:pt>
                <c:pt idx="507">
                  <c:v>17.9039</c:v>
                </c:pt>
                <c:pt idx="508">
                  <c:v>18.021899999999999</c:v>
                </c:pt>
                <c:pt idx="509">
                  <c:v>18.198699999999999</c:v>
                </c:pt>
                <c:pt idx="510">
                  <c:v>18.784500000000001</c:v>
                </c:pt>
                <c:pt idx="511">
                  <c:v>18.454000000000001</c:v>
                </c:pt>
                <c:pt idx="512">
                  <c:v>18.813500000000001</c:v>
                </c:pt>
                <c:pt idx="513">
                  <c:v>19.311699999999998</c:v>
                </c:pt>
                <c:pt idx="514">
                  <c:v>19.388100000000001</c:v>
                </c:pt>
                <c:pt idx="515">
                  <c:v>19.501799999999999</c:v>
                </c:pt>
                <c:pt idx="516">
                  <c:v>19.975200000000001</c:v>
                </c:pt>
                <c:pt idx="517">
                  <c:v>19.7758</c:v>
                </c:pt>
                <c:pt idx="518">
                  <c:v>19.243300000000001</c:v>
                </c:pt>
                <c:pt idx="519">
                  <c:v>20.144200000000001</c:v>
                </c:pt>
                <c:pt idx="520">
                  <c:v>20.300699999999999</c:v>
                </c:pt>
                <c:pt idx="521">
                  <c:v>20.889500000000002</c:v>
                </c:pt>
                <c:pt idx="522">
                  <c:v>20.4773</c:v>
                </c:pt>
                <c:pt idx="523">
                  <c:v>21.811299999999999</c:v>
                </c:pt>
                <c:pt idx="524">
                  <c:v>23.164100000000001</c:v>
                </c:pt>
                <c:pt idx="525">
                  <c:v>23.9209</c:v>
                </c:pt>
                <c:pt idx="526">
                  <c:v>24.907900000000001</c:v>
                </c:pt>
                <c:pt idx="527">
                  <c:v>24.2425</c:v>
                </c:pt>
                <c:pt idx="528">
                  <c:v>24.802900000000001</c:v>
                </c:pt>
                <c:pt idx="529">
                  <c:v>23.632300000000001</c:v>
                </c:pt>
                <c:pt idx="530">
                  <c:v>23.658899999999999</c:v>
                </c:pt>
                <c:pt idx="531">
                  <c:v>24.366700000000002</c:v>
                </c:pt>
                <c:pt idx="532">
                  <c:v>23.906600000000001</c:v>
                </c:pt>
                <c:pt idx="533">
                  <c:v>24.111799999999999</c:v>
                </c:pt>
                <c:pt idx="534">
                  <c:v>23.987300000000001</c:v>
                </c:pt>
                <c:pt idx="535">
                  <c:v>24.585100000000001</c:v>
                </c:pt>
                <c:pt idx="536">
                  <c:v>25.427900000000001</c:v>
                </c:pt>
                <c:pt idx="537">
                  <c:v>24.349</c:v>
                </c:pt>
                <c:pt idx="538">
                  <c:v>23.4649</c:v>
                </c:pt>
                <c:pt idx="539">
                  <c:v>23.6005</c:v>
                </c:pt>
                <c:pt idx="540">
                  <c:v>22.247499999999999</c:v>
                </c:pt>
                <c:pt idx="541">
                  <c:v>22.5642</c:v>
                </c:pt>
                <c:pt idx="542">
                  <c:v>24.035900000000002</c:v>
                </c:pt>
                <c:pt idx="543">
                  <c:v>23.6372</c:v>
                </c:pt>
                <c:pt idx="544">
                  <c:v>23.6721</c:v>
                </c:pt>
                <c:pt idx="545">
                  <c:v>22.921800000000001</c:v>
                </c:pt>
                <c:pt idx="546">
                  <c:v>23.2163</c:v>
                </c:pt>
                <c:pt idx="547">
                  <c:v>22.962599999999998</c:v>
                </c:pt>
                <c:pt idx="548">
                  <c:v>22.729299999999999</c:v>
                </c:pt>
                <c:pt idx="549">
                  <c:v>22.454799999999999</c:v>
                </c:pt>
                <c:pt idx="550">
                  <c:v>22.118400000000001</c:v>
                </c:pt>
                <c:pt idx="551">
                  <c:v>22.0838</c:v>
                </c:pt>
                <c:pt idx="552">
                  <c:v>23.4224</c:v>
                </c:pt>
                <c:pt idx="553">
                  <c:v>23.478100000000001</c:v>
                </c:pt>
                <c:pt idx="554">
                  <c:v>24.112500000000001</c:v>
                </c:pt>
                <c:pt idx="555">
                  <c:v>23.792100000000001</c:v>
                </c:pt>
                <c:pt idx="556">
                  <c:v>23.59</c:v>
                </c:pt>
                <c:pt idx="557">
                  <c:v>23.681899999999999</c:v>
                </c:pt>
                <c:pt idx="558">
                  <c:v>24.170500000000001</c:v>
                </c:pt>
                <c:pt idx="559">
                  <c:v>23.230799999999999</c:v>
                </c:pt>
                <c:pt idx="560">
                  <c:v>23.461500000000001</c:v>
                </c:pt>
                <c:pt idx="561">
                  <c:v>23.746600000000001</c:v>
                </c:pt>
                <c:pt idx="562">
                  <c:v>23.637799999999999</c:v>
                </c:pt>
                <c:pt idx="563">
                  <c:v>23.544699999999999</c:v>
                </c:pt>
                <c:pt idx="564">
                  <c:v>23.6159</c:v>
                </c:pt>
                <c:pt idx="565">
                  <c:v>24.008900000000001</c:v>
                </c:pt>
                <c:pt idx="566">
                  <c:v>24.6327</c:v>
                </c:pt>
                <c:pt idx="567">
                  <c:v>24.956</c:v>
                </c:pt>
                <c:pt idx="568">
                  <c:v>24.557400000000001</c:v>
                </c:pt>
                <c:pt idx="569">
                  <c:v>24.2454</c:v>
                </c:pt>
                <c:pt idx="570">
                  <c:v>23.6663</c:v>
                </c:pt>
                <c:pt idx="571">
                  <c:v>23.835999999999999</c:v>
                </c:pt>
                <c:pt idx="572">
                  <c:v>24.514700000000001</c:v>
                </c:pt>
                <c:pt idx="573">
                  <c:v>25.917899999999999</c:v>
                </c:pt>
                <c:pt idx="574">
                  <c:v>25.755099999999999</c:v>
                </c:pt>
                <c:pt idx="575">
                  <c:v>25.457899999999999</c:v>
                </c:pt>
                <c:pt idx="576">
                  <c:v>25.2087</c:v>
                </c:pt>
                <c:pt idx="577">
                  <c:v>24.742000000000001</c:v>
                </c:pt>
                <c:pt idx="578">
                  <c:v>24.819099999999999</c:v>
                </c:pt>
                <c:pt idx="579">
                  <c:v>24.997900000000001</c:v>
                </c:pt>
                <c:pt idx="580">
                  <c:v>24.124700000000001</c:v>
                </c:pt>
                <c:pt idx="581">
                  <c:v>24.53</c:v>
                </c:pt>
                <c:pt idx="582">
                  <c:v>25.053899999999999</c:v>
                </c:pt>
                <c:pt idx="583">
                  <c:v>24.777899999999999</c:v>
                </c:pt>
                <c:pt idx="584">
                  <c:v>24.8643</c:v>
                </c:pt>
                <c:pt idx="585">
                  <c:v>24.932300000000001</c:v>
                </c:pt>
                <c:pt idx="586">
                  <c:v>24.345500000000001</c:v>
                </c:pt>
                <c:pt idx="587">
                  <c:v>24.8325</c:v>
                </c:pt>
                <c:pt idx="588">
                  <c:v>25.122699999999998</c:v>
                </c:pt>
                <c:pt idx="589">
                  <c:v>25.679500000000001</c:v>
                </c:pt>
                <c:pt idx="590">
                  <c:v>26.539899999999999</c:v>
                </c:pt>
                <c:pt idx="591">
                  <c:v>25.781500000000001</c:v>
                </c:pt>
                <c:pt idx="592">
                  <c:v>25.993099999999998</c:v>
                </c:pt>
                <c:pt idx="593">
                  <c:v>26.583100000000002</c:v>
                </c:pt>
                <c:pt idx="594">
                  <c:v>26.983899999999998</c:v>
                </c:pt>
                <c:pt idx="595">
                  <c:v>26.200800000000001</c:v>
                </c:pt>
                <c:pt idx="596">
                  <c:v>26.564699999999998</c:v>
                </c:pt>
                <c:pt idx="597">
                  <c:v>25.5457</c:v>
                </c:pt>
                <c:pt idx="598">
                  <c:v>24.910799999999998</c:v>
                </c:pt>
                <c:pt idx="599">
                  <c:v>25.539000000000001</c:v>
                </c:pt>
                <c:pt idx="600">
                  <c:v>25.9603</c:v>
                </c:pt>
                <c:pt idx="601">
                  <c:v>25.5809</c:v>
                </c:pt>
                <c:pt idx="602">
                  <c:v>24.412400000000002</c:v>
                </c:pt>
                <c:pt idx="603">
                  <c:v>23.625800000000002</c:v>
                </c:pt>
                <c:pt idx="604">
                  <c:v>24.354900000000001</c:v>
                </c:pt>
                <c:pt idx="605">
                  <c:v>23.824000000000002</c:v>
                </c:pt>
                <c:pt idx="606">
                  <c:v>23.5137</c:v>
                </c:pt>
                <c:pt idx="607">
                  <c:v>23.187100000000001</c:v>
                </c:pt>
                <c:pt idx="608">
                  <c:v>23.552099999999999</c:v>
                </c:pt>
                <c:pt idx="609">
                  <c:v>23.691500000000001</c:v>
                </c:pt>
                <c:pt idx="610">
                  <c:v>24.235499999999998</c:v>
                </c:pt>
                <c:pt idx="611">
                  <c:v>25.0853</c:v>
                </c:pt>
                <c:pt idx="612">
                  <c:v>25.438500000000001</c:v>
                </c:pt>
                <c:pt idx="613">
                  <c:v>25.6035</c:v>
                </c:pt>
                <c:pt idx="614">
                  <c:v>25.221499999999999</c:v>
                </c:pt>
                <c:pt idx="615">
                  <c:v>25.297999999999998</c:v>
                </c:pt>
                <c:pt idx="616">
                  <c:v>25.826499999999999</c:v>
                </c:pt>
                <c:pt idx="617">
                  <c:v>25.396999999999998</c:v>
                </c:pt>
                <c:pt idx="618">
                  <c:v>26.019600000000001</c:v>
                </c:pt>
                <c:pt idx="619">
                  <c:v>26.616700000000002</c:v>
                </c:pt>
                <c:pt idx="620">
                  <c:v>26.806100000000001</c:v>
                </c:pt>
                <c:pt idx="621">
                  <c:v>29.1998</c:v>
                </c:pt>
                <c:pt idx="622">
                  <c:v>29.0166</c:v>
                </c:pt>
                <c:pt idx="623">
                  <c:v>27.536899999999999</c:v>
                </c:pt>
                <c:pt idx="624">
                  <c:v>28.528600000000001</c:v>
                </c:pt>
                <c:pt idx="625">
                  <c:v>29.966100000000001</c:v>
                </c:pt>
                <c:pt idx="626">
                  <c:v>30.8063</c:v>
                </c:pt>
                <c:pt idx="627">
                  <c:v>29.363099999999999</c:v>
                </c:pt>
                <c:pt idx="628">
                  <c:v>30.1265</c:v>
                </c:pt>
                <c:pt idx="629">
                  <c:v>29.407800000000002</c:v>
                </c:pt>
                <c:pt idx="630">
                  <c:v>29.2471</c:v>
                </c:pt>
                <c:pt idx="631">
                  <c:v>30.204999999999998</c:v>
                </c:pt>
                <c:pt idx="632">
                  <c:v>29.770499999999998</c:v>
                </c:pt>
                <c:pt idx="633">
                  <c:v>30.7241</c:v>
                </c:pt>
                <c:pt idx="634">
                  <c:v>31.889600000000002</c:v>
                </c:pt>
                <c:pt idx="635">
                  <c:v>32.066200000000002</c:v>
                </c:pt>
                <c:pt idx="636">
                  <c:v>30.837399999999999</c:v>
                </c:pt>
                <c:pt idx="637">
                  <c:v>30.3461</c:v>
                </c:pt>
                <c:pt idx="638">
                  <c:v>29.7639</c:v>
                </c:pt>
                <c:pt idx="639">
                  <c:v>30.942399999999999</c:v>
                </c:pt>
                <c:pt idx="640">
                  <c:v>30.698399999999999</c:v>
                </c:pt>
                <c:pt idx="641">
                  <c:v>30.160599999999999</c:v>
                </c:pt>
                <c:pt idx="642">
                  <c:v>29.969100000000001</c:v>
                </c:pt>
                <c:pt idx="643">
                  <c:v>30.200600000000001</c:v>
                </c:pt>
                <c:pt idx="644">
                  <c:v>29.8383</c:v>
                </c:pt>
                <c:pt idx="645">
                  <c:v>30.6248</c:v>
                </c:pt>
                <c:pt idx="646">
                  <c:v>30.851400000000002</c:v>
                </c:pt>
                <c:pt idx="647">
                  <c:v>31.0425</c:v>
                </c:pt>
                <c:pt idx="648">
                  <c:v>31.987400000000001</c:v>
                </c:pt>
                <c:pt idx="649">
                  <c:v>31.977</c:v>
                </c:pt>
                <c:pt idx="650">
                  <c:v>31.912500000000001</c:v>
                </c:pt>
                <c:pt idx="651">
                  <c:v>32.101999999999997</c:v>
                </c:pt>
                <c:pt idx="652">
                  <c:v>32.536200000000001</c:v>
                </c:pt>
                <c:pt idx="653">
                  <c:v>32.080800000000004</c:v>
                </c:pt>
                <c:pt idx="654">
                  <c:v>30.531600000000001</c:v>
                </c:pt>
                <c:pt idx="655">
                  <c:v>30.842199999999998</c:v>
                </c:pt>
                <c:pt idx="656">
                  <c:v>31.013300000000001</c:v>
                </c:pt>
                <c:pt idx="657">
                  <c:v>30.613</c:v>
                </c:pt>
                <c:pt idx="658">
                  <c:v>30.9297</c:v>
                </c:pt>
                <c:pt idx="659">
                  <c:v>31.3825</c:v>
                </c:pt>
                <c:pt idx="660">
                  <c:v>32.135599999999997</c:v>
                </c:pt>
                <c:pt idx="661">
                  <c:v>32.845700000000001</c:v>
                </c:pt>
                <c:pt idx="662">
                  <c:v>32.635800000000003</c:v>
                </c:pt>
                <c:pt idx="663">
                  <c:v>32.236400000000003</c:v>
                </c:pt>
                <c:pt idx="664">
                  <c:v>32.687899999999999</c:v>
                </c:pt>
                <c:pt idx="665">
                  <c:v>31.6218</c:v>
                </c:pt>
                <c:pt idx="666">
                  <c:v>31.715399999999999</c:v>
                </c:pt>
                <c:pt idx="667">
                  <c:v>32.297800000000002</c:v>
                </c:pt>
                <c:pt idx="668">
                  <c:v>32.332999999999998</c:v>
                </c:pt>
                <c:pt idx="669">
                  <c:v>31.8062</c:v>
                </c:pt>
                <c:pt idx="670">
                  <c:v>31.698499999999999</c:v>
                </c:pt>
                <c:pt idx="671">
                  <c:v>31.644400000000001</c:v>
                </c:pt>
                <c:pt idx="672">
                  <c:v>31.9801</c:v>
                </c:pt>
                <c:pt idx="673">
                  <c:v>33.415700000000001</c:v>
                </c:pt>
                <c:pt idx="674">
                  <c:v>33.293799999999997</c:v>
                </c:pt>
                <c:pt idx="675">
                  <c:v>33.556100000000001</c:v>
                </c:pt>
                <c:pt idx="676">
                  <c:v>33.714599999999997</c:v>
                </c:pt>
                <c:pt idx="677">
                  <c:v>33.365499999999997</c:v>
                </c:pt>
                <c:pt idx="678">
                  <c:v>33.784599999999998</c:v>
                </c:pt>
                <c:pt idx="679">
                  <c:v>32.663699999999999</c:v>
                </c:pt>
                <c:pt idx="680">
                  <c:v>32.542700000000004</c:v>
                </c:pt>
                <c:pt idx="681">
                  <c:v>33.300400000000003</c:v>
                </c:pt>
                <c:pt idx="682">
                  <c:v>33.3735</c:v>
                </c:pt>
                <c:pt idx="683">
                  <c:v>33.537399999999998</c:v>
                </c:pt>
                <c:pt idx="684">
                  <c:v>33.467799999999997</c:v>
                </c:pt>
                <c:pt idx="685">
                  <c:v>33.489600000000003</c:v>
                </c:pt>
                <c:pt idx="686">
                  <c:v>33.779400000000003</c:v>
                </c:pt>
                <c:pt idx="687">
                  <c:v>34.217500000000001</c:v>
                </c:pt>
                <c:pt idx="688">
                  <c:v>35.029400000000003</c:v>
                </c:pt>
                <c:pt idx="689">
                  <c:v>32.785299999999999</c:v>
                </c:pt>
                <c:pt idx="690">
                  <c:v>32.121499999999997</c:v>
                </c:pt>
                <c:pt idx="691">
                  <c:v>32.637</c:v>
                </c:pt>
                <c:pt idx="692">
                  <c:v>33.478299999999997</c:v>
                </c:pt>
                <c:pt idx="693">
                  <c:v>33.152700000000003</c:v>
                </c:pt>
                <c:pt idx="694">
                  <c:v>32.929299999999998</c:v>
                </c:pt>
                <c:pt idx="695">
                  <c:v>33.612299999999998</c:v>
                </c:pt>
                <c:pt idx="696">
                  <c:v>33.627000000000002</c:v>
                </c:pt>
                <c:pt idx="697">
                  <c:v>33.696800000000003</c:v>
                </c:pt>
                <c:pt idx="698">
                  <c:v>33.607300000000002</c:v>
                </c:pt>
                <c:pt idx="699">
                  <c:v>33.630699999999997</c:v>
                </c:pt>
                <c:pt idx="700">
                  <c:v>34.406100000000002</c:v>
                </c:pt>
                <c:pt idx="701">
                  <c:v>35.189799999999998</c:v>
                </c:pt>
                <c:pt idx="702">
                  <c:v>34.950000000000003</c:v>
                </c:pt>
                <c:pt idx="703">
                  <c:v>34.994700000000002</c:v>
                </c:pt>
                <c:pt idx="704">
                  <c:v>34.768999999999998</c:v>
                </c:pt>
                <c:pt idx="705">
                  <c:v>35.202300000000001</c:v>
                </c:pt>
                <c:pt idx="706">
                  <c:v>35.388500000000001</c:v>
                </c:pt>
                <c:pt idx="707">
                  <c:v>35.944600000000001</c:v>
                </c:pt>
                <c:pt idx="708">
                  <c:v>35.941099999999999</c:v>
                </c:pt>
                <c:pt idx="709">
                  <c:v>35.676499999999997</c:v>
                </c:pt>
                <c:pt idx="710">
                  <c:v>35.758800000000001</c:v>
                </c:pt>
                <c:pt idx="711">
                  <c:v>36.377099999999999</c:v>
                </c:pt>
                <c:pt idx="712">
                  <c:v>36.9831</c:v>
                </c:pt>
                <c:pt idx="713">
                  <c:v>37.791899999999998</c:v>
                </c:pt>
                <c:pt idx="714">
                  <c:v>38.503799999999998</c:v>
                </c:pt>
                <c:pt idx="715">
                  <c:v>38.197499999999998</c:v>
                </c:pt>
                <c:pt idx="716">
                  <c:v>37.850299999999997</c:v>
                </c:pt>
                <c:pt idx="717">
                  <c:v>38.302399999999999</c:v>
                </c:pt>
                <c:pt idx="718">
                  <c:v>36.773899999999998</c:v>
                </c:pt>
                <c:pt idx="719">
                  <c:v>37.109299999999998</c:v>
                </c:pt>
                <c:pt idx="720">
                  <c:v>37.982700000000001</c:v>
                </c:pt>
                <c:pt idx="721">
                  <c:v>38.246099999999998</c:v>
                </c:pt>
                <c:pt idx="722">
                  <c:v>39.6935</c:v>
                </c:pt>
                <c:pt idx="723">
                  <c:v>38.639299999999999</c:v>
                </c:pt>
                <c:pt idx="724">
                  <c:v>41.761899999999997</c:v>
                </c:pt>
                <c:pt idx="725">
                  <c:v>41.437800000000003</c:v>
                </c:pt>
                <c:pt idx="726">
                  <c:v>41.394599999999997</c:v>
                </c:pt>
                <c:pt idx="727">
                  <c:v>41.340600000000002</c:v>
                </c:pt>
                <c:pt idx="728">
                  <c:v>42.735700000000001</c:v>
                </c:pt>
                <c:pt idx="729">
                  <c:v>43.613999999999997</c:v>
                </c:pt>
                <c:pt idx="730">
                  <c:v>45.2286</c:v>
                </c:pt>
                <c:pt idx="731">
                  <c:v>44.613500000000002</c:v>
                </c:pt>
                <c:pt idx="732">
                  <c:v>46.581600000000002</c:v>
                </c:pt>
                <c:pt idx="733">
                  <c:v>49.3279</c:v>
                </c:pt>
                <c:pt idx="734">
                  <c:v>52.5764</c:v>
                </c:pt>
                <c:pt idx="735">
                  <c:v>51.4178</c:v>
                </c:pt>
                <c:pt idx="736">
                  <c:v>52.904299999999999</c:v>
                </c:pt>
                <c:pt idx="737">
                  <c:v>51.811300000000003</c:v>
                </c:pt>
                <c:pt idx="738">
                  <c:v>51.892699999999998</c:v>
                </c:pt>
                <c:pt idx="739">
                  <c:v>52.07</c:v>
                </c:pt>
                <c:pt idx="740">
                  <c:v>51.838999999999999</c:v>
                </c:pt>
                <c:pt idx="741">
                  <c:v>52.445</c:v>
                </c:pt>
                <c:pt idx="742">
                  <c:v>52.489600000000003</c:v>
                </c:pt>
                <c:pt idx="743">
                  <c:v>55.382399999999997</c:v>
                </c:pt>
                <c:pt idx="744">
                  <c:v>56.4938</c:v>
                </c:pt>
                <c:pt idx="745">
                  <c:v>55.844000000000001</c:v>
                </c:pt>
                <c:pt idx="746">
                  <c:v>57.713900000000002</c:v>
                </c:pt>
                <c:pt idx="747">
                  <c:v>57.501100000000001</c:v>
                </c:pt>
                <c:pt idx="748">
                  <c:v>58.378700000000002</c:v>
                </c:pt>
                <c:pt idx="749">
                  <c:v>58.378500000000003</c:v>
                </c:pt>
                <c:pt idx="750">
                  <c:v>56.601300000000002</c:v>
                </c:pt>
                <c:pt idx="751">
                  <c:v>56.668799999999997</c:v>
                </c:pt>
                <c:pt idx="752">
                  <c:v>56.5184</c:v>
                </c:pt>
                <c:pt idx="753">
                  <c:v>57.208500000000001</c:v>
                </c:pt>
                <c:pt idx="754">
                  <c:v>57.084099999999999</c:v>
                </c:pt>
                <c:pt idx="755">
                  <c:v>58.130099999999999</c:v>
                </c:pt>
                <c:pt idx="756">
                  <c:v>59.4514</c:v>
                </c:pt>
                <c:pt idx="757">
                  <c:v>59.104900000000001</c:v>
                </c:pt>
                <c:pt idx="758">
                  <c:v>61.614800000000002</c:v>
                </c:pt>
                <c:pt idx="759">
                  <c:v>60.308300000000003</c:v>
                </c:pt>
                <c:pt idx="760">
                  <c:v>62.169699999999999</c:v>
                </c:pt>
                <c:pt idx="761">
                  <c:v>60.817399999999999</c:v>
                </c:pt>
                <c:pt idx="762">
                  <c:v>60.883099999999999</c:v>
                </c:pt>
                <c:pt idx="763">
                  <c:v>60.713200000000001</c:v>
                </c:pt>
                <c:pt idx="764">
                  <c:v>61.508400000000002</c:v>
                </c:pt>
                <c:pt idx="765">
                  <c:v>62.012599999999999</c:v>
                </c:pt>
                <c:pt idx="766">
                  <c:v>61.945099999999996</c:v>
                </c:pt>
                <c:pt idx="767">
                  <c:v>62.963000000000001</c:v>
                </c:pt>
                <c:pt idx="768">
                  <c:v>66.420100000000005</c:v>
                </c:pt>
                <c:pt idx="769">
                  <c:v>68.148099999999999</c:v>
                </c:pt>
                <c:pt idx="770">
                  <c:v>64.294799999999995</c:v>
                </c:pt>
                <c:pt idx="771">
                  <c:v>65.766900000000007</c:v>
                </c:pt>
                <c:pt idx="772">
                  <c:v>61.948999999999998</c:v>
                </c:pt>
                <c:pt idx="773">
                  <c:v>60.237000000000002</c:v>
                </c:pt>
                <c:pt idx="774">
                  <c:v>60.348399999999998</c:v>
                </c:pt>
                <c:pt idx="775">
                  <c:v>62.236499999999999</c:v>
                </c:pt>
                <c:pt idx="776">
                  <c:v>62.241</c:v>
                </c:pt>
                <c:pt idx="777">
                  <c:v>62.819200000000002</c:v>
                </c:pt>
                <c:pt idx="778">
                  <c:v>61.146500000000003</c:v>
                </c:pt>
                <c:pt idx="779">
                  <c:v>60.433700000000002</c:v>
                </c:pt>
                <c:pt idx="780">
                  <c:v>60.249099999999999</c:v>
                </c:pt>
                <c:pt idx="781">
                  <c:v>60.447899999999997</c:v>
                </c:pt>
                <c:pt idx="782">
                  <c:v>60.715899999999998</c:v>
                </c:pt>
                <c:pt idx="783">
                  <c:v>63.802700000000002</c:v>
                </c:pt>
                <c:pt idx="784">
                  <c:v>67.335800000000006</c:v>
                </c:pt>
                <c:pt idx="785">
                  <c:v>65.141599999999997</c:v>
                </c:pt>
                <c:pt idx="786">
                  <c:v>66.820499999999996</c:v>
                </c:pt>
                <c:pt idx="787">
                  <c:v>66.646199999999993</c:v>
                </c:pt>
                <c:pt idx="788">
                  <c:v>65.250100000000003</c:v>
                </c:pt>
                <c:pt idx="789">
                  <c:v>65.965199999999996</c:v>
                </c:pt>
                <c:pt idx="790">
                  <c:v>65.12</c:v>
                </c:pt>
                <c:pt idx="791">
                  <c:v>66.141099999999994</c:v>
                </c:pt>
                <c:pt idx="792">
                  <c:v>71.207700000000003</c:v>
                </c:pt>
                <c:pt idx="793">
                  <c:v>70.222999999999999</c:v>
                </c:pt>
                <c:pt idx="794">
                  <c:v>71.757400000000004</c:v>
                </c:pt>
                <c:pt idx="795">
                  <c:v>72.0608</c:v>
                </c:pt>
                <c:pt idx="796">
                  <c:v>73.865300000000005</c:v>
                </c:pt>
                <c:pt idx="797">
                  <c:v>72.0428</c:v>
                </c:pt>
                <c:pt idx="798">
                  <c:v>72.372100000000003</c:v>
                </c:pt>
                <c:pt idx="799">
                  <c:v>71.262699999999995</c:v>
                </c:pt>
                <c:pt idx="800">
                  <c:v>71.819400000000002</c:v>
                </c:pt>
                <c:pt idx="801">
                  <c:v>71.058400000000006</c:v>
                </c:pt>
                <c:pt idx="802">
                  <c:v>69.086399999999998</c:v>
                </c:pt>
                <c:pt idx="803">
                  <c:v>68.525400000000005</c:v>
                </c:pt>
                <c:pt idx="804">
                  <c:v>67.022599999999997</c:v>
                </c:pt>
                <c:pt idx="805">
                  <c:v>67.613699999999994</c:v>
                </c:pt>
                <c:pt idx="806">
                  <c:v>68.400800000000004</c:v>
                </c:pt>
                <c:pt idx="807">
                  <c:v>68.098500000000001</c:v>
                </c:pt>
                <c:pt idx="808">
                  <c:v>67.8309</c:v>
                </c:pt>
                <c:pt idx="809">
                  <c:v>69.428200000000004</c:v>
                </c:pt>
                <c:pt idx="810">
                  <c:v>68.702100000000002</c:v>
                </c:pt>
                <c:pt idx="811">
                  <c:v>68.369</c:v>
                </c:pt>
                <c:pt idx="812">
                  <c:v>69.268900000000002</c:v>
                </c:pt>
                <c:pt idx="813">
                  <c:v>69.706800000000001</c:v>
                </c:pt>
                <c:pt idx="814">
                  <c:v>70.630099999999999</c:v>
                </c:pt>
                <c:pt idx="815">
                  <c:v>71.696100000000001</c:v>
                </c:pt>
                <c:pt idx="816">
                  <c:v>71.193600000000004</c:v>
                </c:pt>
                <c:pt idx="817">
                  <c:v>68.044300000000007</c:v>
                </c:pt>
                <c:pt idx="818">
                  <c:v>68.374099999999999</c:v>
                </c:pt>
                <c:pt idx="819">
                  <c:v>68.587400000000002</c:v>
                </c:pt>
                <c:pt idx="820">
                  <c:v>68.725999999999999</c:v>
                </c:pt>
                <c:pt idx="821">
                  <c:v>68.598299999999995</c:v>
                </c:pt>
                <c:pt idx="822">
                  <c:v>69.69</c:v>
                </c:pt>
                <c:pt idx="823">
                  <c:v>78.433700000000002</c:v>
                </c:pt>
                <c:pt idx="824">
                  <c:v>78.0779</c:v>
                </c:pt>
                <c:pt idx="825">
                  <c:v>79.498699999999999</c:v>
                </c:pt>
                <c:pt idx="826">
                  <c:v>76.709900000000005</c:v>
                </c:pt>
                <c:pt idx="827">
                  <c:v>76.444699999999997</c:v>
                </c:pt>
                <c:pt idx="828">
                  <c:v>75.667500000000004</c:v>
                </c:pt>
                <c:pt idx="829">
                  <c:v>76.211299999999994</c:v>
                </c:pt>
                <c:pt idx="830">
                  <c:v>78.231700000000004</c:v>
                </c:pt>
                <c:pt idx="831">
                  <c:v>76.591099999999997</c:v>
                </c:pt>
                <c:pt idx="832">
                  <c:v>78.843599999999995</c:v>
                </c:pt>
                <c:pt idx="833">
                  <c:v>76.1751</c:v>
                </c:pt>
                <c:pt idx="834">
                  <c:v>76.410899999999998</c:v>
                </c:pt>
                <c:pt idx="835">
                  <c:v>77.887799999999999</c:v>
                </c:pt>
                <c:pt idx="836">
                  <c:v>78.569400000000002</c:v>
                </c:pt>
                <c:pt idx="837">
                  <c:v>81.173699999999997</c:v>
                </c:pt>
                <c:pt idx="838">
                  <c:v>83.627499999999998</c:v>
                </c:pt>
                <c:pt idx="839">
                  <c:v>82.7196</c:v>
                </c:pt>
                <c:pt idx="840">
                  <c:v>82.142700000000005</c:v>
                </c:pt>
                <c:pt idx="841">
                  <c:v>82.333200000000005</c:v>
                </c:pt>
                <c:pt idx="842">
                  <c:v>84.297499999999999</c:v>
                </c:pt>
                <c:pt idx="843">
                  <c:v>83.675200000000004</c:v>
                </c:pt>
                <c:pt idx="844">
                  <c:v>84.941100000000006</c:v>
                </c:pt>
                <c:pt idx="845">
                  <c:v>89.219499999999996</c:v>
                </c:pt>
                <c:pt idx="846">
                  <c:v>88.392200000000003</c:v>
                </c:pt>
                <c:pt idx="847">
                  <c:v>90.881</c:v>
                </c:pt>
                <c:pt idx="848">
                  <c:v>88.883099999999999</c:v>
                </c:pt>
                <c:pt idx="849">
                  <c:v>92.156199999999998</c:v>
                </c:pt>
                <c:pt idx="850">
                  <c:v>92.974500000000006</c:v>
                </c:pt>
                <c:pt idx="851">
                  <c:v>91.903800000000004</c:v>
                </c:pt>
                <c:pt idx="852">
                  <c:v>93.408000000000001</c:v>
                </c:pt>
                <c:pt idx="853">
                  <c:v>95.564599999999999</c:v>
                </c:pt>
                <c:pt idx="854">
                  <c:v>91.983400000000003</c:v>
                </c:pt>
                <c:pt idx="855">
                  <c:v>90.001400000000004</c:v>
                </c:pt>
                <c:pt idx="856">
                  <c:v>90.289100000000005</c:v>
                </c:pt>
                <c:pt idx="857">
                  <c:v>75.181700000000006</c:v>
                </c:pt>
                <c:pt idx="858">
                  <c:v>82.837699999999998</c:v>
                </c:pt>
                <c:pt idx="859">
                  <c:v>84.337299999999999</c:v>
                </c:pt>
                <c:pt idx="860">
                  <c:v>77.962299999999999</c:v>
                </c:pt>
                <c:pt idx="861">
                  <c:v>83.508600000000001</c:v>
                </c:pt>
                <c:pt idx="862">
                  <c:v>82.6982</c:v>
                </c:pt>
                <c:pt idx="863">
                  <c:v>77.773499999999999</c:v>
                </c:pt>
                <c:pt idx="864">
                  <c:v>78.135300000000001</c:v>
                </c:pt>
                <c:pt idx="865">
                  <c:v>80.267600000000002</c:v>
                </c:pt>
                <c:pt idx="866">
                  <c:v>84.063900000000004</c:v>
                </c:pt>
                <c:pt idx="867">
                  <c:v>82.7346</c:v>
                </c:pt>
                <c:pt idx="868">
                  <c:v>85.546499999999995</c:v>
                </c:pt>
                <c:pt idx="869">
                  <c:v>85.225099999999998</c:v>
                </c:pt>
                <c:pt idx="870">
                  <c:v>87.344700000000003</c:v>
                </c:pt>
                <c:pt idx="871">
                  <c:v>82.521299999999997</c:v>
                </c:pt>
                <c:pt idx="872">
                  <c:v>80.509799999999998</c:v>
                </c:pt>
                <c:pt idx="873">
                  <c:v>87.302199999999999</c:v>
                </c:pt>
                <c:pt idx="874">
                  <c:v>94.070400000000006</c:v>
                </c:pt>
                <c:pt idx="875">
                  <c:v>101.7058</c:v>
                </c:pt>
                <c:pt idx="876">
                  <c:v>99.4</c:v>
                </c:pt>
                <c:pt idx="877">
                  <c:v>97.597099999999998</c:v>
                </c:pt>
                <c:pt idx="878">
                  <c:v>97.792599999999993</c:v>
                </c:pt>
                <c:pt idx="879">
                  <c:v>94.348100000000002</c:v>
                </c:pt>
                <c:pt idx="880">
                  <c:v>98.823499999999996</c:v>
                </c:pt>
                <c:pt idx="881">
                  <c:v>97.067400000000006</c:v>
                </c:pt>
                <c:pt idx="882">
                  <c:v>102.10080000000001</c:v>
                </c:pt>
                <c:pt idx="883">
                  <c:v>103.3417</c:v>
                </c:pt>
                <c:pt idx="884">
                  <c:v>101.2684</c:v>
                </c:pt>
                <c:pt idx="885">
                  <c:v>100.91119999999999</c:v>
                </c:pt>
                <c:pt idx="886">
                  <c:v>100.04259999999999</c:v>
                </c:pt>
                <c:pt idx="887">
                  <c:v>100.5312</c:v>
                </c:pt>
                <c:pt idx="888">
                  <c:v>101.4295</c:v>
                </c:pt>
                <c:pt idx="889">
                  <c:v>102.1639</c:v>
                </c:pt>
                <c:pt idx="890">
                  <c:v>99.440100000000001</c:v>
                </c:pt>
                <c:pt idx="891">
                  <c:v>97.947599999999994</c:v>
                </c:pt>
                <c:pt idx="892">
                  <c:v>98.990899999999996</c:v>
                </c:pt>
                <c:pt idx="893">
                  <c:v>100.4868</c:v>
                </c:pt>
                <c:pt idx="894">
                  <c:v>97.905000000000001</c:v>
                </c:pt>
                <c:pt idx="895">
                  <c:v>99.454300000000003</c:v>
                </c:pt>
                <c:pt idx="896">
                  <c:v>98.546899999999994</c:v>
                </c:pt>
                <c:pt idx="897">
                  <c:v>100.2257</c:v>
                </c:pt>
                <c:pt idx="898">
                  <c:v>100.5954</c:v>
                </c:pt>
                <c:pt idx="899">
                  <c:v>99.402900000000002</c:v>
                </c:pt>
                <c:pt idx="900">
                  <c:v>100.045</c:v>
                </c:pt>
                <c:pt idx="901">
                  <c:v>102.1477</c:v>
                </c:pt>
                <c:pt idx="902">
                  <c:v>105.0772</c:v>
                </c:pt>
                <c:pt idx="903">
                  <c:v>106.004</c:v>
                </c:pt>
                <c:pt idx="904">
                  <c:v>102.7979</c:v>
                </c:pt>
                <c:pt idx="905">
                  <c:v>103.07429999999999</c:v>
                </c:pt>
                <c:pt idx="906">
                  <c:v>105.5852</c:v>
                </c:pt>
                <c:pt idx="907">
                  <c:v>104.7256</c:v>
                </c:pt>
                <c:pt idx="908">
                  <c:v>102.3631</c:v>
                </c:pt>
                <c:pt idx="909">
                  <c:v>98.5702</c:v>
                </c:pt>
                <c:pt idx="910">
                  <c:v>100.2323</c:v>
                </c:pt>
                <c:pt idx="911">
                  <c:v>98.438299999999998</c:v>
                </c:pt>
                <c:pt idx="912">
                  <c:v>93.247799999999998</c:v>
                </c:pt>
                <c:pt idx="913">
                  <c:v>86.672700000000006</c:v>
                </c:pt>
                <c:pt idx="914">
                  <c:v>83.859899999999996</c:v>
                </c:pt>
                <c:pt idx="915">
                  <c:v>82.043899999999994</c:v>
                </c:pt>
                <c:pt idx="916">
                  <c:v>83.719499999999996</c:v>
                </c:pt>
                <c:pt idx="917">
                  <c:v>74.601399999999998</c:v>
                </c:pt>
                <c:pt idx="918">
                  <c:v>68.958299999999994</c:v>
                </c:pt>
                <c:pt idx="919">
                  <c:v>68.588399999999993</c:v>
                </c:pt>
                <c:pt idx="920">
                  <c:v>69.395600000000002</c:v>
                </c:pt>
                <c:pt idx="921">
                  <c:v>68.099100000000007</c:v>
                </c:pt>
                <c:pt idx="922">
                  <c:v>67.690100000000001</c:v>
                </c:pt>
                <c:pt idx="923">
                  <c:v>66.604699999999994</c:v>
                </c:pt>
                <c:pt idx="924">
                  <c:v>64.642499999999998</c:v>
                </c:pt>
                <c:pt idx="925">
                  <c:v>68.216200000000001</c:v>
                </c:pt>
                <c:pt idx="926">
                  <c:v>77.952200000000005</c:v>
                </c:pt>
                <c:pt idx="927">
                  <c:v>77.863100000000003</c:v>
                </c:pt>
                <c:pt idx="928">
                  <c:v>81.138900000000007</c:v>
                </c:pt>
                <c:pt idx="929">
                  <c:v>79.780199999999994</c:v>
                </c:pt>
                <c:pt idx="930">
                  <c:v>83.699600000000004</c:v>
                </c:pt>
                <c:pt idx="931">
                  <c:v>84.309700000000007</c:v>
                </c:pt>
                <c:pt idx="932">
                  <c:v>85.570300000000003</c:v>
                </c:pt>
                <c:pt idx="933">
                  <c:v>89.533799999999999</c:v>
                </c:pt>
                <c:pt idx="934">
                  <c:v>93.123099999999994</c:v>
                </c:pt>
                <c:pt idx="935">
                  <c:v>91.594499999999996</c:v>
                </c:pt>
                <c:pt idx="936">
                  <c:v>93.621899999999997</c:v>
                </c:pt>
                <c:pt idx="937">
                  <c:v>90.793000000000006</c:v>
                </c:pt>
                <c:pt idx="938">
                  <c:v>89.389899999999997</c:v>
                </c:pt>
                <c:pt idx="939">
                  <c:v>86.766199999999998</c:v>
                </c:pt>
                <c:pt idx="940">
                  <c:v>88.585599999999999</c:v>
                </c:pt>
                <c:pt idx="941">
                  <c:v>92.949799999999996</c:v>
                </c:pt>
                <c:pt idx="942">
                  <c:v>90.054599999999994</c:v>
                </c:pt>
                <c:pt idx="943">
                  <c:v>91.468500000000006</c:v>
                </c:pt>
                <c:pt idx="944">
                  <c:v>92.517700000000005</c:v>
                </c:pt>
                <c:pt idx="945">
                  <c:v>91.494799999999998</c:v>
                </c:pt>
                <c:pt idx="946">
                  <c:v>89.590500000000006</c:v>
                </c:pt>
                <c:pt idx="947">
                  <c:v>92.221599999999995</c:v>
                </c:pt>
                <c:pt idx="948">
                  <c:v>96.628399999999999</c:v>
                </c:pt>
                <c:pt idx="949">
                  <c:v>95.415099999999995</c:v>
                </c:pt>
                <c:pt idx="950">
                  <c:v>95.947199999999995</c:v>
                </c:pt>
                <c:pt idx="951">
                  <c:v>95.119</c:v>
                </c:pt>
                <c:pt idx="952">
                  <c:v>92.693399999999997</c:v>
                </c:pt>
                <c:pt idx="953">
                  <c:v>93.640199999999993</c:v>
                </c:pt>
                <c:pt idx="954">
                  <c:v>98.9268</c:v>
                </c:pt>
                <c:pt idx="955">
                  <c:v>97.871799999999993</c:v>
                </c:pt>
                <c:pt idx="956">
                  <c:v>96.741200000000006</c:v>
                </c:pt>
                <c:pt idx="957">
                  <c:v>97.337100000000007</c:v>
                </c:pt>
                <c:pt idx="958">
                  <c:v>96.197400000000002</c:v>
                </c:pt>
                <c:pt idx="959">
                  <c:v>95.898099999999999</c:v>
                </c:pt>
                <c:pt idx="960">
                  <c:v>96.345399999999998</c:v>
                </c:pt>
                <c:pt idx="961">
                  <c:v>92.685599999999994</c:v>
                </c:pt>
                <c:pt idx="962">
                  <c:v>92.209599999999995</c:v>
                </c:pt>
                <c:pt idx="963">
                  <c:v>93.9893</c:v>
                </c:pt>
                <c:pt idx="964">
                  <c:v>92.278499999999994</c:v>
                </c:pt>
                <c:pt idx="965">
                  <c:v>90.411199999999994</c:v>
                </c:pt>
                <c:pt idx="966">
                  <c:v>90.280500000000004</c:v>
                </c:pt>
                <c:pt idx="967">
                  <c:v>89.981399999999994</c:v>
                </c:pt>
                <c:pt idx="968">
                  <c:v>89.732200000000006</c:v>
                </c:pt>
                <c:pt idx="969">
                  <c:v>85.270899999999997</c:v>
                </c:pt>
                <c:pt idx="970">
                  <c:v>86.5214</c:v>
                </c:pt>
                <c:pt idx="971">
                  <c:v>85.050399999999996</c:v>
                </c:pt>
                <c:pt idx="972">
                  <c:v>87.178600000000003</c:v>
                </c:pt>
                <c:pt idx="973">
                  <c:v>88.837199999999996</c:v>
                </c:pt>
                <c:pt idx="974">
                  <c:v>92.006200000000007</c:v>
                </c:pt>
                <c:pt idx="975">
                  <c:v>89.465100000000007</c:v>
                </c:pt>
                <c:pt idx="976">
                  <c:v>93.031800000000004</c:v>
                </c:pt>
                <c:pt idx="977">
                  <c:v>92.868300000000005</c:v>
                </c:pt>
                <c:pt idx="978">
                  <c:v>93.552400000000006</c:v>
                </c:pt>
                <c:pt idx="979">
                  <c:v>95.635000000000005</c:v>
                </c:pt>
                <c:pt idx="980">
                  <c:v>93.161900000000003</c:v>
                </c:pt>
                <c:pt idx="981">
                  <c:v>92.715599999999995</c:v>
                </c:pt>
                <c:pt idx="982">
                  <c:v>92.416300000000007</c:v>
                </c:pt>
                <c:pt idx="983">
                  <c:v>94.278300000000002</c:v>
                </c:pt>
                <c:pt idx="984">
                  <c:v>89.191999999999993</c:v>
                </c:pt>
                <c:pt idx="985">
                  <c:v>86.393100000000004</c:v>
                </c:pt>
                <c:pt idx="986">
                  <c:v>86.235100000000003</c:v>
                </c:pt>
                <c:pt idx="987">
                  <c:v>89.442700000000002</c:v>
                </c:pt>
                <c:pt idx="988">
                  <c:v>89.815799999999996</c:v>
                </c:pt>
                <c:pt idx="989">
                  <c:v>87.090599999999995</c:v>
                </c:pt>
                <c:pt idx="990">
                  <c:v>88.3279</c:v>
                </c:pt>
                <c:pt idx="991">
                  <c:v>87.696200000000005</c:v>
                </c:pt>
                <c:pt idx="992">
                  <c:v>88.747900000000001</c:v>
                </c:pt>
                <c:pt idx="993">
                  <c:v>88.558300000000003</c:v>
                </c:pt>
                <c:pt idx="994">
                  <c:v>84.774299999999997</c:v>
                </c:pt>
                <c:pt idx="995">
                  <c:v>85.571100000000001</c:v>
                </c:pt>
                <c:pt idx="996">
                  <c:v>83.581500000000005</c:v>
                </c:pt>
                <c:pt idx="997">
                  <c:v>82.218100000000007</c:v>
                </c:pt>
                <c:pt idx="998">
                  <c:v>78.728099999999998</c:v>
                </c:pt>
                <c:pt idx="999">
                  <c:v>80.9786</c:v>
                </c:pt>
                <c:pt idx="1000">
                  <c:v>73.360399999999998</c:v>
                </c:pt>
                <c:pt idx="1001">
                  <c:v>69.906300000000002</c:v>
                </c:pt>
                <c:pt idx="1002">
                  <c:v>76.298699999999997</c:v>
                </c:pt>
                <c:pt idx="1003">
                  <c:v>78.5916</c:v>
                </c:pt>
                <c:pt idx="1004">
                  <c:v>75.234999999999999</c:v>
                </c:pt>
                <c:pt idx="1005">
                  <c:v>74.235699999999994</c:v>
                </c:pt>
                <c:pt idx="1006">
                  <c:v>77.525000000000006</c:v>
                </c:pt>
                <c:pt idx="1007">
                  <c:v>79.762100000000004</c:v>
                </c:pt>
                <c:pt idx="1008">
                  <c:v>79.576400000000007</c:v>
                </c:pt>
                <c:pt idx="1009">
                  <c:v>79.608800000000002</c:v>
                </c:pt>
                <c:pt idx="1010">
                  <c:v>81.482500000000002</c:v>
                </c:pt>
                <c:pt idx="1011">
                  <c:v>82.394599999999997</c:v>
                </c:pt>
                <c:pt idx="1012">
                  <c:v>82.787300000000002</c:v>
                </c:pt>
                <c:pt idx="1013">
                  <c:v>84.278300000000002</c:v>
                </c:pt>
                <c:pt idx="1014">
                  <c:v>82.272099999999995</c:v>
                </c:pt>
                <c:pt idx="1015">
                  <c:v>76.475099999999998</c:v>
                </c:pt>
                <c:pt idx="1016">
                  <c:v>79.741100000000003</c:v>
                </c:pt>
                <c:pt idx="1017">
                  <c:v>80.955600000000004</c:v>
                </c:pt>
                <c:pt idx="1018">
                  <c:v>76.250900000000001</c:v>
                </c:pt>
                <c:pt idx="1019">
                  <c:v>75.931700000000006</c:v>
                </c:pt>
                <c:pt idx="1020">
                  <c:v>74.697500000000005</c:v>
                </c:pt>
                <c:pt idx="1021">
                  <c:v>75.468699999999998</c:v>
                </c:pt>
                <c:pt idx="1022">
                  <c:v>79.143199999999993</c:v>
                </c:pt>
                <c:pt idx="1023">
                  <c:v>77.354900000000001</c:v>
                </c:pt>
                <c:pt idx="1024">
                  <c:v>74.676500000000004</c:v>
                </c:pt>
                <c:pt idx="1025">
                  <c:v>73.709100000000007</c:v>
                </c:pt>
                <c:pt idx="1026">
                  <c:v>75.752499999999998</c:v>
                </c:pt>
                <c:pt idx="1027">
                  <c:v>77.338399999999993</c:v>
                </c:pt>
                <c:pt idx="1028">
                  <c:v>78.845600000000005</c:v>
                </c:pt>
                <c:pt idx="1029">
                  <c:v>78.520099999999999</c:v>
                </c:pt>
                <c:pt idx="1030">
                  <c:v>77.434299999999993</c:v>
                </c:pt>
                <c:pt idx="1031">
                  <c:v>76.419300000000007</c:v>
                </c:pt>
                <c:pt idx="1032">
                  <c:v>77.340199999999996</c:v>
                </c:pt>
                <c:pt idx="1033">
                  <c:v>78.504499999999993</c:v>
                </c:pt>
                <c:pt idx="1034">
                  <c:v>76.803700000000006</c:v>
                </c:pt>
                <c:pt idx="1035">
                  <c:v>73.910399999999996</c:v>
                </c:pt>
                <c:pt idx="1036">
                  <c:v>73.345799999999997</c:v>
                </c:pt>
                <c:pt idx="1037">
                  <c:v>73.778599999999997</c:v>
                </c:pt>
                <c:pt idx="1038">
                  <c:v>73.181200000000004</c:v>
                </c:pt>
                <c:pt idx="1039">
                  <c:v>73.346900000000005</c:v>
                </c:pt>
                <c:pt idx="1040">
                  <c:v>70.108599999999996</c:v>
                </c:pt>
                <c:pt idx="1041">
                  <c:v>69.684100000000001</c:v>
                </c:pt>
                <c:pt idx="1042">
                  <c:v>68.412899999999993</c:v>
                </c:pt>
                <c:pt idx="1043">
                  <c:v>70.0548</c:v>
                </c:pt>
                <c:pt idx="1044">
                  <c:v>65.563800000000001</c:v>
                </c:pt>
                <c:pt idx="1045">
                  <c:v>68.364099999999993</c:v>
                </c:pt>
                <c:pt idx="1046">
                  <c:v>68.934600000000003</c:v>
                </c:pt>
                <c:pt idx="1047">
                  <c:v>69.815700000000007</c:v>
                </c:pt>
                <c:pt idx="1048">
                  <c:v>67.330299999999994</c:v>
                </c:pt>
                <c:pt idx="1049">
                  <c:v>63.366300000000003</c:v>
                </c:pt>
                <c:pt idx="1050">
                  <c:v>63.4313</c:v>
                </c:pt>
                <c:pt idx="1051">
                  <c:v>62.526400000000002</c:v>
                </c:pt>
                <c:pt idx="1052">
                  <c:v>63.7883</c:v>
                </c:pt>
                <c:pt idx="1053">
                  <c:v>62.920699999999997</c:v>
                </c:pt>
                <c:pt idx="1054">
                  <c:v>64.168099999999995</c:v>
                </c:pt>
                <c:pt idx="1055">
                  <c:v>66.023200000000003</c:v>
                </c:pt>
                <c:pt idx="1056">
                  <c:v>64.122500000000002</c:v>
                </c:pt>
                <c:pt idx="1057">
                  <c:v>64.6691</c:v>
                </c:pt>
                <c:pt idx="1058">
                  <c:v>64.090900000000005</c:v>
                </c:pt>
                <c:pt idx="1059">
                  <c:v>63.681600000000003</c:v>
                </c:pt>
                <c:pt idx="1060">
                  <c:v>64.593500000000006</c:v>
                </c:pt>
                <c:pt idx="1061">
                  <c:v>67.643100000000004</c:v>
                </c:pt>
                <c:pt idx="1062">
                  <c:v>67.996499999999997</c:v>
                </c:pt>
                <c:pt idx="1063">
                  <c:v>69.908299999999997</c:v>
                </c:pt>
                <c:pt idx="1064">
                  <c:v>73.403599999999997</c:v>
                </c:pt>
                <c:pt idx="1065">
                  <c:v>75.740700000000004</c:v>
                </c:pt>
                <c:pt idx="1066">
                  <c:v>77.159599999999998</c:v>
                </c:pt>
                <c:pt idx="1067">
                  <c:v>77.659300000000002</c:v>
                </c:pt>
                <c:pt idx="1068">
                  <c:v>76.439099999999996</c:v>
                </c:pt>
                <c:pt idx="1069">
                  <c:v>77.936999999999998</c:v>
                </c:pt>
                <c:pt idx="1070">
                  <c:v>77.807000000000002</c:v>
                </c:pt>
                <c:pt idx="1071">
                  <c:v>76.597700000000003</c:v>
                </c:pt>
                <c:pt idx="1072">
                  <c:v>75.682500000000005</c:v>
                </c:pt>
                <c:pt idx="1073">
                  <c:v>75.000900000000001</c:v>
                </c:pt>
                <c:pt idx="1074">
                  <c:v>75.076300000000003</c:v>
                </c:pt>
                <c:pt idx="1075">
                  <c:v>75.121600000000001</c:v>
                </c:pt>
                <c:pt idx="1076">
                  <c:v>74.884100000000004</c:v>
                </c:pt>
                <c:pt idx="1077">
                  <c:v>76.260900000000007</c:v>
                </c:pt>
                <c:pt idx="1078">
                  <c:v>78.231099999999998</c:v>
                </c:pt>
                <c:pt idx="1079">
                  <c:v>77.674599999999998</c:v>
                </c:pt>
                <c:pt idx="1080">
                  <c:v>77.138900000000007</c:v>
                </c:pt>
                <c:pt idx="1081">
                  <c:v>75.185699999999997</c:v>
                </c:pt>
                <c:pt idx="1082">
                  <c:v>73.286799999999999</c:v>
                </c:pt>
                <c:pt idx="1083">
                  <c:v>73.9054</c:v>
                </c:pt>
                <c:pt idx="1084">
                  <c:v>73.999099999999999</c:v>
                </c:pt>
                <c:pt idx="1085">
                  <c:v>76.401399999999995</c:v>
                </c:pt>
                <c:pt idx="1086">
                  <c:v>77.508200000000002</c:v>
                </c:pt>
                <c:pt idx="1087">
                  <c:v>76.537199999999999</c:v>
                </c:pt>
                <c:pt idx="1088">
                  <c:v>75.102000000000004</c:v>
                </c:pt>
                <c:pt idx="1089">
                  <c:v>75.766300000000001</c:v>
                </c:pt>
                <c:pt idx="1090">
                  <c:v>76.946200000000005</c:v>
                </c:pt>
                <c:pt idx="1091">
                  <c:v>78.497900000000001</c:v>
                </c:pt>
                <c:pt idx="1092">
                  <c:v>77.984099999999998</c:v>
                </c:pt>
                <c:pt idx="1093">
                  <c:v>78.663399999999996</c:v>
                </c:pt>
                <c:pt idx="1094">
                  <c:v>80.020600000000002</c:v>
                </c:pt>
                <c:pt idx="1095">
                  <c:v>81.578699999999998</c:v>
                </c:pt>
                <c:pt idx="1096">
                  <c:v>79.778599999999997</c:v>
                </c:pt>
                <c:pt idx="1097">
                  <c:v>78.974000000000004</c:v>
                </c:pt>
                <c:pt idx="1098">
                  <c:v>79.015900000000002</c:v>
                </c:pt>
                <c:pt idx="1099">
                  <c:v>78.791200000000003</c:v>
                </c:pt>
                <c:pt idx="1100">
                  <c:v>79.711399999999998</c:v>
                </c:pt>
                <c:pt idx="1101">
                  <c:v>80.909800000000004</c:v>
                </c:pt>
                <c:pt idx="1102">
                  <c:v>81.571799999999996</c:v>
                </c:pt>
                <c:pt idx="1103">
                  <c:v>83.450800000000001</c:v>
                </c:pt>
                <c:pt idx="1104">
                  <c:v>82.767899999999997</c:v>
                </c:pt>
                <c:pt idx="1105">
                  <c:v>84.050700000000006</c:v>
                </c:pt>
                <c:pt idx="1106">
                  <c:v>85.3018</c:v>
                </c:pt>
                <c:pt idx="1107">
                  <c:v>85.812700000000007</c:v>
                </c:pt>
                <c:pt idx="1108">
                  <c:v>84.587699999999998</c:v>
                </c:pt>
                <c:pt idx="1109">
                  <c:v>83.146299999999997</c:v>
                </c:pt>
                <c:pt idx="1110">
                  <c:v>83.7072</c:v>
                </c:pt>
                <c:pt idx="1111">
                  <c:v>85.394999999999996</c:v>
                </c:pt>
                <c:pt idx="1112">
                  <c:v>85.769099999999995</c:v>
                </c:pt>
                <c:pt idx="1113">
                  <c:v>85.103899999999996</c:v>
                </c:pt>
                <c:pt idx="1114">
                  <c:v>81.770099999999999</c:v>
                </c:pt>
                <c:pt idx="1115">
                  <c:v>79.513099999999994</c:v>
                </c:pt>
                <c:pt idx="1116">
                  <c:v>77.151600000000002</c:v>
                </c:pt>
                <c:pt idx="1117">
                  <c:v>76.069100000000006</c:v>
                </c:pt>
                <c:pt idx="1118">
                  <c:v>76.029799999999994</c:v>
                </c:pt>
                <c:pt idx="1119">
                  <c:v>76.097999999999999</c:v>
                </c:pt>
                <c:pt idx="1120">
                  <c:v>74.7089</c:v>
                </c:pt>
                <c:pt idx="1121">
                  <c:v>73.317400000000006</c:v>
                </c:pt>
                <c:pt idx="1122">
                  <c:v>73.124700000000004</c:v>
                </c:pt>
                <c:pt idx="1123">
                  <c:v>72.771500000000003</c:v>
                </c:pt>
                <c:pt idx="1124">
                  <c:v>72.833299999999994</c:v>
                </c:pt>
                <c:pt idx="1125">
                  <c:v>72.692300000000003</c:v>
                </c:pt>
                <c:pt idx="1126">
                  <c:v>72.790499999999994</c:v>
                </c:pt>
                <c:pt idx="1127">
                  <c:v>71.918099999999995</c:v>
                </c:pt>
                <c:pt idx="1128">
                  <c:v>70.216899999999995</c:v>
                </c:pt>
                <c:pt idx="1129">
                  <c:v>69.635800000000003</c:v>
                </c:pt>
                <c:pt idx="1130">
                  <c:v>71.796899999999994</c:v>
                </c:pt>
                <c:pt idx="1131">
                  <c:v>73.356499999999997</c:v>
                </c:pt>
                <c:pt idx="1132">
                  <c:v>72.2881</c:v>
                </c:pt>
                <c:pt idx="1133">
                  <c:v>73.897400000000005</c:v>
                </c:pt>
                <c:pt idx="1134">
                  <c:v>72.5077</c:v>
                </c:pt>
                <c:pt idx="1135">
                  <c:v>73.977099999999993</c:v>
                </c:pt>
                <c:pt idx="1136">
                  <c:v>76.183499999999995</c:v>
                </c:pt>
                <c:pt idx="1137">
                  <c:v>77.412599999999998</c:v>
                </c:pt>
                <c:pt idx="1138">
                  <c:v>76.869900000000001</c:v>
                </c:pt>
                <c:pt idx="1139">
                  <c:v>75.084100000000007</c:v>
                </c:pt>
                <c:pt idx="1140">
                  <c:v>73.610500000000002</c:v>
                </c:pt>
                <c:pt idx="1141">
                  <c:v>73.766099999999994</c:v>
                </c:pt>
                <c:pt idx="1142">
                  <c:v>74.781800000000004</c:v>
                </c:pt>
                <c:pt idx="1143">
                  <c:v>75.293099999999995</c:v>
                </c:pt>
                <c:pt idx="1144">
                  <c:v>76.770799999999994</c:v>
                </c:pt>
                <c:pt idx="1145">
                  <c:v>75.594999999999999</c:v>
                </c:pt>
                <c:pt idx="1146">
                  <c:v>75.480199999999996</c:v>
                </c:pt>
                <c:pt idx="1147">
                  <c:v>75.587400000000002</c:v>
                </c:pt>
                <c:pt idx="1148">
                  <c:v>75.282499999999999</c:v>
                </c:pt>
                <c:pt idx="1149">
                  <c:v>73.461399999999998</c:v>
                </c:pt>
                <c:pt idx="1150">
                  <c:v>72.017700000000005</c:v>
                </c:pt>
                <c:pt idx="1151">
                  <c:v>73.129900000000006</c:v>
                </c:pt>
                <c:pt idx="1152">
                  <c:v>73.478200000000001</c:v>
                </c:pt>
                <c:pt idx="1153">
                  <c:v>70.474100000000007</c:v>
                </c:pt>
                <c:pt idx="1154">
                  <c:v>69.365899999999996</c:v>
                </c:pt>
                <c:pt idx="1155">
                  <c:v>69.167000000000002</c:v>
                </c:pt>
                <c:pt idx="1156">
                  <c:v>68.622299999999996</c:v>
                </c:pt>
                <c:pt idx="1157">
                  <c:v>69.110699999999994</c:v>
                </c:pt>
                <c:pt idx="1158">
                  <c:v>69.211299999999994</c:v>
                </c:pt>
                <c:pt idx="1159">
                  <c:v>68.760300000000001</c:v>
                </c:pt>
                <c:pt idx="1160">
                  <c:v>67.3613</c:v>
                </c:pt>
                <c:pt idx="1161">
                  <c:v>69.72</c:v>
                </c:pt>
                <c:pt idx="1162">
                  <c:v>71.492599999999996</c:v>
                </c:pt>
                <c:pt idx="1163">
                  <c:v>75.726399999999998</c:v>
                </c:pt>
                <c:pt idx="1164">
                  <c:v>75.861900000000006</c:v>
                </c:pt>
                <c:pt idx="1165">
                  <c:v>75.995699999999999</c:v>
                </c:pt>
                <c:pt idx="1166">
                  <c:v>77.547700000000006</c:v>
                </c:pt>
                <c:pt idx="1167">
                  <c:v>77.508799999999994</c:v>
                </c:pt>
                <c:pt idx="1168">
                  <c:v>77.224000000000004</c:v>
                </c:pt>
                <c:pt idx="1169">
                  <c:v>77.000500000000002</c:v>
                </c:pt>
                <c:pt idx="1170">
                  <c:v>76.813900000000004</c:v>
                </c:pt>
                <c:pt idx="1171">
                  <c:v>78.905500000000004</c:v>
                </c:pt>
                <c:pt idx="1172">
                  <c:v>80.099999999999994</c:v>
                </c:pt>
                <c:pt idx="1173">
                  <c:v>80.784400000000005</c:v>
                </c:pt>
                <c:pt idx="1174">
                  <c:v>81.005300000000005</c:v>
                </c:pt>
                <c:pt idx="1175">
                  <c:v>82.167000000000002</c:v>
                </c:pt>
                <c:pt idx="1176">
                  <c:v>79.119200000000006</c:v>
                </c:pt>
                <c:pt idx="1177">
                  <c:v>77.907899999999998</c:v>
                </c:pt>
                <c:pt idx="1178">
                  <c:v>78.537300000000002</c:v>
                </c:pt>
                <c:pt idx="1179">
                  <c:v>77.872100000000003</c:v>
                </c:pt>
                <c:pt idx="1180">
                  <c:v>77.900000000000006</c:v>
                </c:pt>
                <c:pt idx="1181">
                  <c:v>77.382800000000003</c:v>
                </c:pt>
                <c:pt idx="1182">
                  <c:v>78.570599999999999</c:v>
                </c:pt>
                <c:pt idx="1183">
                  <c:v>76.9816</c:v>
                </c:pt>
                <c:pt idx="1184">
                  <c:v>76.403999999999996</c:v>
                </c:pt>
                <c:pt idx="1185">
                  <c:v>75.617900000000006</c:v>
                </c:pt>
                <c:pt idx="1186">
                  <c:v>74.712900000000005</c:v>
                </c:pt>
                <c:pt idx="1187">
                  <c:v>73.021100000000004</c:v>
                </c:pt>
                <c:pt idx="1188">
                  <c:v>71.958699999999993</c:v>
                </c:pt>
                <c:pt idx="1189">
                  <c:v>73.010300000000001</c:v>
                </c:pt>
                <c:pt idx="1190">
                  <c:v>74.024500000000003</c:v>
                </c:pt>
                <c:pt idx="1191">
                  <c:v>72.932699999999997</c:v>
                </c:pt>
                <c:pt idx="1192">
                  <c:v>72.514300000000006</c:v>
                </c:pt>
                <c:pt idx="1193">
                  <c:v>73.263000000000005</c:v>
                </c:pt>
                <c:pt idx="1194">
                  <c:v>75.600099999999998</c:v>
                </c:pt>
                <c:pt idx="1195">
                  <c:v>73.393699999999995</c:v>
                </c:pt>
                <c:pt idx="1196">
                  <c:v>73.953100000000006</c:v>
                </c:pt>
                <c:pt idx="1197">
                  <c:v>72.058300000000003</c:v>
                </c:pt>
                <c:pt idx="1198">
                  <c:v>73.211600000000004</c:v>
                </c:pt>
                <c:pt idx="1199">
                  <c:v>71.035200000000003</c:v>
                </c:pt>
                <c:pt idx="1200">
                  <c:v>70.554100000000005</c:v>
                </c:pt>
                <c:pt idx="1201">
                  <c:v>69.409700000000001</c:v>
                </c:pt>
                <c:pt idx="1202">
                  <c:v>69.944900000000004</c:v>
                </c:pt>
                <c:pt idx="1203">
                  <c:v>69.489599999999996</c:v>
                </c:pt>
                <c:pt idx="1204">
                  <c:v>70.325599999999994</c:v>
                </c:pt>
                <c:pt idx="1205">
                  <c:v>72.841899999999995</c:v>
                </c:pt>
                <c:pt idx="1206">
                  <c:v>76.8078</c:v>
                </c:pt>
                <c:pt idx="1207">
                  <c:v>77.170400000000001</c:v>
                </c:pt>
                <c:pt idx="1208">
                  <c:v>78.935000000000002</c:v>
                </c:pt>
                <c:pt idx="1209">
                  <c:v>79.007900000000006</c:v>
                </c:pt>
                <c:pt idx="1210">
                  <c:v>81.218100000000007</c:v>
                </c:pt>
                <c:pt idx="1211">
                  <c:v>82.0548</c:v>
                </c:pt>
                <c:pt idx="1212">
                  <c:v>83.262299999999996</c:v>
                </c:pt>
                <c:pt idx="1213">
                  <c:v>85.460999999999999</c:v>
                </c:pt>
                <c:pt idx="1214">
                  <c:v>88.066000000000003</c:v>
                </c:pt>
                <c:pt idx="1215">
                  <c:v>88.251000000000005</c:v>
                </c:pt>
                <c:pt idx="1216">
                  <c:v>90.920900000000003</c:v>
                </c:pt>
                <c:pt idx="1217">
                  <c:v>90.365499999999997</c:v>
                </c:pt>
                <c:pt idx="1218">
                  <c:v>91.378</c:v>
                </c:pt>
                <c:pt idx="1219">
                  <c:v>88.012100000000004</c:v>
                </c:pt>
                <c:pt idx="1220">
                  <c:v>87.626099999999994</c:v>
                </c:pt>
                <c:pt idx="1221">
                  <c:v>92.984700000000004</c:v>
                </c:pt>
                <c:pt idx="1222">
                  <c:v>95.194599999999994</c:v>
                </c:pt>
                <c:pt idx="1223">
                  <c:v>96.290599999999998</c:v>
                </c:pt>
                <c:pt idx="1224">
                  <c:v>94.809399999999997</c:v>
                </c:pt>
                <c:pt idx="1225">
                  <c:v>94.107399999999998</c:v>
                </c:pt>
                <c:pt idx="1226">
                  <c:v>95.107200000000006</c:v>
                </c:pt>
                <c:pt idx="1227">
                  <c:v>94.825000000000003</c:v>
                </c:pt>
                <c:pt idx="1228">
                  <c:v>97.533199999999994</c:v>
                </c:pt>
                <c:pt idx="1229">
                  <c:v>96.044600000000003</c:v>
                </c:pt>
                <c:pt idx="1230">
                  <c:v>95.822699999999998</c:v>
                </c:pt>
                <c:pt idx="1231">
                  <c:v>98.856099999999998</c:v>
                </c:pt>
                <c:pt idx="1232">
                  <c:v>99.831100000000006</c:v>
                </c:pt>
                <c:pt idx="1233">
                  <c:v>110.50830000000001</c:v>
                </c:pt>
                <c:pt idx="1234">
                  <c:v>102.7491</c:v>
                </c:pt>
                <c:pt idx="1235">
                  <c:v>107.2174</c:v>
                </c:pt>
                <c:pt idx="1236">
                  <c:v>103.6644</c:v>
                </c:pt>
                <c:pt idx="1237">
                  <c:v>108.5185</c:v>
                </c:pt>
                <c:pt idx="1238">
                  <c:v>111.1748</c:v>
                </c:pt>
                <c:pt idx="1239">
                  <c:v>111.4485</c:v>
                </c:pt>
                <c:pt idx="1240">
                  <c:v>103.47369999999999</c:v>
                </c:pt>
                <c:pt idx="1241">
                  <c:v>108.05840000000001</c:v>
                </c:pt>
                <c:pt idx="1242">
                  <c:v>108.85209999999999</c:v>
                </c:pt>
                <c:pt idx="1243">
                  <c:v>106.9498</c:v>
                </c:pt>
                <c:pt idx="1244">
                  <c:v>107.43300000000001</c:v>
                </c:pt>
                <c:pt idx="1245">
                  <c:v>102.5596</c:v>
                </c:pt>
                <c:pt idx="1246">
                  <c:v>102.53740000000001</c:v>
                </c:pt>
                <c:pt idx="1247">
                  <c:v>104.55159999999999</c:v>
                </c:pt>
                <c:pt idx="1248">
                  <c:v>105.97539999999999</c:v>
                </c:pt>
                <c:pt idx="1249">
                  <c:v>109.5598</c:v>
                </c:pt>
                <c:pt idx="1250">
                  <c:v>105.95650000000001</c:v>
                </c:pt>
                <c:pt idx="1251">
                  <c:v>107.1097</c:v>
                </c:pt>
                <c:pt idx="1252">
                  <c:v>105.0857</c:v>
                </c:pt>
                <c:pt idx="1253">
                  <c:v>105.8617</c:v>
                </c:pt>
                <c:pt idx="1254">
                  <c:v>107.3856</c:v>
                </c:pt>
                <c:pt idx="1255">
                  <c:v>108.9235</c:v>
                </c:pt>
                <c:pt idx="1256">
                  <c:v>109.3584</c:v>
                </c:pt>
                <c:pt idx="1257">
                  <c:v>112.5091</c:v>
                </c:pt>
                <c:pt idx="1258">
                  <c:v>111.6357</c:v>
                </c:pt>
                <c:pt idx="1259">
                  <c:v>111.1249</c:v>
                </c:pt>
                <c:pt idx="1260">
                  <c:v>112.17270000000001</c:v>
                </c:pt>
                <c:pt idx="1261">
                  <c:v>110.85290000000001</c:v>
                </c:pt>
                <c:pt idx="1262">
                  <c:v>109.0599</c:v>
                </c:pt>
                <c:pt idx="1263">
                  <c:v>108.88249999999999</c:v>
                </c:pt>
                <c:pt idx="1264">
                  <c:v>107.19799999999999</c:v>
                </c:pt>
                <c:pt idx="1265">
                  <c:v>100.5857</c:v>
                </c:pt>
                <c:pt idx="1266">
                  <c:v>98.266199999999998</c:v>
                </c:pt>
                <c:pt idx="1267">
                  <c:v>99.456400000000002</c:v>
                </c:pt>
                <c:pt idx="1268">
                  <c:v>96.867800000000003</c:v>
                </c:pt>
                <c:pt idx="1269">
                  <c:v>96.915099999999995</c:v>
                </c:pt>
                <c:pt idx="1270">
                  <c:v>96.819500000000005</c:v>
                </c:pt>
                <c:pt idx="1271">
                  <c:v>99.900099999999995</c:v>
                </c:pt>
                <c:pt idx="1272">
                  <c:v>97.912000000000006</c:v>
                </c:pt>
                <c:pt idx="1273">
                  <c:v>96.521600000000007</c:v>
                </c:pt>
                <c:pt idx="1274">
                  <c:v>98.5672</c:v>
                </c:pt>
                <c:pt idx="1275">
                  <c:v>94.472700000000003</c:v>
                </c:pt>
                <c:pt idx="1276">
                  <c:v>92.386099999999999</c:v>
                </c:pt>
                <c:pt idx="1277">
                  <c:v>90.302899999999994</c:v>
                </c:pt>
                <c:pt idx="1278">
                  <c:v>92.128</c:v>
                </c:pt>
                <c:pt idx="1279">
                  <c:v>90.171199999999999</c:v>
                </c:pt>
                <c:pt idx="1280">
                  <c:v>90.654600000000002</c:v>
                </c:pt>
                <c:pt idx="1281">
                  <c:v>88.433700000000002</c:v>
                </c:pt>
                <c:pt idx="1282">
                  <c:v>91.232399999999998</c:v>
                </c:pt>
                <c:pt idx="1283">
                  <c:v>91.861099999999993</c:v>
                </c:pt>
                <c:pt idx="1284">
                  <c:v>94.700100000000006</c:v>
                </c:pt>
                <c:pt idx="1285">
                  <c:v>93.524600000000007</c:v>
                </c:pt>
                <c:pt idx="1286">
                  <c:v>97.2209</c:v>
                </c:pt>
                <c:pt idx="1287">
                  <c:v>98.670299999999997</c:v>
                </c:pt>
                <c:pt idx="1288">
                  <c:v>100.08150000000001</c:v>
                </c:pt>
                <c:pt idx="1289">
                  <c:v>97.375</c:v>
                </c:pt>
                <c:pt idx="1290">
                  <c:v>99.848699999999994</c:v>
                </c:pt>
                <c:pt idx="1291">
                  <c:v>101.0318</c:v>
                </c:pt>
                <c:pt idx="1292">
                  <c:v>97.793800000000005</c:v>
                </c:pt>
                <c:pt idx="1293">
                  <c:v>93.046300000000002</c:v>
                </c:pt>
                <c:pt idx="1294">
                  <c:v>92.688199999999995</c:v>
                </c:pt>
                <c:pt idx="1295">
                  <c:v>92.695800000000006</c:v>
                </c:pt>
                <c:pt idx="1296">
                  <c:v>91.724000000000004</c:v>
                </c:pt>
                <c:pt idx="1297">
                  <c:v>88.584400000000002</c:v>
                </c:pt>
                <c:pt idx="1298">
                  <c:v>86.795699999999997</c:v>
                </c:pt>
                <c:pt idx="1299">
                  <c:v>86.748099999999994</c:v>
                </c:pt>
                <c:pt idx="1300">
                  <c:v>86.626900000000006</c:v>
                </c:pt>
                <c:pt idx="1301">
                  <c:v>84.971599999999995</c:v>
                </c:pt>
                <c:pt idx="1302">
                  <c:v>85.613100000000003</c:v>
                </c:pt>
                <c:pt idx="1303">
                  <c:v>86.536199999999994</c:v>
                </c:pt>
                <c:pt idx="1304">
                  <c:v>84.838800000000006</c:v>
                </c:pt>
                <c:pt idx="1305">
                  <c:v>86.346199999999996</c:v>
                </c:pt>
                <c:pt idx="1306">
                  <c:v>89.844800000000006</c:v>
                </c:pt>
                <c:pt idx="1307">
                  <c:v>89.295299999999997</c:v>
                </c:pt>
                <c:pt idx="1308">
                  <c:v>91.938299999999998</c:v>
                </c:pt>
                <c:pt idx="1309">
                  <c:v>90.187399999999997</c:v>
                </c:pt>
                <c:pt idx="1310">
                  <c:v>91.530600000000007</c:v>
                </c:pt>
                <c:pt idx="1311">
                  <c:v>89.686199999999999</c:v>
                </c:pt>
                <c:pt idx="1312">
                  <c:v>88.544300000000007</c:v>
                </c:pt>
                <c:pt idx="1313">
                  <c:v>84.536199999999994</c:v>
                </c:pt>
                <c:pt idx="1314">
                  <c:v>85.9482</c:v>
                </c:pt>
                <c:pt idx="1315">
                  <c:v>89.470699999999994</c:v>
                </c:pt>
                <c:pt idx="1316">
                  <c:v>89.902199999999993</c:v>
                </c:pt>
                <c:pt idx="1317">
                  <c:v>87.572800000000001</c:v>
                </c:pt>
                <c:pt idx="1318">
                  <c:v>89.064599999999999</c:v>
                </c:pt>
                <c:pt idx="1319">
                  <c:v>89.513400000000004</c:v>
                </c:pt>
                <c:pt idx="1320">
                  <c:v>88.254800000000003</c:v>
                </c:pt>
                <c:pt idx="1321">
                  <c:v>89.855699999999999</c:v>
                </c:pt>
                <c:pt idx="1322">
                  <c:v>91.2864</c:v>
                </c:pt>
                <c:pt idx="1323">
                  <c:v>88.541200000000003</c:v>
                </c:pt>
                <c:pt idx="1324">
                  <c:v>89.456599999999995</c:v>
                </c:pt>
                <c:pt idx="1325">
                  <c:v>88.249600000000001</c:v>
                </c:pt>
                <c:pt idx="1326">
                  <c:v>84.784499999999994</c:v>
                </c:pt>
                <c:pt idx="1327">
                  <c:v>85.562399999999997</c:v>
                </c:pt>
                <c:pt idx="1328">
                  <c:v>85.655900000000003</c:v>
                </c:pt>
                <c:pt idx="1329">
                  <c:v>87.487099999999998</c:v>
                </c:pt>
                <c:pt idx="1330">
                  <c:v>88.443600000000004</c:v>
                </c:pt>
                <c:pt idx="1331">
                  <c:v>89.419499999999999</c:v>
                </c:pt>
                <c:pt idx="1332">
                  <c:v>87.946200000000005</c:v>
                </c:pt>
                <c:pt idx="1333">
                  <c:v>90.850499999999997</c:v>
                </c:pt>
                <c:pt idx="1334">
                  <c:v>89.055400000000006</c:v>
                </c:pt>
                <c:pt idx="1335">
                  <c:v>88.422399999999996</c:v>
                </c:pt>
                <c:pt idx="1336">
                  <c:v>89.592699999999994</c:v>
                </c:pt>
                <c:pt idx="1337">
                  <c:v>87.923900000000003</c:v>
                </c:pt>
                <c:pt idx="1338">
                  <c:v>87.961399999999998</c:v>
                </c:pt>
                <c:pt idx="1339">
                  <c:v>87.576099999999997</c:v>
                </c:pt>
                <c:pt idx="1340">
                  <c:v>85.887100000000004</c:v>
                </c:pt>
                <c:pt idx="1341">
                  <c:v>84.427499999999995</c:v>
                </c:pt>
                <c:pt idx="1342">
                  <c:v>86.721400000000003</c:v>
                </c:pt>
                <c:pt idx="1343">
                  <c:v>87.296000000000006</c:v>
                </c:pt>
                <c:pt idx="1344">
                  <c:v>89.188400000000001</c:v>
                </c:pt>
                <c:pt idx="1345">
                  <c:v>90.858000000000004</c:v>
                </c:pt>
                <c:pt idx="1346">
                  <c:v>90.688699999999997</c:v>
                </c:pt>
                <c:pt idx="1347">
                  <c:v>92.371700000000004</c:v>
                </c:pt>
                <c:pt idx="1348">
                  <c:v>94.721400000000003</c:v>
                </c:pt>
                <c:pt idx="1349">
                  <c:v>96.369900000000001</c:v>
                </c:pt>
                <c:pt idx="1350">
                  <c:v>97.808000000000007</c:v>
                </c:pt>
                <c:pt idx="1351">
                  <c:v>95.327699999999993</c:v>
                </c:pt>
                <c:pt idx="1352">
                  <c:v>92.753299999999996</c:v>
                </c:pt>
                <c:pt idx="1353">
                  <c:v>92.905199999999994</c:v>
                </c:pt>
                <c:pt idx="1354">
                  <c:v>92.292100000000005</c:v>
                </c:pt>
                <c:pt idx="1355">
                  <c:v>93.291200000000003</c:v>
                </c:pt>
                <c:pt idx="1356">
                  <c:v>92.3827</c:v>
                </c:pt>
                <c:pt idx="1357">
                  <c:v>88.832700000000003</c:v>
                </c:pt>
                <c:pt idx="1358">
                  <c:v>86.311999999999998</c:v>
                </c:pt>
                <c:pt idx="1359">
                  <c:v>86.183599999999998</c:v>
                </c:pt>
                <c:pt idx="1360">
                  <c:v>88.819199999999995</c:v>
                </c:pt>
                <c:pt idx="1361">
                  <c:v>89.443200000000004</c:v>
                </c:pt>
                <c:pt idx="1362">
                  <c:v>89.818100000000001</c:v>
                </c:pt>
                <c:pt idx="1363">
                  <c:v>81.106399999999994</c:v>
                </c:pt>
                <c:pt idx="1364">
                  <c:v>80.693799999999996</c:v>
                </c:pt>
                <c:pt idx="1365">
                  <c:v>82.083799999999997</c:v>
                </c:pt>
                <c:pt idx="1366">
                  <c:v>84.415700000000001</c:v>
                </c:pt>
                <c:pt idx="1367">
                  <c:v>85.417299999999997</c:v>
                </c:pt>
                <c:pt idx="1368">
                  <c:v>82.892700000000005</c:v>
                </c:pt>
                <c:pt idx="1369">
                  <c:v>83.982100000000003</c:v>
                </c:pt>
                <c:pt idx="1370">
                  <c:v>85.605900000000005</c:v>
                </c:pt>
                <c:pt idx="1371">
                  <c:v>85.470399999999998</c:v>
                </c:pt>
                <c:pt idx="1372">
                  <c:v>86.209400000000002</c:v>
                </c:pt>
                <c:pt idx="1373">
                  <c:v>88.682000000000002</c:v>
                </c:pt>
                <c:pt idx="1374">
                  <c:v>88.735799999999998</c:v>
                </c:pt>
                <c:pt idx="1375">
                  <c:v>90.284599999999998</c:v>
                </c:pt>
                <c:pt idx="1376">
                  <c:v>90.831400000000002</c:v>
                </c:pt>
                <c:pt idx="1377">
                  <c:v>90.828599999999994</c:v>
                </c:pt>
                <c:pt idx="1378">
                  <c:v>86.454099999999997</c:v>
                </c:pt>
                <c:pt idx="1379">
                  <c:v>86.428200000000004</c:v>
                </c:pt>
                <c:pt idx="1380">
                  <c:v>88.2256</c:v>
                </c:pt>
                <c:pt idx="1381">
                  <c:v>89.325800000000001</c:v>
                </c:pt>
                <c:pt idx="1382">
                  <c:v>89.364400000000003</c:v>
                </c:pt>
                <c:pt idx="1383">
                  <c:v>92.475300000000004</c:v>
                </c:pt>
                <c:pt idx="1384">
                  <c:v>89.770200000000003</c:v>
                </c:pt>
                <c:pt idx="1385">
                  <c:v>92.871600000000001</c:v>
                </c:pt>
                <c:pt idx="1386">
                  <c:v>93.330500000000001</c:v>
                </c:pt>
                <c:pt idx="1387">
                  <c:v>94.643199999999993</c:v>
                </c:pt>
                <c:pt idx="1388">
                  <c:v>94.687899999999999</c:v>
                </c:pt>
                <c:pt idx="1389">
                  <c:v>95.206900000000005</c:v>
                </c:pt>
                <c:pt idx="1390">
                  <c:v>94.327500000000001</c:v>
                </c:pt>
                <c:pt idx="1391">
                  <c:v>94.947999999999993</c:v>
                </c:pt>
                <c:pt idx="1392">
                  <c:v>95.846599999999995</c:v>
                </c:pt>
                <c:pt idx="1393">
                  <c:v>96.379900000000006</c:v>
                </c:pt>
                <c:pt idx="1394">
                  <c:v>98.3249</c:v>
                </c:pt>
                <c:pt idx="1395">
                  <c:v>92.644999999999996</c:v>
                </c:pt>
                <c:pt idx="1396">
                  <c:v>92.775899999999993</c:v>
                </c:pt>
                <c:pt idx="1397">
                  <c:v>89.206699999999998</c:v>
                </c:pt>
                <c:pt idx="1398">
                  <c:v>91.626900000000006</c:v>
                </c:pt>
                <c:pt idx="1399">
                  <c:v>91.465699999999998</c:v>
                </c:pt>
                <c:pt idx="1400">
                  <c:v>91.236099999999993</c:v>
                </c:pt>
                <c:pt idx="1401">
                  <c:v>92.020099999999999</c:v>
                </c:pt>
                <c:pt idx="1402">
                  <c:v>91.625100000000003</c:v>
                </c:pt>
                <c:pt idx="1403">
                  <c:v>92.41</c:v>
                </c:pt>
                <c:pt idx="1404">
                  <c:v>91.735699999999994</c:v>
                </c:pt>
                <c:pt idx="1405">
                  <c:v>93.2209</c:v>
                </c:pt>
                <c:pt idx="1406">
                  <c:v>93.112799999999993</c:v>
                </c:pt>
                <c:pt idx="1407">
                  <c:v>89.480599999999995</c:v>
                </c:pt>
                <c:pt idx="1408">
                  <c:v>92.865399999999994</c:v>
                </c:pt>
                <c:pt idx="1409">
                  <c:v>90.094399999999993</c:v>
                </c:pt>
                <c:pt idx="1410">
                  <c:v>89.499700000000004</c:v>
                </c:pt>
                <c:pt idx="1411">
                  <c:v>89.891499999999994</c:v>
                </c:pt>
                <c:pt idx="1412">
                  <c:v>88.954800000000006</c:v>
                </c:pt>
                <c:pt idx="1413">
                  <c:v>84.924400000000006</c:v>
                </c:pt>
                <c:pt idx="1414">
                  <c:v>79.911500000000004</c:v>
                </c:pt>
                <c:pt idx="1415">
                  <c:v>77.899100000000004</c:v>
                </c:pt>
                <c:pt idx="1416">
                  <c:v>75.502499999999998</c:v>
                </c:pt>
                <c:pt idx="1417">
                  <c:v>70.9268</c:v>
                </c:pt>
                <c:pt idx="1418">
                  <c:v>74.739699999999999</c:v>
                </c:pt>
                <c:pt idx="1419">
                  <c:v>76.28</c:v>
                </c:pt>
                <c:pt idx="1420">
                  <c:v>76.770200000000003</c:v>
                </c:pt>
                <c:pt idx="1421">
                  <c:v>75.101900000000001</c:v>
                </c:pt>
                <c:pt idx="1422">
                  <c:v>75.8262</c:v>
                </c:pt>
                <c:pt idx="1423">
                  <c:v>72.784800000000004</c:v>
                </c:pt>
                <c:pt idx="1424">
                  <c:v>72.785399999999996</c:v>
                </c:pt>
                <c:pt idx="1425">
                  <c:v>72.639300000000006</c:v>
                </c:pt>
                <c:pt idx="1426">
                  <c:v>72.5137</c:v>
                </c:pt>
                <c:pt idx="1427">
                  <c:v>73.753699999999995</c:v>
                </c:pt>
                <c:pt idx="1428">
                  <c:v>74.555400000000006</c:v>
                </c:pt>
                <c:pt idx="1429">
                  <c:v>72.970399999999998</c:v>
                </c:pt>
                <c:pt idx="1430">
                  <c:v>72.490799999999993</c:v>
                </c:pt>
                <c:pt idx="1431">
                  <c:v>73.440299999999993</c:v>
                </c:pt>
                <c:pt idx="1432">
                  <c:v>74.294200000000004</c:v>
                </c:pt>
                <c:pt idx="1433">
                  <c:v>74.299700000000001</c:v>
                </c:pt>
                <c:pt idx="1434">
                  <c:v>75.8703</c:v>
                </c:pt>
                <c:pt idx="1435">
                  <c:v>74.704300000000003</c:v>
                </c:pt>
                <c:pt idx="1436">
                  <c:v>75.560699999999997</c:v>
                </c:pt>
                <c:pt idx="1437">
                  <c:v>75.573999999999998</c:v>
                </c:pt>
                <c:pt idx="1438">
                  <c:v>73.646199999999993</c:v>
                </c:pt>
                <c:pt idx="1439">
                  <c:v>71.984499999999997</c:v>
                </c:pt>
                <c:pt idx="1440">
                  <c:v>72.232299999999995</c:v>
                </c:pt>
                <c:pt idx="1441">
                  <c:v>71.6096</c:v>
                </c:pt>
                <c:pt idx="1442">
                  <c:v>72.404700000000005</c:v>
                </c:pt>
                <c:pt idx="1443">
                  <c:v>73.145899999999997</c:v>
                </c:pt>
                <c:pt idx="1444">
                  <c:v>73.8673</c:v>
                </c:pt>
                <c:pt idx="1445">
                  <c:v>73.072299999999998</c:v>
                </c:pt>
                <c:pt idx="1446">
                  <c:v>75.795699999999997</c:v>
                </c:pt>
                <c:pt idx="1447">
                  <c:v>76.674899999999994</c:v>
                </c:pt>
                <c:pt idx="1448">
                  <c:v>77.656999999999996</c:v>
                </c:pt>
                <c:pt idx="1449">
                  <c:v>78.981200000000001</c:v>
                </c:pt>
                <c:pt idx="1450">
                  <c:v>79.036699999999996</c:v>
                </c:pt>
                <c:pt idx="1451">
                  <c:v>78.016000000000005</c:v>
                </c:pt>
                <c:pt idx="1452">
                  <c:v>76.707400000000007</c:v>
                </c:pt>
                <c:pt idx="1453">
                  <c:v>76.463700000000003</c:v>
                </c:pt>
                <c:pt idx="1454">
                  <c:v>76.706699999999998</c:v>
                </c:pt>
                <c:pt idx="1455">
                  <c:v>76.683599999999998</c:v>
                </c:pt>
                <c:pt idx="1456">
                  <c:v>77.677599999999998</c:v>
                </c:pt>
                <c:pt idx="1457">
                  <c:v>78.799199999999999</c:v>
                </c:pt>
                <c:pt idx="1458">
                  <c:v>78.263900000000007</c:v>
                </c:pt>
                <c:pt idx="1459">
                  <c:v>78.5518</c:v>
                </c:pt>
                <c:pt idx="1460">
                  <c:v>79.228399999999993</c:v>
                </c:pt>
                <c:pt idx="1461">
                  <c:v>77.026499999999999</c:v>
                </c:pt>
                <c:pt idx="1462">
                  <c:v>76.608000000000004</c:v>
                </c:pt>
                <c:pt idx="1463">
                  <c:v>75.518799999999999</c:v>
                </c:pt>
                <c:pt idx="1464">
                  <c:v>77.073099999999997</c:v>
                </c:pt>
                <c:pt idx="1465">
                  <c:v>79.941599999999994</c:v>
                </c:pt>
                <c:pt idx="1466">
                  <c:v>88.492800000000003</c:v>
                </c:pt>
                <c:pt idx="1467">
                  <c:v>89.663300000000007</c:v>
                </c:pt>
                <c:pt idx="1468">
                  <c:v>91.441800000000001</c:v>
                </c:pt>
                <c:pt idx="1469">
                  <c:v>91.176000000000002</c:v>
                </c:pt>
                <c:pt idx="1470">
                  <c:v>92.026700000000005</c:v>
                </c:pt>
                <c:pt idx="1471">
                  <c:v>89.684899999999999</c:v>
                </c:pt>
                <c:pt idx="1472">
                  <c:v>88.983000000000004</c:v>
                </c:pt>
                <c:pt idx="1473">
                  <c:v>90.234099999999998</c:v>
                </c:pt>
                <c:pt idx="1474">
                  <c:v>92.948599999999999</c:v>
                </c:pt>
                <c:pt idx="1475">
                  <c:v>92.679900000000004</c:v>
                </c:pt>
                <c:pt idx="1476">
                  <c:v>89.556299999999993</c:v>
                </c:pt>
                <c:pt idx="1477">
                  <c:v>90.204300000000003</c:v>
                </c:pt>
                <c:pt idx="1478">
                  <c:v>88.347499999999997</c:v>
                </c:pt>
                <c:pt idx="1479">
                  <c:v>88.363699999999994</c:v>
                </c:pt>
                <c:pt idx="1480">
                  <c:v>89.019099999999995</c:v>
                </c:pt>
                <c:pt idx="1481">
                  <c:v>87.881600000000006</c:v>
                </c:pt>
                <c:pt idx="1482">
                  <c:v>80.469700000000003</c:v>
                </c:pt>
                <c:pt idx="1483">
                  <c:v>80.371700000000004</c:v>
                </c:pt>
                <c:pt idx="1484">
                  <c:v>78.748199999999997</c:v>
                </c:pt>
                <c:pt idx="1485">
                  <c:v>76.408199999999994</c:v>
                </c:pt>
                <c:pt idx="1486">
                  <c:v>77.253</c:v>
                </c:pt>
                <c:pt idx="1487">
                  <c:v>80.700699999999998</c:v>
                </c:pt>
                <c:pt idx="1488">
                  <c:v>78.106300000000005</c:v>
                </c:pt>
                <c:pt idx="1489">
                  <c:v>75.620699999999999</c:v>
                </c:pt>
                <c:pt idx="1490">
                  <c:v>76.310400000000001</c:v>
                </c:pt>
                <c:pt idx="1491">
                  <c:v>74.153000000000006</c:v>
                </c:pt>
                <c:pt idx="1492">
                  <c:v>75.783699999999996</c:v>
                </c:pt>
                <c:pt idx="1493">
                  <c:v>72.148300000000006</c:v>
                </c:pt>
                <c:pt idx="1494">
                  <c:v>67.950999999999993</c:v>
                </c:pt>
                <c:pt idx="1495">
                  <c:v>66.931200000000004</c:v>
                </c:pt>
                <c:pt idx="1496">
                  <c:v>70.901899999999998</c:v>
                </c:pt>
                <c:pt idx="1497">
                  <c:v>70.802999999999997</c:v>
                </c:pt>
                <c:pt idx="1498">
                  <c:v>73.923900000000003</c:v>
                </c:pt>
                <c:pt idx="1499">
                  <c:v>72.110399999999998</c:v>
                </c:pt>
                <c:pt idx="1500">
                  <c:v>73.989900000000006</c:v>
                </c:pt>
                <c:pt idx="1501">
                  <c:v>73.956299999999999</c:v>
                </c:pt>
                <c:pt idx="1502">
                  <c:v>74.244799999999998</c:v>
                </c:pt>
                <c:pt idx="1503">
                  <c:v>73.450599999999994</c:v>
                </c:pt>
                <c:pt idx="1504">
                  <c:v>75.045400000000001</c:v>
                </c:pt>
                <c:pt idx="1505">
                  <c:v>74.416300000000007</c:v>
                </c:pt>
                <c:pt idx="1506">
                  <c:v>74.542299999999997</c:v>
                </c:pt>
                <c:pt idx="1507">
                  <c:v>74.238399999999999</c:v>
                </c:pt>
                <c:pt idx="1508">
                  <c:v>70.835099999999997</c:v>
                </c:pt>
                <c:pt idx="1509">
                  <c:v>70.443799999999996</c:v>
                </c:pt>
                <c:pt idx="1510">
                  <c:v>68.803700000000006</c:v>
                </c:pt>
                <c:pt idx="1511">
                  <c:v>68.490799999999993</c:v>
                </c:pt>
                <c:pt idx="1512">
                  <c:v>68.177999999999997</c:v>
                </c:pt>
                <c:pt idx="1513">
                  <c:v>68.139399999999995</c:v>
                </c:pt>
                <c:pt idx="1514">
                  <c:v>68.646199999999993</c:v>
                </c:pt>
                <c:pt idx="1515">
                  <c:v>69.2393</c:v>
                </c:pt>
                <c:pt idx="1516">
                  <c:v>68.889200000000002</c:v>
                </c:pt>
                <c:pt idx="1517">
                  <c:v>66.916600000000003</c:v>
                </c:pt>
                <c:pt idx="1518">
                  <c:v>67.987099999999998</c:v>
                </c:pt>
                <c:pt idx="1519">
                  <c:v>65.2089</c:v>
                </c:pt>
                <c:pt idx="1520">
                  <c:v>65.704599999999999</c:v>
                </c:pt>
                <c:pt idx="1521">
                  <c:v>66.360100000000003</c:v>
                </c:pt>
                <c:pt idx="1522">
                  <c:v>66.6798</c:v>
                </c:pt>
                <c:pt idx="1523">
                  <c:v>66.894900000000007</c:v>
                </c:pt>
                <c:pt idx="1524">
                  <c:v>67.474100000000007</c:v>
                </c:pt>
                <c:pt idx="1525">
                  <c:v>67.213999999999999</c:v>
                </c:pt>
                <c:pt idx="1526">
                  <c:v>68.5839</c:v>
                </c:pt>
                <c:pt idx="1527">
                  <c:v>68.0428</c:v>
                </c:pt>
                <c:pt idx="1528">
                  <c:v>67.634799999999998</c:v>
                </c:pt>
                <c:pt idx="1529">
                  <c:v>66.639700000000005</c:v>
                </c:pt>
                <c:pt idx="1530">
                  <c:v>67.202299999999994</c:v>
                </c:pt>
                <c:pt idx="1531">
                  <c:v>66.708399999999997</c:v>
                </c:pt>
                <c:pt idx="1532">
                  <c:v>61.384900000000002</c:v>
                </c:pt>
                <c:pt idx="1533">
                  <c:v>60.158900000000003</c:v>
                </c:pt>
                <c:pt idx="1534">
                  <c:v>60.9649</c:v>
                </c:pt>
                <c:pt idx="1535">
                  <c:v>57.976300000000002</c:v>
                </c:pt>
                <c:pt idx="1536">
                  <c:v>57.043799999999997</c:v>
                </c:pt>
                <c:pt idx="1537">
                  <c:v>57.8688</c:v>
                </c:pt>
                <c:pt idx="1538">
                  <c:v>58.934600000000003</c:v>
                </c:pt>
                <c:pt idx="1539">
                  <c:v>59.494100000000003</c:v>
                </c:pt>
                <c:pt idx="1540">
                  <c:v>58.347000000000001</c:v>
                </c:pt>
                <c:pt idx="1541">
                  <c:v>61.785499999999999</c:v>
                </c:pt>
                <c:pt idx="1542">
                  <c:v>62.084099999999999</c:v>
                </c:pt>
                <c:pt idx="1543">
                  <c:v>59.252000000000002</c:v>
                </c:pt>
                <c:pt idx="1544">
                  <c:v>60.7483</c:v>
                </c:pt>
                <c:pt idx="1545">
                  <c:v>62.1175</c:v>
                </c:pt>
                <c:pt idx="1546">
                  <c:v>61.754300000000001</c:v>
                </c:pt>
                <c:pt idx="1547">
                  <c:v>63.566800000000001</c:v>
                </c:pt>
                <c:pt idx="1548">
                  <c:v>63.7956</c:v>
                </c:pt>
                <c:pt idx="1549">
                  <c:v>62.746400000000001</c:v>
                </c:pt>
                <c:pt idx="1550">
                  <c:v>64.220799999999997</c:v>
                </c:pt>
                <c:pt idx="1551">
                  <c:v>64.504999999999995</c:v>
                </c:pt>
                <c:pt idx="1552">
                  <c:v>63.990200000000002</c:v>
                </c:pt>
                <c:pt idx="1553">
                  <c:v>65.370500000000007</c:v>
                </c:pt>
                <c:pt idx="1554">
                  <c:v>64.236000000000004</c:v>
                </c:pt>
                <c:pt idx="1555">
                  <c:v>66.583799999999997</c:v>
                </c:pt>
                <c:pt idx="1556">
                  <c:v>68.8446</c:v>
                </c:pt>
                <c:pt idx="1557">
                  <c:v>67.450599999999994</c:v>
                </c:pt>
                <c:pt idx="1558">
                  <c:v>67.689899999999994</c:v>
                </c:pt>
                <c:pt idx="1559">
                  <c:v>67.213200000000001</c:v>
                </c:pt>
                <c:pt idx="1560">
                  <c:v>69.038600000000002</c:v>
                </c:pt>
                <c:pt idx="1561">
                  <c:v>69.353499999999997</c:v>
                </c:pt>
                <c:pt idx="1562">
                  <c:v>65.972200000000001</c:v>
                </c:pt>
                <c:pt idx="1563">
                  <c:v>66.563000000000002</c:v>
                </c:pt>
                <c:pt idx="1564">
                  <c:v>67.395200000000003</c:v>
                </c:pt>
                <c:pt idx="1565">
                  <c:v>67.594700000000003</c:v>
                </c:pt>
                <c:pt idx="1566">
                  <c:v>66.961500000000001</c:v>
                </c:pt>
                <c:pt idx="1567">
                  <c:v>69.348699999999994</c:v>
                </c:pt>
                <c:pt idx="1568">
                  <c:v>69.296800000000005</c:v>
                </c:pt>
                <c:pt idx="1569">
                  <c:v>69.745000000000005</c:v>
                </c:pt>
                <c:pt idx="1570">
                  <c:v>70.919700000000006</c:v>
                </c:pt>
                <c:pt idx="1571">
                  <c:v>70.343299999999999</c:v>
                </c:pt>
                <c:pt idx="1572">
                  <c:v>68.508700000000005</c:v>
                </c:pt>
                <c:pt idx="1573">
                  <c:v>66.644400000000005</c:v>
                </c:pt>
                <c:pt idx="1574">
                  <c:v>65.995900000000006</c:v>
                </c:pt>
                <c:pt idx="1575">
                  <c:v>67.051400000000001</c:v>
                </c:pt>
                <c:pt idx="1576">
                  <c:v>66.638400000000004</c:v>
                </c:pt>
                <c:pt idx="1577">
                  <c:v>68.158799999999999</c:v>
                </c:pt>
                <c:pt idx="1578">
                  <c:v>68.828400000000002</c:v>
                </c:pt>
                <c:pt idx="1579">
                  <c:v>67.001599999999996</c:v>
                </c:pt>
                <c:pt idx="1580">
                  <c:v>66.823800000000006</c:v>
                </c:pt>
                <c:pt idx="1581">
                  <c:v>65.597700000000003</c:v>
                </c:pt>
                <c:pt idx="1582">
                  <c:v>61.302700000000002</c:v>
                </c:pt>
                <c:pt idx="1583">
                  <c:v>61.228299999999997</c:v>
                </c:pt>
                <c:pt idx="1584">
                  <c:v>62.947800000000001</c:v>
                </c:pt>
                <c:pt idx="1585">
                  <c:v>61.144599999999997</c:v>
                </c:pt>
                <c:pt idx="1586">
                  <c:v>61.381900000000002</c:v>
                </c:pt>
                <c:pt idx="1587">
                  <c:v>61.993400000000001</c:v>
                </c:pt>
                <c:pt idx="1588">
                  <c:v>60.9833</c:v>
                </c:pt>
                <c:pt idx="1589">
                  <c:v>59.218899999999998</c:v>
                </c:pt>
                <c:pt idx="1590">
                  <c:v>58.845999999999997</c:v>
                </c:pt>
                <c:pt idx="1591">
                  <c:v>56.817900000000002</c:v>
                </c:pt>
                <c:pt idx="1592">
                  <c:v>57.527900000000002</c:v>
                </c:pt>
                <c:pt idx="1593">
                  <c:v>55.066400000000002</c:v>
                </c:pt>
                <c:pt idx="1594">
                  <c:v>54.636699999999998</c:v>
                </c:pt>
                <c:pt idx="1595">
                  <c:v>56.4968</c:v>
                </c:pt>
                <c:pt idx="1596">
                  <c:v>55.628500000000003</c:v>
                </c:pt>
                <c:pt idx="1597">
                  <c:v>54.777700000000003</c:v>
                </c:pt>
                <c:pt idx="1598">
                  <c:v>53.168199999999999</c:v>
                </c:pt>
                <c:pt idx="1599">
                  <c:v>51.276699999999998</c:v>
                </c:pt>
                <c:pt idx="1600">
                  <c:v>50.389400000000002</c:v>
                </c:pt>
                <c:pt idx="1601">
                  <c:v>51.138599999999997</c:v>
                </c:pt>
                <c:pt idx="1602">
                  <c:v>50.281399999999998</c:v>
                </c:pt>
                <c:pt idx="1603">
                  <c:v>50.7395</c:v>
                </c:pt>
                <c:pt idx="1604">
                  <c:v>50.200299999999999</c:v>
                </c:pt>
                <c:pt idx="1605">
                  <c:v>51.401800000000001</c:v>
                </c:pt>
                <c:pt idx="1606">
                  <c:v>52.896999999999998</c:v>
                </c:pt>
                <c:pt idx="1607">
                  <c:v>53.7179</c:v>
                </c:pt>
                <c:pt idx="1608">
                  <c:v>53.862699999999997</c:v>
                </c:pt>
                <c:pt idx="1609">
                  <c:v>53.820399999999999</c:v>
                </c:pt>
                <c:pt idx="1610">
                  <c:v>53.925199999999997</c:v>
                </c:pt>
                <c:pt idx="1611">
                  <c:v>53.390900000000002</c:v>
                </c:pt>
                <c:pt idx="1612">
                  <c:v>53.473199999999999</c:v>
                </c:pt>
                <c:pt idx="1613">
                  <c:v>52.916200000000003</c:v>
                </c:pt>
                <c:pt idx="1614">
                  <c:v>53.473500000000001</c:v>
                </c:pt>
                <c:pt idx="1615">
                  <c:v>52.478900000000003</c:v>
                </c:pt>
                <c:pt idx="1616">
                  <c:v>51.9161</c:v>
                </c:pt>
                <c:pt idx="1617">
                  <c:v>51.323900000000002</c:v>
                </c:pt>
                <c:pt idx="1618">
                  <c:v>49.785600000000002</c:v>
                </c:pt>
                <c:pt idx="1619">
                  <c:v>47.698500000000003</c:v>
                </c:pt>
                <c:pt idx="1620">
                  <c:v>48.4375</c:v>
                </c:pt>
                <c:pt idx="1621">
                  <c:v>47.976399999999998</c:v>
                </c:pt>
                <c:pt idx="1622">
                  <c:v>47.128300000000003</c:v>
                </c:pt>
                <c:pt idx="1623">
                  <c:v>46.985500000000002</c:v>
                </c:pt>
                <c:pt idx="1624">
                  <c:v>47.786900000000003</c:v>
                </c:pt>
                <c:pt idx="1625">
                  <c:v>49.9529</c:v>
                </c:pt>
                <c:pt idx="1626">
                  <c:v>48.949599999999997</c:v>
                </c:pt>
                <c:pt idx="1627">
                  <c:v>49.7624</c:v>
                </c:pt>
                <c:pt idx="1628">
                  <c:v>46.646599999999999</c:v>
                </c:pt>
                <c:pt idx="1629">
                  <c:v>47.099299999999999</c:v>
                </c:pt>
                <c:pt idx="1630">
                  <c:v>48.076900000000002</c:v>
                </c:pt>
                <c:pt idx="1631">
                  <c:v>46.969700000000003</c:v>
                </c:pt>
                <c:pt idx="1632">
                  <c:v>46.728499999999997</c:v>
                </c:pt>
                <c:pt idx="1633">
                  <c:v>46.266800000000003</c:v>
                </c:pt>
                <c:pt idx="1634">
                  <c:v>45.232399999999998</c:v>
                </c:pt>
                <c:pt idx="1635">
                  <c:v>44.643300000000004</c:v>
                </c:pt>
                <c:pt idx="1636">
                  <c:v>44.613100000000003</c:v>
                </c:pt>
                <c:pt idx="1637">
                  <c:v>43.933300000000003</c:v>
                </c:pt>
                <c:pt idx="1638">
                  <c:v>46.121699999999997</c:v>
                </c:pt>
                <c:pt idx="1639">
                  <c:v>47.617600000000003</c:v>
                </c:pt>
                <c:pt idx="1640">
                  <c:v>48.155900000000003</c:v>
                </c:pt>
                <c:pt idx="1641">
                  <c:v>48.597900000000003</c:v>
                </c:pt>
                <c:pt idx="1642">
                  <c:v>48.460599999999999</c:v>
                </c:pt>
                <c:pt idx="1643">
                  <c:v>41.125300000000003</c:v>
                </c:pt>
                <c:pt idx="1644">
                  <c:v>40.130699999999997</c:v>
                </c:pt>
                <c:pt idx="1645">
                  <c:v>39.128500000000003</c:v>
                </c:pt>
                <c:pt idx="1646">
                  <c:v>36.940600000000003</c:v>
                </c:pt>
                <c:pt idx="1647">
                  <c:v>37.975999999999999</c:v>
                </c:pt>
                <c:pt idx="1648">
                  <c:v>39.7164</c:v>
                </c:pt>
                <c:pt idx="1649">
                  <c:v>39.4163</c:v>
                </c:pt>
                <c:pt idx="1650">
                  <c:v>39.718600000000002</c:v>
                </c:pt>
                <c:pt idx="1651">
                  <c:v>39.894199999999998</c:v>
                </c:pt>
                <c:pt idx="1652">
                  <c:v>39.597700000000003</c:v>
                </c:pt>
                <c:pt idx="1653">
                  <c:v>40.229900000000001</c:v>
                </c:pt>
                <c:pt idx="1654">
                  <c:v>39.662599999999998</c:v>
                </c:pt>
                <c:pt idx="1655">
                  <c:v>39.104300000000002</c:v>
                </c:pt>
                <c:pt idx="1656">
                  <c:v>39.137099999999997</c:v>
                </c:pt>
                <c:pt idx="1657">
                  <c:v>39.825600000000001</c:v>
                </c:pt>
                <c:pt idx="1658">
                  <c:v>42.518900000000002</c:v>
                </c:pt>
                <c:pt idx="1659">
                  <c:v>44.658200000000001</c:v>
                </c:pt>
                <c:pt idx="1660">
                  <c:v>43.732799999999997</c:v>
                </c:pt>
                <c:pt idx="1661">
                  <c:v>44.762999999999998</c:v>
                </c:pt>
                <c:pt idx="1662">
                  <c:v>44.2166</c:v>
                </c:pt>
                <c:pt idx="1663">
                  <c:v>43.83</c:v>
                </c:pt>
                <c:pt idx="1664">
                  <c:v>41.651800000000001</c:v>
                </c:pt>
                <c:pt idx="1665">
                  <c:v>42.4129</c:v>
                </c:pt>
                <c:pt idx="1666">
                  <c:v>41.972099999999998</c:v>
                </c:pt>
                <c:pt idx="1667">
                  <c:v>42.893700000000003</c:v>
                </c:pt>
                <c:pt idx="1668">
                  <c:v>41.8703</c:v>
                </c:pt>
                <c:pt idx="1669">
                  <c:v>41.506500000000003</c:v>
                </c:pt>
                <c:pt idx="1670">
                  <c:v>40.936199999999999</c:v>
                </c:pt>
                <c:pt idx="1671">
                  <c:v>40.963299999999997</c:v>
                </c:pt>
                <c:pt idx="1672">
                  <c:v>41.322499999999998</c:v>
                </c:pt>
                <c:pt idx="1673">
                  <c:v>41.077199999999998</c:v>
                </c:pt>
                <c:pt idx="1674">
                  <c:v>41.466000000000001</c:v>
                </c:pt>
                <c:pt idx="1675">
                  <c:v>41.442</c:v>
                </c:pt>
                <c:pt idx="1676">
                  <c:v>41.281399999999998</c:v>
                </c:pt>
                <c:pt idx="1677">
                  <c:v>41.155900000000003</c:v>
                </c:pt>
                <c:pt idx="1678">
                  <c:v>40.535800000000002</c:v>
                </c:pt>
                <c:pt idx="1679">
                  <c:v>40.701500000000003</c:v>
                </c:pt>
                <c:pt idx="1680">
                  <c:v>41.001800000000003</c:v>
                </c:pt>
                <c:pt idx="1681">
                  <c:v>41.810099999999998</c:v>
                </c:pt>
                <c:pt idx="1682">
                  <c:v>41.8825</c:v>
                </c:pt>
                <c:pt idx="1683">
                  <c:v>41.929099999999998</c:v>
                </c:pt>
                <c:pt idx="1684">
                  <c:v>41.680599999999998</c:v>
                </c:pt>
                <c:pt idx="1685">
                  <c:v>41.966099999999997</c:v>
                </c:pt>
                <c:pt idx="1686">
                  <c:v>41.1967</c:v>
                </c:pt>
                <c:pt idx="1687">
                  <c:v>41.112499999999997</c:v>
                </c:pt>
                <c:pt idx="1688">
                  <c:v>41.219000000000001</c:v>
                </c:pt>
                <c:pt idx="1689">
                  <c:v>40.953299999999999</c:v>
                </c:pt>
                <c:pt idx="1690">
                  <c:v>41.788899999999998</c:v>
                </c:pt>
                <c:pt idx="1691">
                  <c:v>42.221899999999998</c:v>
                </c:pt>
                <c:pt idx="1692">
                  <c:v>39.777099999999997</c:v>
                </c:pt>
                <c:pt idx="1693">
                  <c:v>40.379600000000003</c:v>
                </c:pt>
                <c:pt idx="1694">
                  <c:v>40.912300000000002</c:v>
                </c:pt>
                <c:pt idx="1695">
                  <c:v>40.775700000000001</c:v>
                </c:pt>
                <c:pt idx="1696">
                  <c:v>40.617199999999997</c:v>
                </c:pt>
                <c:pt idx="1697">
                  <c:v>40.768799999999999</c:v>
                </c:pt>
                <c:pt idx="1698">
                  <c:v>41.810600000000001</c:v>
                </c:pt>
                <c:pt idx="1699">
                  <c:v>43.008699999999997</c:v>
                </c:pt>
                <c:pt idx="1700">
                  <c:v>43.304499999999997</c:v>
                </c:pt>
                <c:pt idx="1701">
                  <c:v>43.142600000000002</c:v>
                </c:pt>
                <c:pt idx="1702">
                  <c:v>43.348300000000002</c:v>
                </c:pt>
                <c:pt idx="1703">
                  <c:v>43.891800000000003</c:v>
                </c:pt>
                <c:pt idx="1704">
                  <c:v>43.616799999999998</c:v>
                </c:pt>
                <c:pt idx="1705">
                  <c:v>43.651600000000002</c:v>
                </c:pt>
                <c:pt idx="1706">
                  <c:v>44.184600000000003</c:v>
                </c:pt>
                <c:pt idx="1707">
                  <c:v>44.233699999999999</c:v>
                </c:pt>
                <c:pt idx="1708">
                  <c:v>44.314500000000002</c:v>
                </c:pt>
                <c:pt idx="1709">
                  <c:v>45.304499999999997</c:v>
                </c:pt>
                <c:pt idx="1710">
                  <c:v>44.808999999999997</c:v>
                </c:pt>
                <c:pt idx="1711">
                  <c:v>45.691899999999997</c:v>
                </c:pt>
                <c:pt idx="1712">
                  <c:v>44.595500000000001</c:v>
                </c:pt>
                <c:pt idx="1713">
                  <c:v>44.774700000000003</c:v>
                </c:pt>
                <c:pt idx="1714">
                  <c:v>43.881599999999999</c:v>
                </c:pt>
                <c:pt idx="1715">
                  <c:v>42.872</c:v>
                </c:pt>
                <c:pt idx="1716">
                  <c:v>42.839799999999997</c:v>
                </c:pt>
                <c:pt idx="1717">
                  <c:v>41.970700000000001</c:v>
                </c:pt>
                <c:pt idx="1718">
                  <c:v>41.283200000000001</c:v>
                </c:pt>
                <c:pt idx="1719">
                  <c:v>40.974200000000003</c:v>
                </c:pt>
                <c:pt idx="1720">
                  <c:v>38.918500000000002</c:v>
                </c:pt>
                <c:pt idx="1721">
                  <c:v>40.929600000000001</c:v>
                </c:pt>
                <c:pt idx="1722">
                  <c:v>40.714399999999998</c:v>
                </c:pt>
                <c:pt idx="1723">
                  <c:v>41.347999999999999</c:v>
                </c:pt>
                <c:pt idx="1724">
                  <c:v>40.209000000000003</c:v>
                </c:pt>
                <c:pt idx="1725">
                  <c:v>40.773200000000003</c:v>
                </c:pt>
                <c:pt idx="1726">
                  <c:v>40.400500000000001</c:v>
                </c:pt>
                <c:pt idx="1727">
                  <c:v>39.991799999999998</c:v>
                </c:pt>
                <c:pt idx="1728">
                  <c:v>39.597000000000001</c:v>
                </c:pt>
                <c:pt idx="1729">
                  <c:v>39.348700000000001</c:v>
                </c:pt>
                <c:pt idx="1730">
                  <c:v>40.065199999999997</c:v>
                </c:pt>
                <c:pt idx="1731">
                  <c:v>39.939500000000002</c:v>
                </c:pt>
                <c:pt idx="1732">
                  <c:v>39.628900000000002</c:v>
                </c:pt>
                <c:pt idx="1733">
                  <c:v>38.4099</c:v>
                </c:pt>
                <c:pt idx="1734">
                  <c:v>38.1995</c:v>
                </c:pt>
                <c:pt idx="1735">
                  <c:v>38.076300000000003</c:v>
                </c:pt>
                <c:pt idx="1736">
                  <c:v>37.479500000000002</c:v>
                </c:pt>
                <c:pt idx="1737">
                  <c:v>35.924999999999997</c:v>
                </c:pt>
                <c:pt idx="1738">
                  <c:v>36.252000000000002</c:v>
                </c:pt>
                <c:pt idx="1739">
                  <c:v>35.226599999999998</c:v>
                </c:pt>
                <c:pt idx="1740">
                  <c:v>36.5672</c:v>
                </c:pt>
                <c:pt idx="1741">
                  <c:v>37.403500000000001</c:v>
                </c:pt>
                <c:pt idx="1742">
                  <c:v>37.977200000000003</c:v>
                </c:pt>
                <c:pt idx="1743">
                  <c:v>37.1661</c:v>
                </c:pt>
                <c:pt idx="1744">
                  <c:v>36.317700000000002</c:v>
                </c:pt>
                <c:pt idx="1745">
                  <c:v>37.291800000000002</c:v>
                </c:pt>
                <c:pt idx="1746">
                  <c:v>36.881300000000003</c:v>
                </c:pt>
                <c:pt idx="1747">
                  <c:v>38.7346</c:v>
                </c:pt>
                <c:pt idx="1748">
                  <c:v>38.583599999999997</c:v>
                </c:pt>
                <c:pt idx="1749">
                  <c:v>39.141300000000001</c:v>
                </c:pt>
                <c:pt idx="1750">
                  <c:v>39.371899999999997</c:v>
                </c:pt>
                <c:pt idx="1751">
                  <c:v>39.431899999999999</c:v>
                </c:pt>
                <c:pt idx="1752">
                  <c:v>39.192700000000002</c:v>
                </c:pt>
                <c:pt idx="1753">
                  <c:v>38.714100000000002</c:v>
                </c:pt>
                <c:pt idx="1754">
                  <c:v>38.556899999999999</c:v>
                </c:pt>
                <c:pt idx="1755">
                  <c:v>39.066000000000003</c:v>
                </c:pt>
                <c:pt idx="1756">
                  <c:v>38.268300000000004</c:v>
                </c:pt>
                <c:pt idx="1757">
                  <c:v>38.521500000000003</c:v>
                </c:pt>
                <c:pt idx="1758">
                  <c:v>36.930500000000002</c:v>
                </c:pt>
                <c:pt idx="1759">
                  <c:v>35.8596</c:v>
                </c:pt>
                <c:pt idx="1760">
                  <c:v>36.637700000000002</c:v>
                </c:pt>
                <c:pt idx="1761">
                  <c:v>36.502299999999998</c:v>
                </c:pt>
                <c:pt idx="1762">
                  <c:v>35.235399999999998</c:v>
                </c:pt>
                <c:pt idx="1763">
                  <c:v>34.208500000000001</c:v>
                </c:pt>
                <c:pt idx="1764">
                  <c:v>33.013100000000001</c:v>
                </c:pt>
                <c:pt idx="1765">
                  <c:v>33.282200000000003</c:v>
                </c:pt>
                <c:pt idx="1766">
                  <c:v>34.640799999999999</c:v>
                </c:pt>
                <c:pt idx="1767">
                  <c:v>34.8598</c:v>
                </c:pt>
                <c:pt idx="1768">
                  <c:v>35.640799999999999</c:v>
                </c:pt>
                <c:pt idx="1769">
                  <c:v>35.040900000000001</c:v>
                </c:pt>
                <c:pt idx="1770">
                  <c:v>35.025399999999998</c:v>
                </c:pt>
                <c:pt idx="1771">
                  <c:v>35.352600000000002</c:v>
                </c:pt>
                <c:pt idx="1772">
                  <c:v>37.646700000000003</c:v>
                </c:pt>
                <c:pt idx="1773">
                  <c:v>36.817999999999998</c:v>
                </c:pt>
                <c:pt idx="1774">
                  <c:v>37.311999999999998</c:v>
                </c:pt>
                <c:pt idx="1775">
                  <c:v>36.286499999999997</c:v>
                </c:pt>
                <c:pt idx="1776">
                  <c:v>37.739600000000003</c:v>
                </c:pt>
                <c:pt idx="1777">
                  <c:v>37.755699999999997</c:v>
                </c:pt>
                <c:pt idx="1778">
                  <c:v>38.6389</c:v>
                </c:pt>
                <c:pt idx="1779">
                  <c:v>38.499299999999998</c:v>
                </c:pt>
                <c:pt idx="1780">
                  <c:v>38.823799999999999</c:v>
                </c:pt>
                <c:pt idx="1781">
                  <c:v>38.264200000000002</c:v>
                </c:pt>
                <c:pt idx="1782">
                  <c:v>38.003700000000002</c:v>
                </c:pt>
                <c:pt idx="1783">
                  <c:v>38.631799999999998</c:v>
                </c:pt>
                <c:pt idx="1784">
                  <c:v>39.024999999999999</c:v>
                </c:pt>
                <c:pt idx="1785">
                  <c:v>38.163200000000003</c:v>
                </c:pt>
                <c:pt idx="1786">
                  <c:v>39.420699999999997</c:v>
                </c:pt>
                <c:pt idx="1787">
                  <c:v>39.739899999999999</c:v>
                </c:pt>
                <c:pt idx="1788">
                  <c:v>39</c:v>
                </c:pt>
                <c:pt idx="1789">
                  <c:v>38.971200000000003</c:v>
                </c:pt>
                <c:pt idx="1790">
                  <c:v>39.1297</c:v>
                </c:pt>
                <c:pt idx="1791">
                  <c:v>39.677</c:v>
                </c:pt>
                <c:pt idx="1792">
                  <c:v>39.764800000000001</c:v>
                </c:pt>
                <c:pt idx="1793">
                  <c:v>39.861699999999999</c:v>
                </c:pt>
                <c:pt idx="1794">
                  <c:v>39.1828</c:v>
                </c:pt>
                <c:pt idx="1795">
                  <c:v>38.077199999999998</c:v>
                </c:pt>
                <c:pt idx="1796">
                  <c:v>37.588500000000003</c:v>
                </c:pt>
                <c:pt idx="1797">
                  <c:v>38.838799999999999</c:v>
                </c:pt>
                <c:pt idx="1798">
                  <c:v>39.492800000000003</c:v>
                </c:pt>
                <c:pt idx="1799">
                  <c:v>38.818600000000004</c:v>
                </c:pt>
                <c:pt idx="1800">
                  <c:v>39.028100000000002</c:v>
                </c:pt>
                <c:pt idx="1801">
                  <c:v>39.0167</c:v>
                </c:pt>
                <c:pt idx="1802">
                  <c:v>38.970399999999998</c:v>
                </c:pt>
                <c:pt idx="1803">
                  <c:v>38.0687</c:v>
                </c:pt>
                <c:pt idx="1804">
                  <c:v>38.514200000000002</c:v>
                </c:pt>
                <c:pt idx="1805">
                  <c:v>39.0807</c:v>
                </c:pt>
                <c:pt idx="1806">
                  <c:v>40.191000000000003</c:v>
                </c:pt>
                <c:pt idx="1807">
                  <c:v>40.6021</c:v>
                </c:pt>
                <c:pt idx="1808">
                  <c:v>40.862699999999997</c:v>
                </c:pt>
                <c:pt idx="1809">
                  <c:v>41.059199999999997</c:v>
                </c:pt>
                <c:pt idx="1810">
                  <c:v>41.0655</c:v>
                </c:pt>
                <c:pt idx="1811">
                  <c:v>39.542499999999997</c:v>
                </c:pt>
                <c:pt idx="1812">
                  <c:v>37.697400000000002</c:v>
                </c:pt>
                <c:pt idx="1813">
                  <c:v>37.875399999999999</c:v>
                </c:pt>
                <c:pt idx="1814">
                  <c:v>37.931199999999997</c:v>
                </c:pt>
                <c:pt idx="1815">
                  <c:v>38.1113</c:v>
                </c:pt>
                <c:pt idx="1816">
                  <c:v>38.039499999999997</c:v>
                </c:pt>
                <c:pt idx="1817">
                  <c:v>37.054499999999997</c:v>
                </c:pt>
                <c:pt idx="1818">
                  <c:v>37.504600000000003</c:v>
                </c:pt>
                <c:pt idx="1819">
                  <c:v>37.326900000000002</c:v>
                </c:pt>
                <c:pt idx="1820">
                  <c:v>37.007599999999996</c:v>
                </c:pt>
                <c:pt idx="1821">
                  <c:v>37.404699999999998</c:v>
                </c:pt>
                <c:pt idx="1822">
                  <c:v>37.2149</c:v>
                </c:pt>
                <c:pt idx="1823">
                  <c:v>36.604300000000002</c:v>
                </c:pt>
                <c:pt idx="1824">
                  <c:v>36.340499999999999</c:v>
                </c:pt>
                <c:pt idx="1825">
                  <c:v>37.277999999999999</c:v>
                </c:pt>
                <c:pt idx="1826">
                  <c:v>36.424100000000003</c:v>
                </c:pt>
                <c:pt idx="1827">
                  <c:v>36.700200000000002</c:v>
                </c:pt>
                <c:pt idx="1828">
                  <c:v>36.1462</c:v>
                </c:pt>
                <c:pt idx="1829">
                  <c:v>36.690899999999999</c:v>
                </c:pt>
                <c:pt idx="1830">
                  <c:v>36.110300000000002</c:v>
                </c:pt>
                <c:pt idx="1831">
                  <c:v>36.588099999999997</c:v>
                </c:pt>
                <c:pt idx="1832">
                  <c:v>36.938699999999997</c:v>
                </c:pt>
                <c:pt idx="1833">
                  <c:v>37.625500000000002</c:v>
                </c:pt>
                <c:pt idx="1834">
                  <c:v>39.950000000000003</c:v>
                </c:pt>
                <c:pt idx="1835">
                  <c:v>40.694899999999997</c:v>
                </c:pt>
                <c:pt idx="1836">
                  <c:v>42.018700000000003</c:v>
                </c:pt>
                <c:pt idx="1837">
                  <c:v>41.771900000000002</c:v>
                </c:pt>
                <c:pt idx="1838">
                  <c:v>41.779299999999999</c:v>
                </c:pt>
                <c:pt idx="1839">
                  <c:v>42.329599999999999</c:v>
                </c:pt>
                <c:pt idx="1840">
                  <c:v>42.335000000000001</c:v>
                </c:pt>
                <c:pt idx="1841">
                  <c:v>43.284199999999998</c:v>
                </c:pt>
                <c:pt idx="1842">
                  <c:v>44.062399999999997</c:v>
                </c:pt>
                <c:pt idx="1843">
                  <c:v>43.804900000000004</c:v>
                </c:pt>
                <c:pt idx="1844">
                  <c:v>46.102200000000003</c:v>
                </c:pt>
                <c:pt idx="1845">
                  <c:v>46.018099999999997</c:v>
                </c:pt>
                <c:pt idx="1846">
                  <c:v>46.904800000000002</c:v>
                </c:pt>
                <c:pt idx="1847">
                  <c:v>46.136699999999998</c:v>
                </c:pt>
                <c:pt idx="1848">
                  <c:v>46.0899</c:v>
                </c:pt>
                <c:pt idx="1849">
                  <c:v>47.196800000000003</c:v>
                </c:pt>
                <c:pt idx="1850">
                  <c:v>47.718499999999999</c:v>
                </c:pt>
                <c:pt idx="1851">
                  <c:v>47.279400000000003</c:v>
                </c:pt>
                <c:pt idx="1852">
                  <c:v>46.383899999999997</c:v>
                </c:pt>
                <c:pt idx="1853">
                  <c:v>45.854700000000001</c:v>
                </c:pt>
                <c:pt idx="1854">
                  <c:v>47.264200000000002</c:v>
                </c:pt>
                <c:pt idx="1855">
                  <c:v>49.215200000000003</c:v>
                </c:pt>
                <c:pt idx="1856">
                  <c:v>49.617699999999999</c:v>
                </c:pt>
                <c:pt idx="1857">
                  <c:v>50.739899999999999</c:v>
                </c:pt>
                <c:pt idx="1858">
                  <c:v>50.0747</c:v>
                </c:pt>
                <c:pt idx="1859">
                  <c:v>49.837800000000001</c:v>
                </c:pt>
                <c:pt idx="1860">
                  <c:v>49.834099999999999</c:v>
                </c:pt>
                <c:pt idx="1861">
                  <c:v>49.749099999999999</c:v>
                </c:pt>
                <c:pt idx="1862">
                  <c:v>50.173099999999998</c:v>
                </c:pt>
                <c:pt idx="1863">
                  <c:v>51.464100000000002</c:v>
                </c:pt>
                <c:pt idx="1864">
                  <c:v>51.063800000000001</c:v>
                </c:pt>
                <c:pt idx="1865">
                  <c:v>50.914000000000001</c:v>
                </c:pt>
                <c:pt idx="1866">
                  <c:v>50.305399999999999</c:v>
                </c:pt>
                <c:pt idx="1867">
                  <c:v>51.3187</c:v>
                </c:pt>
                <c:pt idx="1868">
                  <c:v>51.233499999999999</c:v>
                </c:pt>
                <c:pt idx="1869">
                  <c:v>51.0916</c:v>
                </c:pt>
                <c:pt idx="1870">
                  <c:v>51.690100000000001</c:v>
                </c:pt>
                <c:pt idx="1871">
                  <c:v>52.402999999999999</c:v>
                </c:pt>
                <c:pt idx="1872">
                  <c:v>51.329599999999999</c:v>
                </c:pt>
                <c:pt idx="1873">
                  <c:v>53.204099999999997</c:v>
                </c:pt>
                <c:pt idx="1874">
                  <c:v>52.728000000000002</c:v>
                </c:pt>
                <c:pt idx="1875">
                  <c:v>52.587899999999998</c:v>
                </c:pt>
                <c:pt idx="1876">
                  <c:v>53.665999999999997</c:v>
                </c:pt>
                <c:pt idx="1877">
                  <c:v>54.765300000000003</c:v>
                </c:pt>
                <c:pt idx="1878">
                  <c:v>55.322200000000002</c:v>
                </c:pt>
                <c:pt idx="1879">
                  <c:v>55.398600000000002</c:v>
                </c:pt>
                <c:pt idx="1880">
                  <c:v>56.510599999999997</c:v>
                </c:pt>
                <c:pt idx="1881">
                  <c:v>55.597200000000001</c:v>
                </c:pt>
                <c:pt idx="1882">
                  <c:v>57.262999999999998</c:v>
                </c:pt>
                <c:pt idx="1883">
                  <c:v>58.4893</c:v>
                </c:pt>
                <c:pt idx="1884">
                  <c:v>58.957299999999996</c:v>
                </c:pt>
                <c:pt idx="1885">
                  <c:v>58.625399999999999</c:v>
                </c:pt>
                <c:pt idx="1886">
                  <c:v>59.558399999999999</c:v>
                </c:pt>
                <c:pt idx="1887">
                  <c:v>61.456699999999998</c:v>
                </c:pt>
                <c:pt idx="1888">
                  <c:v>60.735799999999998</c:v>
                </c:pt>
                <c:pt idx="1889">
                  <c:v>62.7624</c:v>
                </c:pt>
                <c:pt idx="1890">
                  <c:v>62.789499999999997</c:v>
                </c:pt>
                <c:pt idx="1891">
                  <c:v>63.833599999999997</c:v>
                </c:pt>
                <c:pt idx="1892">
                  <c:v>62.923000000000002</c:v>
                </c:pt>
                <c:pt idx="1893">
                  <c:v>63.709099999999999</c:v>
                </c:pt>
                <c:pt idx="1894">
                  <c:v>62.019799999999996</c:v>
                </c:pt>
                <c:pt idx="1895">
                  <c:v>62.155500000000004</c:v>
                </c:pt>
                <c:pt idx="1896">
                  <c:v>62.092500000000001</c:v>
                </c:pt>
                <c:pt idx="1897">
                  <c:v>61.424799999999998</c:v>
                </c:pt>
                <c:pt idx="1898">
                  <c:v>60.5989</c:v>
                </c:pt>
                <c:pt idx="1899">
                  <c:v>61.344200000000001</c:v>
                </c:pt>
                <c:pt idx="1900">
                  <c:v>60.047499999999999</c:v>
                </c:pt>
                <c:pt idx="1901">
                  <c:v>61.386499999999998</c:v>
                </c:pt>
                <c:pt idx="1902">
                  <c:v>60.030500000000004</c:v>
                </c:pt>
                <c:pt idx="1903">
                  <c:v>60.023099999999999</c:v>
                </c:pt>
                <c:pt idx="1904">
                  <c:v>60.124200000000002</c:v>
                </c:pt>
                <c:pt idx="1905">
                  <c:v>61.948599999999999</c:v>
                </c:pt>
                <c:pt idx="1906">
                  <c:v>63.475099999999998</c:v>
                </c:pt>
                <c:pt idx="1907">
                  <c:v>63.492199999999997</c:v>
                </c:pt>
                <c:pt idx="1908">
                  <c:v>61.735599999999998</c:v>
                </c:pt>
                <c:pt idx="1909">
                  <c:v>60.528399999999998</c:v>
                </c:pt>
                <c:pt idx="1910">
                  <c:v>61.371099999999998</c:v>
                </c:pt>
                <c:pt idx="1911">
                  <c:v>65.117099999999994</c:v>
                </c:pt>
                <c:pt idx="1912">
                  <c:v>64.282700000000006</c:v>
                </c:pt>
                <c:pt idx="1913">
                  <c:v>64.059899999999999</c:v>
                </c:pt>
                <c:pt idx="1914">
                  <c:v>63.953200000000002</c:v>
                </c:pt>
                <c:pt idx="1915">
                  <c:v>63.480600000000003</c:v>
                </c:pt>
                <c:pt idx="1916">
                  <c:v>64.343599999999995</c:v>
                </c:pt>
                <c:pt idx="1917">
                  <c:v>66.181100000000001</c:v>
                </c:pt>
                <c:pt idx="1918">
                  <c:v>65.301400000000001</c:v>
                </c:pt>
                <c:pt idx="1919">
                  <c:v>66.101699999999994</c:v>
                </c:pt>
                <c:pt idx="1920">
                  <c:v>66.698400000000007</c:v>
                </c:pt>
                <c:pt idx="1921">
                  <c:v>68.174400000000006</c:v>
                </c:pt>
                <c:pt idx="1922">
                  <c:v>66.965100000000007</c:v>
                </c:pt>
                <c:pt idx="1923">
                  <c:v>67.363</c:v>
                </c:pt>
                <c:pt idx="1924">
                  <c:v>66.753900000000002</c:v>
                </c:pt>
                <c:pt idx="1925">
                  <c:v>66.421099999999996</c:v>
                </c:pt>
                <c:pt idx="1926">
                  <c:v>65.731700000000004</c:v>
                </c:pt>
                <c:pt idx="1927">
                  <c:v>66.694699999999997</c:v>
                </c:pt>
                <c:pt idx="1928">
                  <c:v>67.711299999999994</c:v>
                </c:pt>
                <c:pt idx="1929">
                  <c:v>67.163300000000007</c:v>
                </c:pt>
                <c:pt idx="1930">
                  <c:v>70.122</c:v>
                </c:pt>
                <c:pt idx="1931">
                  <c:v>71.874399999999994</c:v>
                </c:pt>
                <c:pt idx="1932">
                  <c:v>68.674599999999998</c:v>
                </c:pt>
                <c:pt idx="1933">
                  <c:v>67.346599999999995</c:v>
                </c:pt>
                <c:pt idx="1934">
                  <c:v>67.330699999999993</c:v>
                </c:pt>
                <c:pt idx="1935">
                  <c:v>64.145700000000005</c:v>
                </c:pt>
                <c:pt idx="1936">
                  <c:v>62.868499999999997</c:v>
                </c:pt>
                <c:pt idx="1937">
                  <c:v>63.342599999999997</c:v>
                </c:pt>
                <c:pt idx="1938">
                  <c:v>63.536900000000003</c:v>
                </c:pt>
                <c:pt idx="1939">
                  <c:v>64.3429</c:v>
                </c:pt>
                <c:pt idx="1940">
                  <c:v>59.652799999999999</c:v>
                </c:pt>
                <c:pt idx="1941">
                  <c:v>60.908700000000003</c:v>
                </c:pt>
                <c:pt idx="1942">
                  <c:v>58.849299999999999</c:v>
                </c:pt>
                <c:pt idx="1943">
                  <c:v>60.26</c:v>
                </c:pt>
                <c:pt idx="1944">
                  <c:v>59.683599999999998</c:v>
                </c:pt>
                <c:pt idx="1945">
                  <c:v>62.157400000000003</c:v>
                </c:pt>
                <c:pt idx="1946">
                  <c:v>61.3063</c:v>
                </c:pt>
                <c:pt idx="1947">
                  <c:v>62.7288</c:v>
                </c:pt>
                <c:pt idx="1948">
                  <c:v>62.649299999999997</c:v>
                </c:pt>
                <c:pt idx="1949">
                  <c:v>63.351300000000002</c:v>
                </c:pt>
                <c:pt idx="1950">
                  <c:v>55.186</c:v>
                </c:pt>
                <c:pt idx="1951">
                  <c:v>56.314300000000003</c:v>
                </c:pt>
                <c:pt idx="1952">
                  <c:v>57.753399999999999</c:v>
                </c:pt>
                <c:pt idx="1953">
                  <c:v>60.247900000000001</c:v>
                </c:pt>
                <c:pt idx="1954">
                  <c:v>59.797800000000002</c:v>
                </c:pt>
                <c:pt idx="1955">
                  <c:v>61.499600000000001</c:v>
                </c:pt>
                <c:pt idx="1956">
                  <c:v>63.109099999999998</c:v>
                </c:pt>
                <c:pt idx="1957">
                  <c:v>63.649500000000003</c:v>
                </c:pt>
                <c:pt idx="1958">
                  <c:v>65.404499999999999</c:v>
                </c:pt>
                <c:pt idx="1959">
                  <c:v>65.865899999999996</c:v>
                </c:pt>
                <c:pt idx="1960">
                  <c:v>65.207899999999995</c:v>
                </c:pt>
                <c:pt idx="1961">
                  <c:v>64.912899999999993</c:v>
                </c:pt>
                <c:pt idx="1962">
                  <c:v>65.513400000000004</c:v>
                </c:pt>
                <c:pt idx="1963">
                  <c:v>64.500100000000003</c:v>
                </c:pt>
                <c:pt idx="1964">
                  <c:v>64.857299999999995</c:v>
                </c:pt>
                <c:pt idx="1965">
                  <c:v>65.814999999999998</c:v>
                </c:pt>
                <c:pt idx="1966">
                  <c:v>67.461200000000005</c:v>
                </c:pt>
                <c:pt idx="1967">
                  <c:v>67.745199999999997</c:v>
                </c:pt>
                <c:pt idx="1968">
                  <c:v>66.958399999999997</c:v>
                </c:pt>
                <c:pt idx="1969">
                  <c:v>67.421199999999999</c:v>
                </c:pt>
                <c:pt idx="1970">
                  <c:v>69.214799999999997</c:v>
                </c:pt>
                <c:pt idx="1971">
                  <c:v>67.525199999999998</c:v>
                </c:pt>
                <c:pt idx="1972">
                  <c:v>65.940100000000001</c:v>
                </c:pt>
                <c:pt idx="1973">
                  <c:v>65.781000000000006</c:v>
                </c:pt>
                <c:pt idx="1974">
                  <c:v>63.374499999999998</c:v>
                </c:pt>
                <c:pt idx="1975">
                  <c:v>61.790900000000001</c:v>
                </c:pt>
                <c:pt idx="1976">
                  <c:v>65.501099999999994</c:v>
                </c:pt>
                <c:pt idx="1977">
                  <c:v>63.323799999999999</c:v>
                </c:pt>
                <c:pt idx="1978">
                  <c:v>64.992099999999994</c:v>
                </c:pt>
                <c:pt idx="1979">
                  <c:v>64.786199999999994</c:v>
                </c:pt>
                <c:pt idx="1980">
                  <c:v>66.778000000000006</c:v>
                </c:pt>
                <c:pt idx="1981">
                  <c:v>67.494</c:v>
                </c:pt>
                <c:pt idx="1982">
                  <c:v>70.214299999999994</c:v>
                </c:pt>
                <c:pt idx="1983">
                  <c:v>72.047600000000003</c:v>
                </c:pt>
                <c:pt idx="1984">
                  <c:v>68.778000000000006</c:v>
                </c:pt>
                <c:pt idx="1985">
                  <c:v>72.819199999999995</c:v>
                </c:pt>
                <c:pt idx="1986">
                  <c:v>75.707899999999995</c:v>
                </c:pt>
                <c:pt idx="1987">
                  <c:v>77.629199999999997</c:v>
                </c:pt>
                <c:pt idx="1988">
                  <c:v>79.113600000000005</c:v>
                </c:pt>
                <c:pt idx="1989">
                  <c:v>81.439899999999994</c:v>
                </c:pt>
                <c:pt idx="1990">
                  <c:v>81.621099999999998</c:v>
                </c:pt>
                <c:pt idx="1991">
                  <c:v>86.034899999999993</c:v>
                </c:pt>
                <c:pt idx="1992">
                  <c:v>87.828299999999999</c:v>
                </c:pt>
                <c:pt idx="1993">
                  <c:v>87.466800000000006</c:v>
                </c:pt>
                <c:pt idx="1994">
                  <c:v>91.118799999999993</c:v>
                </c:pt>
                <c:pt idx="1995">
                  <c:v>88.6434</c:v>
                </c:pt>
                <c:pt idx="1996">
                  <c:v>93.753900000000002</c:v>
                </c:pt>
                <c:pt idx="1997">
                  <c:v>91.038600000000002</c:v>
                </c:pt>
                <c:pt idx="1998">
                  <c:v>93.497399999999999</c:v>
                </c:pt>
                <c:pt idx="1999">
                  <c:v>95.947599999999994</c:v>
                </c:pt>
                <c:pt idx="2000">
                  <c:v>97.134500000000003</c:v>
                </c:pt>
                <c:pt idx="2001">
                  <c:v>99.157600000000002</c:v>
                </c:pt>
                <c:pt idx="2002">
                  <c:v>96.779899999999998</c:v>
                </c:pt>
                <c:pt idx="2003">
                  <c:v>96.216099999999997</c:v>
                </c:pt>
                <c:pt idx="2004">
                  <c:v>97.634200000000007</c:v>
                </c:pt>
                <c:pt idx="2005">
                  <c:v>99.04</c:v>
                </c:pt>
                <c:pt idx="2006">
                  <c:v>98.914100000000005</c:v>
                </c:pt>
                <c:pt idx="2007">
                  <c:v>100.42319999999999</c:v>
                </c:pt>
                <c:pt idx="2008">
                  <c:v>101.66419999999999</c:v>
                </c:pt>
                <c:pt idx="2009">
                  <c:v>101.5765</c:v>
                </c:pt>
                <c:pt idx="2010">
                  <c:v>102.57940000000001</c:v>
                </c:pt>
                <c:pt idx="2011">
                  <c:v>102.952</c:v>
                </c:pt>
                <c:pt idx="2012">
                  <c:v>101.9709</c:v>
                </c:pt>
                <c:pt idx="2013">
                  <c:v>95.543700000000001</c:v>
                </c:pt>
                <c:pt idx="2014">
                  <c:v>97.094499999999996</c:v>
                </c:pt>
                <c:pt idx="2015">
                  <c:v>95.814300000000003</c:v>
                </c:pt>
                <c:pt idx="2016">
                  <c:v>95.005600000000001</c:v>
                </c:pt>
                <c:pt idx="2017">
                  <c:v>94.547499999999999</c:v>
                </c:pt>
                <c:pt idx="2018">
                  <c:v>94.437200000000004</c:v>
                </c:pt>
                <c:pt idx="2019">
                  <c:v>92.9649</c:v>
                </c:pt>
                <c:pt idx="2020">
                  <c:v>94.196799999999996</c:v>
                </c:pt>
                <c:pt idx="2021">
                  <c:v>96.314499999999995</c:v>
                </c:pt>
                <c:pt idx="2022">
                  <c:v>94.418999999999997</c:v>
                </c:pt>
                <c:pt idx="2023">
                  <c:v>92.491200000000006</c:v>
                </c:pt>
                <c:pt idx="2024">
                  <c:v>94.322000000000003</c:v>
                </c:pt>
                <c:pt idx="2025">
                  <c:v>96.576400000000007</c:v>
                </c:pt>
                <c:pt idx="2026">
                  <c:v>101.3879</c:v>
                </c:pt>
                <c:pt idx="2027">
                  <c:v>103.3582</c:v>
                </c:pt>
                <c:pt idx="2028">
                  <c:v>103.8733</c:v>
                </c:pt>
                <c:pt idx="2029">
                  <c:v>107.0819</c:v>
                </c:pt>
                <c:pt idx="2030">
                  <c:v>106.10339999999999</c:v>
                </c:pt>
                <c:pt idx="2031">
                  <c:v>104.9425</c:v>
                </c:pt>
                <c:pt idx="2032">
                  <c:v>100.31359999999999</c:v>
                </c:pt>
                <c:pt idx="2033">
                  <c:v>104.7838</c:v>
                </c:pt>
                <c:pt idx="2034">
                  <c:v>105.7268</c:v>
                </c:pt>
                <c:pt idx="2035">
                  <c:v>104.2195</c:v>
                </c:pt>
                <c:pt idx="2036">
                  <c:v>99.569199999999995</c:v>
                </c:pt>
                <c:pt idx="2037">
                  <c:v>104.8028</c:v>
                </c:pt>
                <c:pt idx="2038">
                  <c:v>105.688</c:v>
                </c:pt>
                <c:pt idx="2039">
                  <c:v>104.0129</c:v>
                </c:pt>
                <c:pt idx="2040">
                  <c:v>108.68519999999999</c:v>
                </c:pt>
                <c:pt idx="2041">
                  <c:v>109.05289999999999</c:v>
                </c:pt>
                <c:pt idx="2042">
                  <c:v>113.11409999999999</c:v>
                </c:pt>
                <c:pt idx="2043">
                  <c:v>116.7505</c:v>
                </c:pt>
                <c:pt idx="2044">
                  <c:v>116.4362</c:v>
                </c:pt>
                <c:pt idx="2045">
                  <c:v>117.8103</c:v>
                </c:pt>
                <c:pt idx="2046">
                  <c:v>122.5986</c:v>
                </c:pt>
                <c:pt idx="2047">
                  <c:v>115.4397</c:v>
                </c:pt>
                <c:pt idx="2048">
                  <c:v>116.00109999999999</c:v>
                </c:pt>
                <c:pt idx="2049">
                  <c:v>105.6407</c:v>
                </c:pt>
                <c:pt idx="2050">
                  <c:v>107.25539999999999</c:v>
                </c:pt>
                <c:pt idx="2051">
                  <c:v>104.7531</c:v>
                </c:pt>
                <c:pt idx="2052">
                  <c:v>102.9156</c:v>
                </c:pt>
                <c:pt idx="2053">
                  <c:v>108.4081</c:v>
                </c:pt>
                <c:pt idx="2054">
                  <c:v>109.7619</c:v>
                </c:pt>
                <c:pt idx="2055">
                  <c:v>111.7841</c:v>
                </c:pt>
                <c:pt idx="2056">
                  <c:v>110.3626</c:v>
                </c:pt>
                <c:pt idx="2057">
                  <c:v>111.4843</c:v>
                </c:pt>
                <c:pt idx="2058">
                  <c:v>107.9058</c:v>
                </c:pt>
                <c:pt idx="2059">
                  <c:v>113.4636</c:v>
                </c:pt>
                <c:pt idx="2060">
                  <c:v>113.3772</c:v>
                </c:pt>
                <c:pt idx="2061">
                  <c:v>112.8883</c:v>
                </c:pt>
                <c:pt idx="2062">
                  <c:v>109.05459999999999</c:v>
                </c:pt>
                <c:pt idx="2063">
                  <c:v>110.8036</c:v>
                </c:pt>
                <c:pt idx="2064">
                  <c:v>111.0479</c:v>
                </c:pt>
                <c:pt idx="2065">
                  <c:v>109.32089999999999</c:v>
                </c:pt>
                <c:pt idx="2066">
                  <c:v>113.66200000000001</c:v>
                </c:pt>
                <c:pt idx="2067">
                  <c:v>111.71720000000001</c:v>
                </c:pt>
                <c:pt idx="2068">
                  <c:v>113.9533</c:v>
                </c:pt>
                <c:pt idx="2069">
                  <c:v>112.9397</c:v>
                </c:pt>
                <c:pt idx="2070">
                  <c:v>114.3472</c:v>
                </c:pt>
                <c:pt idx="2071">
                  <c:v>113.6588</c:v>
                </c:pt>
                <c:pt idx="2072">
                  <c:v>113.2419</c:v>
                </c:pt>
                <c:pt idx="2073">
                  <c:v>109.416</c:v>
                </c:pt>
                <c:pt idx="2074">
                  <c:v>104.00190000000001</c:v>
                </c:pt>
                <c:pt idx="2075">
                  <c:v>104.3883</c:v>
                </c:pt>
                <c:pt idx="2076">
                  <c:v>103.1061</c:v>
                </c:pt>
                <c:pt idx="2077">
                  <c:v>108.0543</c:v>
                </c:pt>
                <c:pt idx="2078">
                  <c:v>102.7741</c:v>
                </c:pt>
                <c:pt idx="2079">
                  <c:v>107.023</c:v>
                </c:pt>
                <c:pt idx="2080">
                  <c:v>108.6016</c:v>
                </c:pt>
                <c:pt idx="2081">
                  <c:v>104.9044</c:v>
                </c:pt>
                <c:pt idx="2082">
                  <c:v>105.1812</c:v>
                </c:pt>
                <c:pt idx="2083">
                  <c:v>99.867999999999995</c:v>
                </c:pt>
                <c:pt idx="2084">
                  <c:v>99.318100000000001</c:v>
                </c:pt>
                <c:pt idx="2085">
                  <c:v>98.950800000000001</c:v>
                </c:pt>
                <c:pt idx="2086">
                  <c:v>100.8167</c:v>
                </c:pt>
                <c:pt idx="2087">
                  <c:v>97.402699999999996</c:v>
                </c:pt>
                <c:pt idx="2088">
                  <c:v>98.208100000000002</c:v>
                </c:pt>
                <c:pt idx="2089">
                  <c:v>99.138199999999998</c:v>
                </c:pt>
                <c:pt idx="2090">
                  <c:v>95.030299999999997</c:v>
                </c:pt>
                <c:pt idx="2091">
                  <c:v>92.6297</c:v>
                </c:pt>
                <c:pt idx="2092">
                  <c:v>92.763999999999996</c:v>
                </c:pt>
                <c:pt idx="2093">
                  <c:v>89.073300000000003</c:v>
                </c:pt>
                <c:pt idx="2094">
                  <c:v>89.924599999999998</c:v>
                </c:pt>
                <c:pt idx="2095">
                  <c:v>90.746399999999994</c:v>
                </c:pt>
                <c:pt idx="2096">
                  <c:v>90.860500000000002</c:v>
                </c:pt>
                <c:pt idx="2097">
                  <c:v>91.837699999999998</c:v>
                </c:pt>
                <c:pt idx="2098">
                  <c:v>92.626999999999995</c:v>
                </c:pt>
                <c:pt idx="2099">
                  <c:v>89.473500000000001</c:v>
                </c:pt>
                <c:pt idx="2100">
                  <c:v>88.535200000000003</c:v>
                </c:pt>
                <c:pt idx="2101">
                  <c:v>88.080200000000005</c:v>
                </c:pt>
                <c:pt idx="2102">
                  <c:v>90.619600000000005</c:v>
                </c:pt>
                <c:pt idx="2103">
                  <c:v>88.050200000000004</c:v>
                </c:pt>
                <c:pt idx="2104">
                  <c:v>84.686099999999996</c:v>
                </c:pt>
                <c:pt idx="2105">
                  <c:v>81.714299999999994</c:v>
                </c:pt>
                <c:pt idx="2106">
                  <c:v>83.295599999999993</c:v>
                </c:pt>
                <c:pt idx="2107">
                  <c:v>91.412700000000001</c:v>
                </c:pt>
                <c:pt idx="2108">
                  <c:v>90.872600000000006</c:v>
                </c:pt>
                <c:pt idx="2109">
                  <c:v>89.087000000000003</c:v>
                </c:pt>
                <c:pt idx="2110">
                  <c:v>87.855500000000006</c:v>
                </c:pt>
                <c:pt idx="2111">
                  <c:v>84.431600000000003</c:v>
                </c:pt>
                <c:pt idx="2112">
                  <c:v>83.653199999999998</c:v>
                </c:pt>
                <c:pt idx="2113">
                  <c:v>79.741299999999995</c:v>
                </c:pt>
                <c:pt idx="2114">
                  <c:v>79.622299999999996</c:v>
                </c:pt>
                <c:pt idx="2115">
                  <c:v>72.091499999999996</c:v>
                </c:pt>
                <c:pt idx="2116">
                  <c:v>75.438699999999997</c:v>
                </c:pt>
                <c:pt idx="2117">
                  <c:v>70.332999999999998</c:v>
                </c:pt>
                <c:pt idx="2118">
                  <c:v>67.030299999999997</c:v>
                </c:pt>
                <c:pt idx="2119">
                  <c:v>65.784800000000004</c:v>
                </c:pt>
                <c:pt idx="2120">
                  <c:v>66.211799999999997</c:v>
                </c:pt>
                <c:pt idx="2121">
                  <c:v>64.4709</c:v>
                </c:pt>
                <c:pt idx="2122">
                  <c:v>66.358999999999995</c:v>
                </c:pt>
                <c:pt idx="2123">
                  <c:v>65.249600000000001</c:v>
                </c:pt>
                <c:pt idx="2124">
                  <c:v>67.066699999999997</c:v>
                </c:pt>
                <c:pt idx="2125">
                  <c:v>66.599299999999999</c:v>
                </c:pt>
                <c:pt idx="2126">
                  <c:v>67.001900000000006</c:v>
                </c:pt>
                <c:pt idx="2127">
                  <c:v>68.547600000000003</c:v>
                </c:pt>
                <c:pt idx="2128">
                  <c:v>74.094099999999997</c:v>
                </c:pt>
                <c:pt idx="2129">
                  <c:v>73.7881</c:v>
                </c:pt>
                <c:pt idx="2130">
                  <c:v>73.046599999999998</c:v>
                </c:pt>
                <c:pt idx="2131">
                  <c:v>76.357500000000002</c:v>
                </c:pt>
                <c:pt idx="2132">
                  <c:v>74.400599999999997</c:v>
                </c:pt>
                <c:pt idx="2133">
                  <c:v>76.0227</c:v>
                </c:pt>
                <c:pt idx="2134">
                  <c:v>77.501099999999994</c:v>
                </c:pt>
                <c:pt idx="2135">
                  <c:v>81.1524</c:v>
                </c:pt>
                <c:pt idx="2136">
                  <c:v>75.278099999999995</c:v>
                </c:pt>
                <c:pt idx="2137">
                  <c:v>71.820999999999998</c:v>
                </c:pt>
                <c:pt idx="2138">
                  <c:v>72.853999999999999</c:v>
                </c:pt>
                <c:pt idx="2139">
                  <c:v>75.724199999999996</c:v>
                </c:pt>
                <c:pt idx="2140">
                  <c:v>78.135000000000005</c:v>
                </c:pt>
                <c:pt idx="2141">
                  <c:v>83.141900000000007</c:v>
                </c:pt>
                <c:pt idx="2142">
                  <c:v>85.068700000000007</c:v>
                </c:pt>
                <c:pt idx="2143">
                  <c:v>85.308999999999997</c:v>
                </c:pt>
                <c:pt idx="2144">
                  <c:v>84.676400000000001</c:v>
                </c:pt>
                <c:pt idx="2145">
                  <c:v>88.021299999999997</c:v>
                </c:pt>
                <c:pt idx="2146">
                  <c:v>85.625299999999996</c:v>
                </c:pt>
                <c:pt idx="2147">
                  <c:v>88.437100000000001</c:v>
                </c:pt>
                <c:pt idx="2148">
                  <c:v>87.003200000000007</c:v>
                </c:pt>
                <c:pt idx="2149">
                  <c:v>87.083699999999993</c:v>
                </c:pt>
                <c:pt idx="2150">
                  <c:v>88.245699999999999</c:v>
                </c:pt>
                <c:pt idx="2151">
                  <c:v>89.9</c:v>
                </c:pt>
                <c:pt idx="2152">
                  <c:v>88.9041</c:v>
                </c:pt>
                <c:pt idx="2153">
                  <c:v>87.2196</c:v>
                </c:pt>
                <c:pt idx="2154">
                  <c:v>87.491200000000006</c:v>
                </c:pt>
                <c:pt idx="2155">
                  <c:v>85.766999999999996</c:v>
                </c:pt>
                <c:pt idx="2156">
                  <c:v>84.450400000000002</c:v>
                </c:pt>
                <c:pt idx="2157">
                  <c:v>84.571899999999999</c:v>
                </c:pt>
                <c:pt idx="2158">
                  <c:v>84.021000000000001</c:v>
                </c:pt>
                <c:pt idx="2159">
                  <c:v>78.914900000000003</c:v>
                </c:pt>
                <c:pt idx="2160">
                  <c:v>63.378500000000003</c:v>
                </c:pt>
                <c:pt idx="2161">
                  <c:v>64.379599999999996</c:v>
                </c:pt>
                <c:pt idx="2162">
                  <c:v>65.924199999999999</c:v>
                </c:pt>
                <c:pt idx="2163">
                  <c:v>69.339799999999997</c:v>
                </c:pt>
                <c:pt idx="2164">
                  <c:v>69.041600000000003</c:v>
                </c:pt>
                <c:pt idx="2165">
                  <c:v>69.794600000000003</c:v>
                </c:pt>
                <c:pt idx="2166">
                  <c:v>68.424499999999995</c:v>
                </c:pt>
                <c:pt idx="2167">
                  <c:v>68.4238</c:v>
                </c:pt>
                <c:pt idx="2168">
                  <c:v>69.551299999999998</c:v>
                </c:pt>
                <c:pt idx="2169">
                  <c:v>67.6995</c:v>
                </c:pt>
                <c:pt idx="2170">
                  <c:v>70.718199999999996</c:v>
                </c:pt>
                <c:pt idx="2171">
                  <c:v>70.2273</c:v>
                </c:pt>
                <c:pt idx="2172">
                  <c:v>68.367800000000003</c:v>
                </c:pt>
                <c:pt idx="2173">
                  <c:v>66.554199999999994</c:v>
                </c:pt>
                <c:pt idx="2174">
                  <c:v>62.646099999999997</c:v>
                </c:pt>
                <c:pt idx="2175">
                  <c:v>66.594099999999997</c:v>
                </c:pt>
                <c:pt idx="2176">
                  <c:v>67.357900000000001</c:v>
                </c:pt>
                <c:pt idx="2177">
                  <c:v>67.706000000000003</c:v>
                </c:pt>
                <c:pt idx="2178">
                  <c:v>67.959599999999995</c:v>
                </c:pt>
                <c:pt idx="2179">
                  <c:v>69.140699999999995</c:v>
                </c:pt>
                <c:pt idx="2180">
                  <c:v>72.084800000000001</c:v>
                </c:pt>
                <c:pt idx="2181">
                  <c:v>72.226699999999994</c:v>
                </c:pt>
                <c:pt idx="2182">
                  <c:v>74.064300000000003</c:v>
                </c:pt>
                <c:pt idx="2183">
                  <c:v>75.4251</c:v>
                </c:pt>
                <c:pt idx="2184">
                  <c:v>74.646699999999996</c:v>
                </c:pt>
                <c:pt idx="2185">
                  <c:v>74.638000000000005</c:v>
                </c:pt>
                <c:pt idx="2186">
                  <c:v>74.438000000000002</c:v>
                </c:pt>
                <c:pt idx="2187">
                  <c:v>74.626099999999994</c:v>
                </c:pt>
                <c:pt idx="2188">
                  <c:v>77.3613</c:v>
                </c:pt>
                <c:pt idx="2189">
                  <c:v>79.2744</c:v>
                </c:pt>
                <c:pt idx="2190">
                  <c:v>79.444100000000006</c:v>
                </c:pt>
                <c:pt idx="2191">
                  <c:v>80.858800000000002</c:v>
                </c:pt>
                <c:pt idx="2192">
                  <c:v>82.444199999999995</c:v>
                </c:pt>
                <c:pt idx="2193">
                  <c:v>83.194299999999998</c:v>
                </c:pt>
                <c:pt idx="2194">
                  <c:v>80.805999999999997</c:v>
                </c:pt>
                <c:pt idx="2195">
                  <c:v>78.854799999999997</c:v>
                </c:pt>
                <c:pt idx="2196">
                  <c:v>76.987099999999998</c:v>
                </c:pt>
                <c:pt idx="2197">
                  <c:v>73.624700000000004</c:v>
                </c:pt>
                <c:pt idx="2198">
                  <c:v>73.551400000000001</c:v>
                </c:pt>
                <c:pt idx="2199">
                  <c:v>75.878600000000006</c:v>
                </c:pt>
                <c:pt idx="2200">
                  <c:v>75.583600000000004</c:v>
                </c:pt>
                <c:pt idx="2201">
                  <c:v>71.580399999999997</c:v>
                </c:pt>
                <c:pt idx="2202">
                  <c:v>68.693899999999999</c:v>
                </c:pt>
                <c:pt idx="2203">
                  <c:v>74.780500000000004</c:v>
                </c:pt>
                <c:pt idx="2204">
                  <c:v>77.940899999999999</c:v>
                </c:pt>
                <c:pt idx="2205">
                  <c:v>76.333399999999997</c:v>
                </c:pt>
                <c:pt idx="2206">
                  <c:v>73.909099999999995</c:v>
                </c:pt>
                <c:pt idx="2207">
                  <c:v>75.159700000000001</c:v>
                </c:pt>
                <c:pt idx="2208">
                  <c:v>72.744299999999996</c:v>
                </c:pt>
                <c:pt idx="2209">
                  <c:v>70.720100000000002</c:v>
                </c:pt>
                <c:pt idx="2210">
                  <c:v>68.987099999999998</c:v>
                </c:pt>
                <c:pt idx="2211">
                  <c:v>68.585700000000003</c:v>
                </c:pt>
                <c:pt idx="2212">
                  <c:v>70.669399999999996</c:v>
                </c:pt>
                <c:pt idx="2213">
                  <c:v>69.453500000000005</c:v>
                </c:pt>
                <c:pt idx="2214">
                  <c:v>70.485100000000003</c:v>
                </c:pt>
                <c:pt idx="2215">
                  <c:v>66.991699999999994</c:v>
                </c:pt>
                <c:pt idx="2216">
                  <c:v>65.582099999999997</c:v>
                </c:pt>
                <c:pt idx="2217">
                  <c:v>65.885900000000007</c:v>
                </c:pt>
                <c:pt idx="2218">
                  <c:v>69.246200000000002</c:v>
                </c:pt>
                <c:pt idx="2219">
                  <c:v>71.1571</c:v>
                </c:pt>
                <c:pt idx="2220">
                  <c:v>70.321299999999994</c:v>
                </c:pt>
                <c:pt idx="2221">
                  <c:v>73.761899999999997</c:v>
                </c:pt>
                <c:pt idx="2222">
                  <c:v>69.470399999999998</c:v>
                </c:pt>
                <c:pt idx="2223">
                  <c:v>71.671499999999995</c:v>
                </c:pt>
                <c:pt idx="2224">
                  <c:v>70.219099999999997</c:v>
                </c:pt>
                <c:pt idx="2225">
                  <c:v>73.518900000000002</c:v>
                </c:pt>
                <c:pt idx="2226">
                  <c:v>75.868200000000002</c:v>
                </c:pt>
                <c:pt idx="2227">
                  <c:v>76.134900000000002</c:v>
                </c:pt>
                <c:pt idx="2228">
                  <c:v>75.433899999999994</c:v>
                </c:pt>
                <c:pt idx="2229">
                  <c:v>77.942899999999995</c:v>
                </c:pt>
                <c:pt idx="2230">
                  <c:v>76.229699999999994</c:v>
                </c:pt>
                <c:pt idx="2231">
                  <c:v>77.312399999999997</c:v>
                </c:pt>
                <c:pt idx="2232">
                  <c:v>81.154600000000002</c:v>
                </c:pt>
                <c:pt idx="2233">
                  <c:v>82.038399999999996</c:v>
                </c:pt>
                <c:pt idx="2234">
                  <c:v>83.578500000000005</c:v>
                </c:pt>
                <c:pt idx="2235">
                  <c:v>83.384600000000006</c:v>
                </c:pt>
                <c:pt idx="2236">
                  <c:v>82.571600000000004</c:v>
                </c:pt>
                <c:pt idx="2237">
                  <c:v>84.061099999999996</c:v>
                </c:pt>
                <c:pt idx="2238">
                  <c:v>79.358999999999995</c:v>
                </c:pt>
                <c:pt idx="2239">
                  <c:v>76.174499999999995</c:v>
                </c:pt>
                <c:pt idx="2240">
                  <c:v>77.251900000000006</c:v>
                </c:pt>
                <c:pt idx="2241">
                  <c:v>75.522300000000001</c:v>
                </c:pt>
                <c:pt idx="2242">
                  <c:v>75.744500000000002</c:v>
                </c:pt>
                <c:pt idx="2243">
                  <c:v>75.253299999999996</c:v>
                </c:pt>
                <c:pt idx="2244">
                  <c:v>71.111199999999997</c:v>
                </c:pt>
                <c:pt idx="2245">
                  <c:v>71.760099999999994</c:v>
                </c:pt>
                <c:pt idx="2246">
                  <c:v>70.137299999999996</c:v>
                </c:pt>
                <c:pt idx="2247">
                  <c:v>68.5184</c:v>
                </c:pt>
                <c:pt idx="2248">
                  <c:v>71.503299999999996</c:v>
                </c:pt>
                <c:pt idx="2249">
                  <c:v>75.415899999999993</c:v>
                </c:pt>
                <c:pt idx="2250">
                  <c:v>75.921400000000006</c:v>
                </c:pt>
                <c:pt idx="2251">
                  <c:v>77.190299999999993</c:v>
                </c:pt>
                <c:pt idx="2252">
                  <c:v>74.712900000000005</c:v>
                </c:pt>
                <c:pt idx="2253">
                  <c:v>74.943399999999997</c:v>
                </c:pt>
                <c:pt idx="2254">
                  <c:v>74.934600000000003</c:v>
                </c:pt>
                <c:pt idx="2255">
                  <c:v>73.408900000000003</c:v>
                </c:pt>
                <c:pt idx="2256">
                  <c:v>74.2744</c:v>
                </c:pt>
                <c:pt idx="2257">
                  <c:v>71.987499999999997</c:v>
                </c:pt>
                <c:pt idx="2258">
                  <c:v>66.138999999999996</c:v>
                </c:pt>
                <c:pt idx="2259">
                  <c:v>66.866900000000001</c:v>
                </c:pt>
                <c:pt idx="2260">
                  <c:v>68.334599999999995</c:v>
                </c:pt>
                <c:pt idx="2261">
                  <c:v>67.938400000000001</c:v>
                </c:pt>
                <c:pt idx="2262">
                  <c:v>65.871600000000001</c:v>
                </c:pt>
                <c:pt idx="2263">
                  <c:v>66.146600000000007</c:v>
                </c:pt>
                <c:pt idx="2264">
                  <c:v>67.091700000000003</c:v>
                </c:pt>
                <c:pt idx="2265">
                  <c:v>66.122399999999999</c:v>
                </c:pt>
                <c:pt idx="2266">
                  <c:v>64.655500000000004</c:v>
                </c:pt>
                <c:pt idx="2267">
                  <c:v>63.711799999999997</c:v>
                </c:pt>
                <c:pt idx="2268">
                  <c:v>64.208699999999993</c:v>
                </c:pt>
                <c:pt idx="2269">
                  <c:v>65.441299999999998</c:v>
                </c:pt>
                <c:pt idx="2270">
                  <c:v>65.573700000000002</c:v>
                </c:pt>
                <c:pt idx="2271">
                  <c:v>66.555199999999999</c:v>
                </c:pt>
                <c:pt idx="2272">
                  <c:v>67.732900000000001</c:v>
                </c:pt>
                <c:pt idx="2273">
                  <c:v>66.840100000000007</c:v>
                </c:pt>
                <c:pt idx="2274">
                  <c:v>68.260599999999997</c:v>
                </c:pt>
                <c:pt idx="2275">
                  <c:v>67.849199999999996</c:v>
                </c:pt>
                <c:pt idx="2276">
                  <c:v>70.764300000000006</c:v>
                </c:pt>
                <c:pt idx="2277">
                  <c:v>69.613699999999994</c:v>
                </c:pt>
                <c:pt idx="2278">
                  <c:v>67.069100000000006</c:v>
                </c:pt>
                <c:pt idx="2279">
                  <c:v>67.8369</c:v>
                </c:pt>
                <c:pt idx="2280">
                  <c:v>65.857900000000001</c:v>
                </c:pt>
                <c:pt idx="2281">
                  <c:v>67.915899999999993</c:v>
                </c:pt>
                <c:pt idx="2282">
                  <c:v>66.815399999999997</c:v>
                </c:pt>
                <c:pt idx="2283">
                  <c:v>66.071899999999999</c:v>
                </c:pt>
                <c:pt idx="2284">
                  <c:v>68.979900000000001</c:v>
                </c:pt>
                <c:pt idx="2285">
                  <c:v>65.107299999999995</c:v>
                </c:pt>
                <c:pt idx="2286">
                  <c:v>62.308100000000003</c:v>
                </c:pt>
                <c:pt idx="2287">
                  <c:v>63.639099999999999</c:v>
                </c:pt>
                <c:pt idx="2288">
                  <c:v>61.364699999999999</c:v>
                </c:pt>
                <c:pt idx="2289">
                  <c:v>58.385899999999999</c:v>
                </c:pt>
                <c:pt idx="2290">
                  <c:v>58.866799999999998</c:v>
                </c:pt>
                <c:pt idx="2291">
                  <c:v>60.219799999999999</c:v>
                </c:pt>
                <c:pt idx="2292">
                  <c:v>62.209200000000003</c:v>
                </c:pt>
                <c:pt idx="2293">
                  <c:v>61.783700000000003</c:v>
                </c:pt>
                <c:pt idx="2294">
                  <c:v>63.6081</c:v>
                </c:pt>
                <c:pt idx="2295">
                  <c:v>62.217500000000001</c:v>
                </c:pt>
                <c:pt idx="2296">
                  <c:v>63.232100000000003</c:v>
                </c:pt>
                <c:pt idx="2297">
                  <c:v>62.88</c:v>
                </c:pt>
                <c:pt idx="2298">
                  <c:v>62.644799999999996</c:v>
                </c:pt>
                <c:pt idx="2299">
                  <c:v>64.334599999999995</c:v>
                </c:pt>
                <c:pt idx="2300">
                  <c:v>63.588900000000002</c:v>
                </c:pt>
                <c:pt idx="2301">
                  <c:v>61.1569</c:v>
                </c:pt>
                <c:pt idx="2302">
                  <c:v>57.846699999999998</c:v>
                </c:pt>
                <c:pt idx="2303">
                  <c:v>57.932499999999997</c:v>
                </c:pt>
                <c:pt idx="2304">
                  <c:v>57.473399999999998</c:v>
                </c:pt>
                <c:pt idx="2305">
                  <c:v>55.937600000000003</c:v>
                </c:pt>
                <c:pt idx="2306">
                  <c:v>57.385899999999999</c:v>
                </c:pt>
                <c:pt idx="2307">
                  <c:v>56.736600000000003</c:v>
                </c:pt>
                <c:pt idx="2308">
                  <c:v>60.950200000000002</c:v>
                </c:pt>
                <c:pt idx="2309">
                  <c:v>62.068600000000004</c:v>
                </c:pt>
                <c:pt idx="2310">
                  <c:v>62.117600000000003</c:v>
                </c:pt>
                <c:pt idx="2311">
                  <c:v>61.642099999999999</c:v>
                </c:pt>
                <c:pt idx="2312">
                  <c:v>58.891800000000003</c:v>
                </c:pt>
                <c:pt idx="2313">
                  <c:v>57.985999999999997</c:v>
                </c:pt>
                <c:pt idx="2314">
                  <c:v>57.506999999999998</c:v>
                </c:pt>
                <c:pt idx="2315">
                  <c:v>56.381700000000002</c:v>
                </c:pt>
                <c:pt idx="2316">
                  <c:v>56.2789</c:v>
                </c:pt>
                <c:pt idx="2317">
                  <c:v>55.737699999999997</c:v>
                </c:pt>
                <c:pt idx="2318">
                  <c:v>55.650199999999998</c:v>
                </c:pt>
                <c:pt idx="2319">
                  <c:v>57.180799999999998</c:v>
                </c:pt>
                <c:pt idx="2320">
                  <c:v>56.937800000000003</c:v>
                </c:pt>
                <c:pt idx="2321">
                  <c:v>60.939599999999999</c:v>
                </c:pt>
                <c:pt idx="2322">
                  <c:v>62.179400000000001</c:v>
                </c:pt>
                <c:pt idx="2323">
                  <c:v>60.393700000000003</c:v>
                </c:pt>
                <c:pt idx="2324">
                  <c:v>60.121299999999998</c:v>
                </c:pt>
                <c:pt idx="2325">
                  <c:v>59.4619</c:v>
                </c:pt>
                <c:pt idx="2326">
                  <c:v>60.145000000000003</c:v>
                </c:pt>
                <c:pt idx="2327">
                  <c:v>58.4833</c:v>
                </c:pt>
                <c:pt idx="2328">
                  <c:v>58.253900000000002</c:v>
                </c:pt>
                <c:pt idx="2329">
                  <c:v>60.510599999999997</c:v>
                </c:pt>
                <c:pt idx="2330">
                  <c:v>60.7423</c:v>
                </c:pt>
                <c:pt idx="2331">
                  <c:v>60.851399999999998</c:v>
                </c:pt>
                <c:pt idx="2332">
                  <c:v>58.486899999999999</c:v>
                </c:pt>
                <c:pt idx="2333">
                  <c:v>58.662300000000002</c:v>
                </c:pt>
                <c:pt idx="2334">
                  <c:v>58.7271</c:v>
                </c:pt>
                <c:pt idx="2335">
                  <c:v>56.915399999999998</c:v>
                </c:pt>
                <c:pt idx="2336">
                  <c:v>56.6325</c:v>
                </c:pt>
                <c:pt idx="2337">
                  <c:v>58.148499999999999</c:v>
                </c:pt>
                <c:pt idx="2338">
                  <c:v>58.324800000000003</c:v>
                </c:pt>
                <c:pt idx="2339">
                  <c:v>58.230899999999998</c:v>
                </c:pt>
                <c:pt idx="2340">
                  <c:v>57.727800000000002</c:v>
                </c:pt>
                <c:pt idx="2341">
                  <c:v>56.743200000000002</c:v>
                </c:pt>
                <c:pt idx="2342">
                  <c:v>55.904299999999999</c:v>
                </c:pt>
                <c:pt idx="2343">
                  <c:v>53.838200000000001</c:v>
                </c:pt>
                <c:pt idx="2344">
                  <c:v>51.172699999999999</c:v>
                </c:pt>
                <c:pt idx="2345">
                  <c:v>49.049599999999998</c:v>
                </c:pt>
                <c:pt idx="2346">
                  <c:v>47.639899999999997</c:v>
                </c:pt>
                <c:pt idx="2347">
                  <c:v>49.145400000000002</c:v>
                </c:pt>
                <c:pt idx="2348">
                  <c:v>49.307899999999997</c:v>
                </c:pt>
                <c:pt idx="2349">
                  <c:v>48.14</c:v>
                </c:pt>
                <c:pt idx="2350">
                  <c:v>49.260899999999999</c:v>
                </c:pt>
                <c:pt idx="2351">
                  <c:v>48.447800000000001</c:v>
                </c:pt>
                <c:pt idx="2352">
                  <c:v>48.620699999999999</c:v>
                </c:pt>
                <c:pt idx="2353">
                  <c:v>47.480499999999999</c:v>
                </c:pt>
                <c:pt idx="2354">
                  <c:v>46.707500000000003</c:v>
                </c:pt>
                <c:pt idx="2355">
                  <c:v>47.397300000000001</c:v>
                </c:pt>
                <c:pt idx="2356">
                  <c:v>48.646500000000003</c:v>
                </c:pt>
                <c:pt idx="2357">
                  <c:v>48.982300000000002</c:v>
                </c:pt>
                <c:pt idx="2358">
                  <c:v>49.804400000000001</c:v>
                </c:pt>
                <c:pt idx="2359">
                  <c:v>50.277799999999999</c:v>
                </c:pt>
                <c:pt idx="2360">
                  <c:v>49.884599999999999</c:v>
                </c:pt>
                <c:pt idx="2361">
                  <c:v>50.107799999999997</c:v>
                </c:pt>
                <c:pt idx="2362">
                  <c:v>50.443199999999997</c:v>
                </c:pt>
                <c:pt idx="2363">
                  <c:v>50.590499999999999</c:v>
                </c:pt>
                <c:pt idx="2364">
                  <c:v>52.096600000000002</c:v>
                </c:pt>
                <c:pt idx="2365">
                  <c:v>53.255099999999999</c:v>
                </c:pt>
                <c:pt idx="2366">
                  <c:v>52.354900000000001</c:v>
                </c:pt>
                <c:pt idx="2367">
                  <c:v>52.1006</c:v>
                </c:pt>
                <c:pt idx="2368">
                  <c:v>50.623800000000003</c:v>
                </c:pt>
                <c:pt idx="2369">
                  <c:v>50.204599999999999</c:v>
                </c:pt>
                <c:pt idx="2370">
                  <c:v>51.173200000000001</c:v>
                </c:pt>
                <c:pt idx="2371">
                  <c:v>51.980800000000002</c:v>
                </c:pt>
                <c:pt idx="2372">
                  <c:v>51.456299999999999</c:v>
                </c:pt>
                <c:pt idx="2373">
                  <c:v>50.202599999999997</c:v>
                </c:pt>
                <c:pt idx="2374">
                  <c:v>49.468899999999998</c:v>
                </c:pt>
                <c:pt idx="2375">
                  <c:v>49.177500000000002</c:v>
                </c:pt>
                <c:pt idx="2376">
                  <c:v>48.331499999999998</c:v>
                </c:pt>
                <c:pt idx="2377">
                  <c:v>47.464700000000001</c:v>
                </c:pt>
                <c:pt idx="2378">
                  <c:v>48.332900000000002</c:v>
                </c:pt>
                <c:pt idx="2379">
                  <c:v>49.274700000000003</c:v>
                </c:pt>
                <c:pt idx="2380">
                  <c:v>51.562100000000001</c:v>
                </c:pt>
                <c:pt idx="2381">
                  <c:v>52.854500000000002</c:v>
                </c:pt>
                <c:pt idx="2382">
                  <c:v>51.2286</c:v>
                </c:pt>
                <c:pt idx="2383">
                  <c:v>53.092500000000001</c:v>
                </c:pt>
                <c:pt idx="2384">
                  <c:v>50.093800000000002</c:v>
                </c:pt>
                <c:pt idx="2385">
                  <c:v>47.616799999999998</c:v>
                </c:pt>
                <c:pt idx="2386">
                  <c:v>47.614600000000003</c:v>
                </c:pt>
                <c:pt idx="2387">
                  <c:v>47.842700000000001</c:v>
                </c:pt>
                <c:pt idx="2388">
                  <c:v>46.310200000000002</c:v>
                </c:pt>
                <c:pt idx="2389">
                  <c:v>45.963000000000001</c:v>
                </c:pt>
                <c:pt idx="2390">
                  <c:v>47.956400000000002</c:v>
                </c:pt>
                <c:pt idx="2391">
                  <c:v>48.675899999999999</c:v>
                </c:pt>
                <c:pt idx="2392">
                  <c:v>50.121600000000001</c:v>
                </c:pt>
                <c:pt idx="2393">
                  <c:v>50.307400000000001</c:v>
                </c:pt>
                <c:pt idx="2394">
                  <c:v>49.212200000000003</c:v>
                </c:pt>
                <c:pt idx="2395">
                  <c:v>50.4146</c:v>
                </c:pt>
                <c:pt idx="2396">
                  <c:v>49.512999999999998</c:v>
                </c:pt>
                <c:pt idx="2397">
                  <c:v>48.7438</c:v>
                </c:pt>
                <c:pt idx="2398">
                  <c:v>49.101199999999999</c:v>
                </c:pt>
                <c:pt idx="2399">
                  <c:v>49.465400000000002</c:v>
                </c:pt>
                <c:pt idx="2400">
                  <c:v>49.342599999999997</c:v>
                </c:pt>
                <c:pt idx="2401">
                  <c:v>48.936199999999999</c:v>
                </c:pt>
                <c:pt idx="2402">
                  <c:v>48.762999999999998</c:v>
                </c:pt>
                <c:pt idx="2403">
                  <c:v>47.262099999999997</c:v>
                </c:pt>
                <c:pt idx="2404">
                  <c:v>47.808599999999998</c:v>
                </c:pt>
                <c:pt idx="2405">
                  <c:v>46.781799999999997</c:v>
                </c:pt>
                <c:pt idx="2406">
                  <c:v>44.804299999999998</c:v>
                </c:pt>
                <c:pt idx="2407">
                  <c:v>45.524900000000002</c:v>
                </c:pt>
                <c:pt idx="2408">
                  <c:v>46.039900000000003</c:v>
                </c:pt>
                <c:pt idx="2409">
                  <c:v>45.7502</c:v>
                </c:pt>
                <c:pt idx="2410">
                  <c:v>45.218600000000002</c:v>
                </c:pt>
                <c:pt idx="2411">
                  <c:v>44.817599999999999</c:v>
                </c:pt>
                <c:pt idx="2412">
                  <c:v>42.9651</c:v>
                </c:pt>
                <c:pt idx="2413">
                  <c:v>42.169199999999996</c:v>
                </c:pt>
                <c:pt idx="2414">
                  <c:v>41.525599999999997</c:v>
                </c:pt>
                <c:pt idx="2415">
                  <c:v>41.021799999999999</c:v>
                </c:pt>
                <c:pt idx="2416">
                  <c:v>40.140700000000002</c:v>
                </c:pt>
                <c:pt idx="2417">
                  <c:v>40.820399999999999</c:v>
                </c:pt>
                <c:pt idx="2418">
                  <c:v>39.561199999999999</c:v>
                </c:pt>
                <c:pt idx="2419">
                  <c:v>40.489600000000003</c:v>
                </c:pt>
                <c:pt idx="2420">
                  <c:v>40.031999999999996</c:v>
                </c:pt>
                <c:pt idx="2421">
                  <c:v>39.371699999999997</c:v>
                </c:pt>
                <c:pt idx="2422">
                  <c:v>39.5441</c:v>
                </c:pt>
                <c:pt idx="2423">
                  <c:v>39.667200000000001</c:v>
                </c:pt>
                <c:pt idx="2424">
                  <c:v>39.913600000000002</c:v>
                </c:pt>
                <c:pt idx="2425">
                  <c:v>40.212899999999998</c:v>
                </c:pt>
                <c:pt idx="2426">
                  <c:v>43.064</c:v>
                </c:pt>
                <c:pt idx="2427">
                  <c:v>42.380499999999998</c:v>
                </c:pt>
                <c:pt idx="2428">
                  <c:v>42.971600000000002</c:v>
                </c:pt>
                <c:pt idx="2429">
                  <c:v>44.219299999999997</c:v>
                </c:pt>
                <c:pt idx="2430">
                  <c:v>44.0306</c:v>
                </c:pt>
                <c:pt idx="2431">
                  <c:v>43.333799999999997</c:v>
                </c:pt>
                <c:pt idx="2432">
                  <c:v>45.517699999999998</c:v>
                </c:pt>
                <c:pt idx="2433">
                  <c:v>42.810699999999997</c:v>
                </c:pt>
                <c:pt idx="2434">
                  <c:v>42.747100000000003</c:v>
                </c:pt>
                <c:pt idx="2435">
                  <c:v>42.554699999999997</c:v>
                </c:pt>
                <c:pt idx="2436">
                  <c:v>41.914700000000003</c:v>
                </c:pt>
                <c:pt idx="2437">
                  <c:v>41.145600000000002</c:v>
                </c:pt>
                <c:pt idx="2438">
                  <c:v>40.536799999999999</c:v>
                </c:pt>
                <c:pt idx="2439">
                  <c:v>41.353499999999997</c:v>
                </c:pt>
                <c:pt idx="2440">
                  <c:v>42.610500000000002</c:v>
                </c:pt>
                <c:pt idx="2441">
                  <c:v>42.1205</c:v>
                </c:pt>
                <c:pt idx="2442">
                  <c:v>44.351500000000001</c:v>
                </c:pt>
                <c:pt idx="2443">
                  <c:v>46.427900000000001</c:v>
                </c:pt>
                <c:pt idx="2444">
                  <c:v>43.808399999999999</c:v>
                </c:pt>
                <c:pt idx="2445">
                  <c:v>42.946899999999999</c:v>
                </c:pt>
                <c:pt idx="2446">
                  <c:v>42.523099999999999</c:v>
                </c:pt>
                <c:pt idx="2447">
                  <c:v>43.045699999999997</c:v>
                </c:pt>
                <c:pt idx="2448">
                  <c:v>43.633000000000003</c:v>
                </c:pt>
                <c:pt idx="2449">
                  <c:v>42.224800000000002</c:v>
                </c:pt>
                <c:pt idx="2450">
                  <c:v>41.311799999999998</c:v>
                </c:pt>
                <c:pt idx="2451">
                  <c:v>41.0745</c:v>
                </c:pt>
                <c:pt idx="2452">
                  <c:v>41.792200000000001</c:v>
                </c:pt>
                <c:pt idx="2453">
                  <c:v>38.558700000000002</c:v>
                </c:pt>
                <c:pt idx="2454">
                  <c:v>39.170900000000003</c:v>
                </c:pt>
                <c:pt idx="2455">
                  <c:v>37.769100000000002</c:v>
                </c:pt>
                <c:pt idx="2456">
                  <c:v>39.318399999999997</c:v>
                </c:pt>
                <c:pt idx="2457">
                  <c:v>41.460999999999999</c:v>
                </c:pt>
                <c:pt idx="2458">
                  <c:v>41.5077</c:v>
                </c:pt>
                <c:pt idx="2459">
                  <c:v>41.4208</c:v>
                </c:pt>
                <c:pt idx="2460">
                  <c:v>42.835099999999997</c:v>
                </c:pt>
                <c:pt idx="2461">
                  <c:v>42.7986</c:v>
                </c:pt>
                <c:pt idx="2462">
                  <c:v>42.844200000000001</c:v>
                </c:pt>
                <c:pt idx="2463">
                  <c:v>42.8202</c:v>
                </c:pt>
                <c:pt idx="2464">
                  <c:v>42.160800000000002</c:v>
                </c:pt>
                <c:pt idx="2465">
                  <c:v>41.945500000000003</c:v>
                </c:pt>
                <c:pt idx="2466">
                  <c:v>41.823399999999999</c:v>
                </c:pt>
                <c:pt idx="2467">
                  <c:v>42.750100000000003</c:v>
                </c:pt>
                <c:pt idx="2468">
                  <c:v>43.486899999999999</c:v>
                </c:pt>
                <c:pt idx="2469">
                  <c:v>43.354900000000001</c:v>
                </c:pt>
                <c:pt idx="2470">
                  <c:v>46.731400000000001</c:v>
                </c:pt>
                <c:pt idx="2471">
                  <c:v>47.2151</c:v>
                </c:pt>
                <c:pt idx="2472">
                  <c:v>48.070700000000002</c:v>
                </c:pt>
                <c:pt idx="2473">
                  <c:v>49.531999999999996</c:v>
                </c:pt>
                <c:pt idx="2474">
                  <c:v>50.656500000000001</c:v>
                </c:pt>
                <c:pt idx="2475">
                  <c:v>49.917499999999997</c:v>
                </c:pt>
                <c:pt idx="2476">
                  <c:v>50.4375</c:v>
                </c:pt>
                <c:pt idx="2477">
                  <c:v>52.382300000000001</c:v>
                </c:pt>
                <c:pt idx="2478">
                  <c:v>52.098100000000002</c:v>
                </c:pt>
                <c:pt idx="2479">
                  <c:v>51.683700000000002</c:v>
                </c:pt>
                <c:pt idx="2480">
                  <c:v>51.327199999999998</c:v>
                </c:pt>
                <c:pt idx="2481">
                  <c:v>50.897399999999998</c:v>
                </c:pt>
                <c:pt idx="2482">
                  <c:v>50.254199999999997</c:v>
                </c:pt>
                <c:pt idx="2483">
                  <c:v>50.950200000000002</c:v>
                </c:pt>
                <c:pt idx="2484">
                  <c:v>50.460799999999999</c:v>
                </c:pt>
                <c:pt idx="2485">
                  <c:v>50.310099999999998</c:v>
                </c:pt>
                <c:pt idx="2486">
                  <c:v>51.44</c:v>
                </c:pt>
                <c:pt idx="2487">
                  <c:v>49.889000000000003</c:v>
                </c:pt>
                <c:pt idx="2488">
                  <c:v>50.489100000000001</c:v>
                </c:pt>
                <c:pt idx="2489">
                  <c:v>50.545299999999997</c:v>
                </c:pt>
                <c:pt idx="2490">
                  <c:v>50.868200000000002</c:v>
                </c:pt>
                <c:pt idx="2491">
                  <c:v>50.825699999999998</c:v>
                </c:pt>
                <c:pt idx="2492">
                  <c:v>50.141599999999997</c:v>
                </c:pt>
                <c:pt idx="2493">
                  <c:v>49.628700000000002</c:v>
                </c:pt>
                <c:pt idx="2494">
                  <c:v>51.336300000000001</c:v>
                </c:pt>
                <c:pt idx="2495">
                  <c:v>50.468699999999998</c:v>
                </c:pt>
                <c:pt idx="2496">
                  <c:v>50.8018</c:v>
                </c:pt>
                <c:pt idx="2497">
                  <c:v>50.134900000000002</c:v>
                </c:pt>
                <c:pt idx="2498">
                  <c:v>49.3125</c:v>
                </c:pt>
                <c:pt idx="2499">
                  <c:v>48.889099999999999</c:v>
                </c:pt>
                <c:pt idx="2500">
                  <c:v>48.892899999999997</c:v>
                </c:pt>
                <c:pt idx="2501">
                  <c:v>48.670499999999997</c:v>
                </c:pt>
                <c:pt idx="2502">
                  <c:v>48.807200000000002</c:v>
                </c:pt>
                <c:pt idx="2503">
                  <c:v>48.475900000000003</c:v>
                </c:pt>
                <c:pt idx="2504">
                  <c:v>48.350700000000003</c:v>
                </c:pt>
                <c:pt idx="2505">
                  <c:v>49.368200000000002</c:v>
                </c:pt>
                <c:pt idx="2506">
                  <c:v>49.769500000000001</c:v>
                </c:pt>
                <c:pt idx="2507">
                  <c:v>50.883400000000002</c:v>
                </c:pt>
                <c:pt idx="2508">
                  <c:v>48.1053</c:v>
                </c:pt>
                <c:pt idx="2509">
                  <c:v>45.156100000000002</c:v>
                </c:pt>
                <c:pt idx="2510">
                  <c:v>44.887900000000002</c:v>
                </c:pt>
                <c:pt idx="2511">
                  <c:v>45.128500000000003</c:v>
                </c:pt>
                <c:pt idx="2512">
                  <c:v>48.374299999999998</c:v>
                </c:pt>
                <c:pt idx="2513">
                  <c:v>48.895000000000003</c:v>
                </c:pt>
                <c:pt idx="2514">
                  <c:v>50.703200000000002</c:v>
                </c:pt>
                <c:pt idx="2515">
                  <c:v>50.951300000000003</c:v>
                </c:pt>
                <c:pt idx="2516">
                  <c:v>50.106699999999996</c:v>
                </c:pt>
                <c:pt idx="2517">
                  <c:v>51.401000000000003</c:v>
                </c:pt>
                <c:pt idx="2518">
                  <c:v>51.186399999999999</c:v>
                </c:pt>
                <c:pt idx="2519">
                  <c:v>50.207599999999999</c:v>
                </c:pt>
                <c:pt idx="2520">
                  <c:v>49.750799999999998</c:v>
                </c:pt>
                <c:pt idx="2521">
                  <c:v>47.888199999999998</c:v>
                </c:pt>
                <c:pt idx="2522">
                  <c:v>48.548299999999998</c:v>
                </c:pt>
                <c:pt idx="2523">
                  <c:v>46.786000000000001</c:v>
                </c:pt>
                <c:pt idx="2524">
                  <c:v>47.228400000000001</c:v>
                </c:pt>
                <c:pt idx="2525">
                  <c:v>47.057899999999997</c:v>
                </c:pt>
                <c:pt idx="2526">
                  <c:v>45.472900000000003</c:v>
                </c:pt>
                <c:pt idx="2527">
                  <c:v>45.060899999999997</c:v>
                </c:pt>
                <c:pt idx="2528">
                  <c:v>45.646099999999997</c:v>
                </c:pt>
                <c:pt idx="2529">
                  <c:v>48.078600000000002</c:v>
                </c:pt>
                <c:pt idx="2530">
                  <c:v>48.799100000000003</c:v>
                </c:pt>
                <c:pt idx="2531">
                  <c:v>48.944400000000002</c:v>
                </c:pt>
                <c:pt idx="2532">
                  <c:v>47.885599999999997</c:v>
                </c:pt>
                <c:pt idx="2533">
                  <c:v>46.254600000000003</c:v>
                </c:pt>
                <c:pt idx="2534">
                  <c:v>47.2712</c:v>
                </c:pt>
                <c:pt idx="2535">
                  <c:v>48.884300000000003</c:v>
                </c:pt>
                <c:pt idx="2536">
                  <c:v>49.039200000000001</c:v>
                </c:pt>
                <c:pt idx="2537">
                  <c:v>48.449599999999997</c:v>
                </c:pt>
                <c:pt idx="2538">
                  <c:v>48.2239</c:v>
                </c:pt>
                <c:pt idx="2539">
                  <c:v>47.638599999999997</c:v>
                </c:pt>
                <c:pt idx="2540">
                  <c:v>45.514499999999998</c:v>
                </c:pt>
                <c:pt idx="2541">
                  <c:v>44.907299999999999</c:v>
                </c:pt>
                <c:pt idx="2542">
                  <c:v>42.193800000000003</c:v>
                </c:pt>
                <c:pt idx="2543">
                  <c:v>41.693199999999997</c:v>
                </c:pt>
                <c:pt idx="2544">
                  <c:v>40.878700000000002</c:v>
                </c:pt>
                <c:pt idx="2545">
                  <c:v>37.776499999999999</c:v>
                </c:pt>
                <c:pt idx="2546">
                  <c:v>37.805999999999997</c:v>
                </c:pt>
                <c:pt idx="2547">
                  <c:v>37.040199999999999</c:v>
                </c:pt>
                <c:pt idx="2548">
                  <c:v>37.076599999999999</c:v>
                </c:pt>
                <c:pt idx="2549">
                  <c:v>36.465699999999998</c:v>
                </c:pt>
                <c:pt idx="2550">
                  <c:v>35.9499</c:v>
                </c:pt>
                <c:pt idx="2551">
                  <c:v>33.952399999999997</c:v>
                </c:pt>
                <c:pt idx="2552">
                  <c:v>31.498799999999999</c:v>
                </c:pt>
                <c:pt idx="2553">
                  <c:v>30.3553</c:v>
                </c:pt>
                <c:pt idx="2554">
                  <c:v>30.616900000000001</c:v>
                </c:pt>
                <c:pt idx="2555">
                  <c:v>26.7196</c:v>
                </c:pt>
                <c:pt idx="2556">
                  <c:v>29.565300000000001</c:v>
                </c:pt>
                <c:pt idx="2557">
                  <c:v>27.419599999999999</c:v>
                </c:pt>
                <c:pt idx="2558">
                  <c:v>25.126300000000001</c:v>
                </c:pt>
                <c:pt idx="2559">
                  <c:v>26.121700000000001</c:v>
                </c:pt>
                <c:pt idx="2560">
                  <c:v>25.775099999999998</c:v>
                </c:pt>
                <c:pt idx="2561">
                  <c:v>25.568899999999999</c:v>
                </c:pt>
                <c:pt idx="2562">
                  <c:v>23.429500000000001</c:v>
                </c:pt>
                <c:pt idx="2563">
                  <c:v>23.780899999999999</c:v>
                </c:pt>
                <c:pt idx="2564">
                  <c:v>25.8752</c:v>
                </c:pt>
                <c:pt idx="2565">
                  <c:v>27.1938</c:v>
                </c:pt>
                <c:pt idx="2566">
                  <c:v>26.5764</c:v>
                </c:pt>
                <c:pt idx="2567">
                  <c:v>25.796399999999998</c:v>
                </c:pt>
                <c:pt idx="2568">
                  <c:v>27.078800000000001</c:v>
                </c:pt>
                <c:pt idx="2569">
                  <c:v>26.7624</c:v>
                </c:pt>
                <c:pt idx="2570">
                  <c:v>25.615200000000002</c:v>
                </c:pt>
                <c:pt idx="2571">
                  <c:v>25.634499999999999</c:v>
                </c:pt>
                <c:pt idx="2572">
                  <c:v>25.234000000000002</c:v>
                </c:pt>
                <c:pt idx="2573">
                  <c:v>26.316500000000001</c:v>
                </c:pt>
                <c:pt idx="2574">
                  <c:v>26.421099999999999</c:v>
                </c:pt>
                <c:pt idx="2575">
                  <c:v>25.789300000000001</c:v>
                </c:pt>
                <c:pt idx="2576">
                  <c:v>27.046700000000001</c:v>
                </c:pt>
                <c:pt idx="2577">
                  <c:v>28.596599999999999</c:v>
                </c:pt>
                <c:pt idx="2578">
                  <c:v>27.4221</c:v>
                </c:pt>
                <c:pt idx="2579">
                  <c:v>26.6587</c:v>
                </c:pt>
                <c:pt idx="2580">
                  <c:v>27.930599999999998</c:v>
                </c:pt>
                <c:pt idx="2581">
                  <c:v>28.168700000000001</c:v>
                </c:pt>
                <c:pt idx="2582">
                  <c:v>27.931899999999999</c:v>
                </c:pt>
                <c:pt idx="2583">
                  <c:v>26.802800000000001</c:v>
                </c:pt>
                <c:pt idx="2584">
                  <c:v>26.670500000000001</c:v>
                </c:pt>
                <c:pt idx="2585">
                  <c:v>28.222000000000001</c:v>
                </c:pt>
                <c:pt idx="2586">
                  <c:v>27.749700000000001</c:v>
                </c:pt>
                <c:pt idx="2587">
                  <c:v>27.727499999999999</c:v>
                </c:pt>
                <c:pt idx="2588">
                  <c:v>28.348700000000001</c:v>
                </c:pt>
                <c:pt idx="2589">
                  <c:v>27.345800000000001</c:v>
                </c:pt>
                <c:pt idx="2590">
                  <c:v>27.2776</c:v>
                </c:pt>
                <c:pt idx="2591">
                  <c:v>27.504799999999999</c:v>
                </c:pt>
                <c:pt idx="2592">
                  <c:v>26.655999999999999</c:v>
                </c:pt>
                <c:pt idx="2593">
                  <c:v>27.202100000000002</c:v>
                </c:pt>
                <c:pt idx="2594">
                  <c:v>27.466000000000001</c:v>
                </c:pt>
                <c:pt idx="2595">
                  <c:v>27.5153</c:v>
                </c:pt>
                <c:pt idx="2596">
                  <c:v>27.641999999999999</c:v>
                </c:pt>
                <c:pt idx="2597">
                  <c:v>27.061399999999999</c:v>
                </c:pt>
                <c:pt idx="2598">
                  <c:v>27.126000000000001</c:v>
                </c:pt>
                <c:pt idx="2599">
                  <c:v>28.257999999999999</c:v>
                </c:pt>
                <c:pt idx="2600">
                  <c:v>28.4863</c:v>
                </c:pt>
                <c:pt idx="2601">
                  <c:v>29.552499999999998</c:v>
                </c:pt>
                <c:pt idx="2602">
                  <c:v>29.6037</c:v>
                </c:pt>
                <c:pt idx="2603">
                  <c:v>33.340600000000002</c:v>
                </c:pt>
                <c:pt idx="2604">
                  <c:v>33.920999999999999</c:v>
                </c:pt>
                <c:pt idx="2605">
                  <c:v>32.812199999999997</c:v>
                </c:pt>
                <c:pt idx="2606">
                  <c:v>33.617800000000003</c:v>
                </c:pt>
                <c:pt idx="2607">
                  <c:v>33.436900000000001</c:v>
                </c:pt>
                <c:pt idx="2608">
                  <c:v>34.279800000000002</c:v>
                </c:pt>
                <c:pt idx="2609">
                  <c:v>33.961300000000001</c:v>
                </c:pt>
                <c:pt idx="2610">
                  <c:v>35.028399999999998</c:v>
                </c:pt>
                <c:pt idx="2611">
                  <c:v>34.2378</c:v>
                </c:pt>
                <c:pt idx="2612">
                  <c:v>33.813499999999998</c:v>
                </c:pt>
                <c:pt idx="2613">
                  <c:v>33.860999999999997</c:v>
                </c:pt>
                <c:pt idx="2614">
                  <c:v>33.158099999999997</c:v>
                </c:pt>
                <c:pt idx="2615">
                  <c:v>33.4983</c:v>
                </c:pt>
                <c:pt idx="2616">
                  <c:v>33.3827</c:v>
                </c:pt>
                <c:pt idx="2617">
                  <c:v>33.213299999999997</c:v>
                </c:pt>
                <c:pt idx="2618">
                  <c:v>32.809600000000003</c:v>
                </c:pt>
                <c:pt idx="2619">
                  <c:v>33.047600000000003</c:v>
                </c:pt>
                <c:pt idx="2620">
                  <c:v>32.598700000000001</c:v>
                </c:pt>
                <c:pt idx="2621">
                  <c:v>32.634500000000003</c:v>
                </c:pt>
                <c:pt idx="2622">
                  <c:v>32.193100000000001</c:v>
                </c:pt>
                <c:pt idx="2623">
                  <c:v>31.885300000000001</c:v>
                </c:pt>
                <c:pt idx="2624">
                  <c:v>31.924900000000001</c:v>
                </c:pt>
                <c:pt idx="2625">
                  <c:v>31.931899999999999</c:v>
                </c:pt>
                <c:pt idx="2626">
                  <c:v>31.9008</c:v>
                </c:pt>
                <c:pt idx="2627">
                  <c:v>31.7591</c:v>
                </c:pt>
                <c:pt idx="2628">
                  <c:v>31.457999999999998</c:v>
                </c:pt>
                <c:pt idx="2629">
                  <c:v>31.224299999999999</c:v>
                </c:pt>
                <c:pt idx="2630">
                  <c:v>30.174399999999999</c:v>
                </c:pt>
                <c:pt idx="2631">
                  <c:v>29.2681</c:v>
                </c:pt>
                <c:pt idx="2632">
                  <c:v>28.297999999999998</c:v>
                </c:pt>
                <c:pt idx="2633">
                  <c:v>28.938800000000001</c:v>
                </c:pt>
                <c:pt idx="2634">
                  <c:v>29.737500000000001</c:v>
                </c:pt>
                <c:pt idx="2635">
                  <c:v>29.994599999999998</c:v>
                </c:pt>
                <c:pt idx="2636">
                  <c:v>29.6191</c:v>
                </c:pt>
                <c:pt idx="2637">
                  <c:v>30.1539</c:v>
                </c:pt>
                <c:pt idx="2638">
                  <c:v>29.906600000000001</c:v>
                </c:pt>
                <c:pt idx="2639">
                  <c:v>29.6477</c:v>
                </c:pt>
                <c:pt idx="2640">
                  <c:v>28.8443</c:v>
                </c:pt>
                <c:pt idx="2641">
                  <c:v>28.6203</c:v>
                </c:pt>
                <c:pt idx="2642">
                  <c:v>28.4514</c:v>
                </c:pt>
                <c:pt idx="2643">
                  <c:v>28.131699999999999</c:v>
                </c:pt>
                <c:pt idx="2644">
                  <c:v>27.3139</c:v>
                </c:pt>
                <c:pt idx="2645">
                  <c:v>25.761099999999999</c:v>
                </c:pt>
                <c:pt idx="2646">
                  <c:v>24.8508</c:v>
                </c:pt>
                <c:pt idx="2647">
                  <c:v>24.5581</c:v>
                </c:pt>
                <c:pt idx="2648">
                  <c:v>24.562799999999999</c:v>
                </c:pt>
                <c:pt idx="2649">
                  <c:v>23.9894</c:v>
                </c:pt>
                <c:pt idx="2650">
                  <c:v>21.98</c:v>
                </c:pt>
                <c:pt idx="2651">
                  <c:v>22.942900000000002</c:v>
                </c:pt>
                <c:pt idx="2652">
                  <c:v>22.2057</c:v>
                </c:pt>
                <c:pt idx="2653">
                  <c:v>25.498100000000001</c:v>
                </c:pt>
                <c:pt idx="2654">
                  <c:v>25.611899999999999</c:v>
                </c:pt>
                <c:pt idx="2655">
                  <c:v>24.281400000000001</c:v>
                </c:pt>
                <c:pt idx="2656">
                  <c:v>24.3751</c:v>
                </c:pt>
                <c:pt idx="2657">
                  <c:v>23.314599999999999</c:v>
                </c:pt>
                <c:pt idx="2658">
                  <c:v>23.3765</c:v>
                </c:pt>
                <c:pt idx="2659">
                  <c:v>24.299600000000002</c:v>
                </c:pt>
                <c:pt idx="2660">
                  <c:v>24.751999999999999</c:v>
                </c:pt>
                <c:pt idx="2661">
                  <c:v>24.3932</c:v>
                </c:pt>
                <c:pt idx="2662">
                  <c:v>24.541799999999999</c:v>
                </c:pt>
                <c:pt idx="2663">
                  <c:v>24.648</c:v>
                </c:pt>
                <c:pt idx="2664">
                  <c:v>23.910799999999998</c:v>
                </c:pt>
                <c:pt idx="2665">
                  <c:v>24.448699999999999</c:v>
                </c:pt>
                <c:pt idx="2666">
                  <c:v>23.664200000000001</c:v>
                </c:pt>
                <c:pt idx="2667">
                  <c:v>22.875800000000002</c:v>
                </c:pt>
                <c:pt idx="2668">
                  <c:v>22.9116</c:v>
                </c:pt>
                <c:pt idx="2669">
                  <c:v>22.9846</c:v>
                </c:pt>
                <c:pt idx="2670">
                  <c:v>22.724900000000002</c:v>
                </c:pt>
                <c:pt idx="2671">
                  <c:v>22.871500000000001</c:v>
                </c:pt>
                <c:pt idx="2672">
                  <c:v>23.283999999999999</c:v>
                </c:pt>
                <c:pt idx="2673">
                  <c:v>23.1812</c:v>
                </c:pt>
                <c:pt idx="2674">
                  <c:v>22.929600000000001</c:v>
                </c:pt>
                <c:pt idx="2675">
                  <c:v>23.550699999999999</c:v>
                </c:pt>
                <c:pt idx="2676">
                  <c:v>23.245999999999999</c:v>
                </c:pt>
                <c:pt idx="2677">
                  <c:v>22.796500000000002</c:v>
                </c:pt>
                <c:pt idx="2678">
                  <c:v>22.5334</c:v>
                </c:pt>
                <c:pt idx="2679">
                  <c:v>22.810099999999998</c:v>
                </c:pt>
                <c:pt idx="2680">
                  <c:v>22.449400000000001</c:v>
                </c:pt>
                <c:pt idx="2681">
                  <c:v>22.382999999999999</c:v>
                </c:pt>
                <c:pt idx="2682">
                  <c:v>22.713100000000001</c:v>
                </c:pt>
                <c:pt idx="2683">
                  <c:v>22.965900000000001</c:v>
                </c:pt>
                <c:pt idx="2684">
                  <c:v>22.727599999999999</c:v>
                </c:pt>
                <c:pt idx="2685">
                  <c:v>23.062100000000001</c:v>
                </c:pt>
                <c:pt idx="2686">
                  <c:v>22.489000000000001</c:v>
                </c:pt>
                <c:pt idx="2687">
                  <c:v>21.842400000000001</c:v>
                </c:pt>
                <c:pt idx="2688">
                  <c:v>22.108499999999999</c:v>
                </c:pt>
                <c:pt idx="2689">
                  <c:v>22.356000000000002</c:v>
                </c:pt>
                <c:pt idx="2690">
                  <c:v>22.468399999999999</c:v>
                </c:pt>
                <c:pt idx="2691">
                  <c:v>22.450600000000001</c:v>
                </c:pt>
                <c:pt idx="2692">
                  <c:v>22.411799999999999</c:v>
                </c:pt>
                <c:pt idx="2693">
                  <c:v>22.559100000000001</c:v>
                </c:pt>
                <c:pt idx="2694">
                  <c:v>22.3627</c:v>
                </c:pt>
                <c:pt idx="2695">
                  <c:v>21.9786</c:v>
                </c:pt>
                <c:pt idx="2696">
                  <c:v>22.271999999999998</c:v>
                </c:pt>
                <c:pt idx="2697">
                  <c:v>22.1816</c:v>
                </c:pt>
                <c:pt idx="2698">
                  <c:v>22.0167</c:v>
                </c:pt>
                <c:pt idx="2699">
                  <c:v>21.725000000000001</c:v>
                </c:pt>
                <c:pt idx="2700">
                  <c:v>21.808499999999999</c:v>
                </c:pt>
                <c:pt idx="2701">
                  <c:v>21.9193</c:v>
                </c:pt>
                <c:pt idx="2702">
                  <c:v>21.859500000000001</c:v>
                </c:pt>
                <c:pt idx="2703">
                  <c:v>21.5535</c:v>
                </c:pt>
                <c:pt idx="2704">
                  <c:v>21.75</c:v>
                </c:pt>
                <c:pt idx="2705">
                  <c:v>21.354600000000001</c:v>
                </c:pt>
                <c:pt idx="2706">
                  <c:v>20.071100000000001</c:v>
                </c:pt>
                <c:pt idx="2707">
                  <c:v>19.0336</c:v>
                </c:pt>
                <c:pt idx="2708">
                  <c:v>18.535299999999999</c:v>
                </c:pt>
                <c:pt idx="2709">
                  <c:v>18.009</c:v>
                </c:pt>
                <c:pt idx="2710">
                  <c:v>18.5319</c:v>
                </c:pt>
                <c:pt idx="2711">
                  <c:v>18.377400000000002</c:v>
                </c:pt>
                <c:pt idx="2712">
                  <c:v>19.0609</c:v>
                </c:pt>
                <c:pt idx="2713">
                  <c:v>18.393899999999999</c:v>
                </c:pt>
                <c:pt idx="2714">
                  <c:v>18.390499999999999</c:v>
                </c:pt>
                <c:pt idx="2715">
                  <c:v>21.2437</c:v>
                </c:pt>
                <c:pt idx="2716">
                  <c:v>23.504100000000001</c:v>
                </c:pt>
                <c:pt idx="2717">
                  <c:v>24.204899999999999</c:v>
                </c:pt>
                <c:pt idx="2718">
                  <c:v>24.990500000000001</c:v>
                </c:pt>
                <c:pt idx="2719">
                  <c:v>24.714300000000001</c:v>
                </c:pt>
                <c:pt idx="2720">
                  <c:v>25.521000000000001</c:v>
                </c:pt>
                <c:pt idx="2721">
                  <c:v>24.580100000000002</c:v>
                </c:pt>
                <c:pt idx="2722">
                  <c:v>25.331099999999999</c:v>
                </c:pt>
                <c:pt idx="2723">
                  <c:v>25.467199999999998</c:v>
                </c:pt>
                <c:pt idx="2724">
                  <c:v>26.259799999999998</c:v>
                </c:pt>
                <c:pt idx="2725">
                  <c:v>26.1066</c:v>
                </c:pt>
                <c:pt idx="2726">
                  <c:v>25.892600000000002</c:v>
                </c:pt>
                <c:pt idx="2727">
                  <c:v>25.7928</c:v>
                </c:pt>
                <c:pt idx="2728">
                  <c:v>26.5458</c:v>
                </c:pt>
                <c:pt idx="2729">
                  <c:v>25.633500000000002</c:v>
                </c:pt>
                <c:pt idx="2730">
                  <c:v>27.353400000000001</c:v>
                </c:pt>
                <c:pt idx="2731">
                  <c:v>26.783300000000001</c:v>
                </c:pt>
                <c:pt idx="2732">
                  <c:v>26.293900000000001</c:v>
                </c:pt>
                <c:pt idx="2733">
                  <c:v>26.519200000000001</c:v>
                </c:pt>
                <c:pt idx="2734">
                  <c:v>26.318200000000001</c:v>
                </c:pt>
                <c:pt idx="2735">
                  <c:v>26.0792</c:v>
                </c:pt>
                <c:pt idx="2736">
                  <c:v>26.680099999999999</c:v>
                </c:pt>
                <c:pt idx="2737">
                  <c:v>26.4938</c:v>
                </c:pt>
                <c:pt idx="2738">
                  <c:v>26.367599999999999</c:v>
                </c:pt>
                <c:pt idx="2739">
                  <c:v>27.198599999999999</c:v>
                </c:pt>
                <c:pt idx="2740">
                  <c:v>27.069400000000002</c:v>
                </c:pt>
                <c:pt idx="2741">
                  <c:v>27.2639</c:v>
                </c:pt>
                <c:pt idx="2742">
                  <c:v>27.550899999999999</c:v>
                </c:pt>
                <c:pt idx="2743">
                  <c:v>27.856000000000002</c:v>
                </c:pt>
                <c:pt idx="2744">
                  <c:v>26.3231</c:v>
                </c:pt>
                <c:pt idx="2745">
                  <c:v>27.120699999999999</c:v>
                </c:pt>
                <c:pt idx="2746">
                  <c:v>26.953199999999999</c:v>
                </c:pt>
                <c:pt idx="2747">
                  <c:v>27.700800000000001</c:v>
                </c:pt>
                <c:pt idx="2748">
                  <c:v>27.6462</c:v>
                </c:pt>
                <c:pt idx="2749">
                  <c:v>28.670500000000001</c:v>
                </c:pt>
                <c:pt idx="2750">
                  <c:v>28.761199999999999</c:v>
                </c:pt>
                <c:pt idx="2751">
                  <c:v>29.0108</c:v>
                </c:pt>
                <c:pt idx="2752">
                  <c:v>27.282699999999998</c:v>
                </c:pt>
                <c:pt idx="2753">
                  <c:v>26.9999</c:v>
                </c:pt>
                <c:pt idx="2754">
                  <c:v>28.0105</c:v>
                </c:pt>
                <c:pt idx="2755">
                  <c:v>28.2531</c:v>
                </c:pt>
                <c:pt idx="2756">
                  <c:v>29.72</c:v>
                </c:pt>
                <c:pt idx="2757">
                  <c:v>29.026599999999998</c:v>
                </c:pt>
                <c:pt idx="2758">
                  <c:v>29.025300000000001</c:v>
                </c:pt>
                <c:pt idx="2759">
                  <c:v>29.878399999999999</c:v>
                </c:pt>
                <c:pt idx="2760">
                  <c:v>30.099499999999999</c:v>
                </c:pt>
                <c:pt idx="2761">
                  <c:v>30.6538</c:v>
                </c:pt>
                <c:pt idx="2762">
                  <c:v>30.513999999999999</c:v>
                </c:pt>
                <c:pt idx="2763">
                  <c:v>29.604600000000001</c:v>
                </c:pt>
                <c:pt idx="2764">
                  <c:v>29.319199999999999</c:v>
                </c:pt>
                <c:pt idx="2765">
                  <c:v>29.422899999999998</c:v>
                </c:pt>
                <c:pt idx="2766">
                  <c:v>28.709199999999999</c:v>
                </c:pt>
                <c:pt idx="2767">
                  <c:v>28.6553</c:v>
                </c:pt>
                <c:pt idx="2768">
                  <c:v>27.4206</c:v>
                </c:pt>
                <c:pt idx="2769">
                  <c:v>28.227599999999999</c:v>
                </c:pt>
                <c:pt idx="2770">
                  <c:v>27.757400000000001</c:v>
                </c:pt>
                <c:pt idx="2771">
                  <c:v>27.584099999999999</c:v>
                </c:pt>
                <c:pt idx="2772">
                  <c:v>28.520399999999999</c:v>
                </c:pt>
                <c:pt idx="2773">
                  <c:v>28.676500000000001</c:v>
                </c:pt>
                <c:pt idx="2774">
                  <c:v>29.639900000000001</c:v>
                </c:pt>
                <c:pt idx="2775">
                  <c:v>29.280799999999999</c:v>
                </c:pt>
                <c:pt idx="2776">
                  <c:v>29.232800000000001</c:v>
                </c:pt>
                <c:pt idx="2777">
                  <c:v>29.1523</c:v>
                </c:pt>
                <c:pt idx="2778">
                  <c:v>29.209</c:v>
                </c:pt>
                <c:pt idx="2779">
                  <c:v>29.3508</c:v>
                </c:pt>
                <c:pt idx="2780">
                  <c:v>29.171500000000002</c:v>
                </c:pt>
                <c:pt idx="2781">
                  <c:v>30.3001</c:v>
                </c:pt>
                <c:pt idx="2782">
                  <c:v>30.684699999999999</c:v>
                </c:pt>
                <c:pt idx="2783">
                  <c:v>30.9056</c:v>
                </c:pt>
                <c:pt idx="2784">
                  <c:v>30.928799999999999</c:v>
                </c:pt>
                <c:pt idx="2785">
                  <c:v>31.1694</c:v>
                </c:pt>
                <c:pt idx="2786">
                  <c:v>32.016199999999998</c:v>
                </c:pt>
                <c:pt idx="2787">
                  <c:v>31.2864</c:v>
                </c:pt>
                <c:pt idx="2788">
                  <c:v>32.763800000000003</c:v>
                </c:pt>
                <c:pt idx="2789">
                  <c:v>33.1556</c:v>
                </c:pt>
                <c:pt idx="2790">
                  <c:v>33.614699999999999</c:v>
                </c:pt>
                <c:pt idx="2791">
                  <c:v>36.563200000000002</c:v>
                </c:pt>
                <c:pt idx="2792">
                  <c:v>36.833799999999997</c:v>
                </c:pt>
                <c:pt idx="2793">
                  <c:v>36.113599999999998</c:v>
                </c:pt>
                <c:pt idx="2794">
                  <c:v>36.055300000000003</c:v>
                </c:pt>
                <c:pt idx="2795">
                  <c:v>36.176200000000001</c:v>
                </c:pt>
                <c:pt idx="2796">
                  <c:v>35.090200000000003</c:v>
                </c:pt>
                <c:pt idx="2797">
                  <c:v>35.391100000000002</c:v>
                </c:pt>
                <c:pt idx="2798">
                  <c:v>35.565399999999997</c:v>
                </c:pt>
                <c:pt idx="2799">
                  <c:v>35.088000000000001</c:v>
                </c:pt>
                <c:pt idx="2800">
                  <c:v>34.975900000000003</c:v>
                </c:pt>
                <c:pt idx="2801">
                  <c:v>35.178199999999997</c:v>
                </c:pt>
                <c:pt idx="2802">
                  <c:v>34.998800000000003</c:v>
                </c:pt>
                <c:pt idx="2803">
                  <c:v>33.399700000000003</c:v>
                </c:pt>
                <c:pt idx="2804">
                  <c:v>33.647300000000001</c:v>
                </c:pt>
                <c:pt idx="2805">
                  <c:v>27.459499999999998</c:v>
                </c:pt>
                <c:pt idx="2806">
                  <c:v>28.1388</c:v>
                </c:pt>
                <c:pt idx="2807">
                  <c:v>29.411300000000001</c:v>
                </c:pt>
                <c:pt idx="2808">
                  <c:v>28.8781</c:v>
                </c:pt>
                <c:pt idx="2809">
                  <c:v>28.601400000000002</c:v>
                </c:pt>
                <c:pt idx="2810">
                  <c:v>27.927700000000002</c:v>
                </c:pt>
                <c:pt idx="2811">
                  <c:v>28.479199999999999</c:v>
                </c:pt>
                <c:pt idx="2812">
                  <c:v>27.796500000000002</c:v>
                </c:pt>
                <c:pt idx="2813">
                  <c:v>28.415800000000001</c:v>
                </c:pt>
                <c:pt idx="2814">
                  <c:v>28.740500000000001</c:v>
                </c:pt>
                <c:pt idx="2815">
                  <c:v>28.088799999999999</c:v>
                </c:pt>
                <c:pt idx="2816">
                  <c:v>28.200199999999999</c:v>
                </c:pt>
                <c:pt idx="2817">
                  <c:v>27.24</c:v>
                </c:pt>
                <c:pt idx="2818">
                  <c:v>26.204499999999999</c:v>
                </c:pt>
                <c:pt idx="2819">
                  <c:v>26.319700000000001</c:v>
                </c:pt>
                <c:pt idx="2820">
                  <c:v>26.059000000000001</c:v>
                </c:pt>
                <c:pt idx="2821">
                  <c:v>26.382100000000001</c:v>
                </c:pt>
                <c:pt idx="2822">
                  <c:v>25.946899999999999</c:v>
                </c:pt>
                <c:pt idx="2823">
                  <c:v>25.369299999999999</c:v>
                </c:pt>
                <c:pt idx="2824">
                  <c:v>25.2484</c:v>
                </c:pt>
                <c:pt idx="2825">
                  <c:v>24.1403</c:v>
                </c:pt>
                <c:pt idx="2826">
                  <c:v>23.343</c:v>
                </c:pt>
                <c:pt idx="2827">
                  <c:v>24.0288</c:v>
                </c:pt>
                <c:pt idx="2828">
                  <c:v>24.394100000000002</c:v>
                </c:pt>
                <c:pt idx="2829">
                  <c:v>25.1737</c:v>
                </c:pt>
                <c:pt idx="2830">
                  <c:v>25.6724</c:v>
                </c:pt>
                <c:pt idx="2831">
                  <c:v>25.748200000000001</c:v>
                </c:pt>
                <c:pt idx="2832">
                  <c:v>26.2974</c:v>
                </c:pt>
                <c:pt idx="2833">
                  <c:v>27.110299999999999</c:v>
                </c:pt>
                <c:pt idx="2834">
                  <c:v>26.7638</c:v>
                </c:pt>
                <c:pt idx="2835">
                  <c:v>26.404299999999999</c:v>
                </c:pt>
                <c:pt idx="2836">
                  <c:v>26.5961</c:v>
                </c:pt>
                <c:pt idx="2837">
                  <c:v>26.659199999999998</c:v>
                </c:pt>
                <c:pt idx="2838">
                  <c:v>27.472100000000001</c:v>
                </c:pt>
                <c:pt idx="2839">
                  <c:v>27.344000000000001</c:v>
                </c:pt>
                <c:pt idx="2840">
                  <c:v>27.565799999999999</c:v>
                </c:pt>
                <c:pt idx="2841">
                  <c:v>26.348199999999999</c:v>
                </c:pt>
                <c:pt idx="2842">
                  <c:v>26.777899999999999</c:v>
                </c:pt>
                <c:pt idx="2843">
                  <c:v>26.6875</c:v>
                </c:pt>
                <c:pt idx="2844">
                  <c:v>26.713899999999999</c:v>
                </c:pt>
                <c:pt idx="2845">
                  <c:v>26.414100000000001</c:v>
                </c:pt>
                <c:pt idx="2846">
                  <c:v>25.231400000000001</c:v>
                </c:pt>
                <c:pt idx="2847">
                  <c:v>25.2577</c:v>
                </c:pt>
                <c:pt idx="2848">
                  <c:v>25.335599999999999</c:v>
                </c:pt>
                <c:pt idx="2849">
                  <c:v>25.017499999999998</c:v>
                </c:pt>
                <c:pt idx="2850">
                  <c:v>25.978300000000001</c:v>
                </c:pt>
                <c:pt idx="2851">
                  <c:v>25.875800000000002</c:v>
                </c:pt>
                <c:pt idx="2852">
                  <c:v>27.101600000000001</c:v>
                </c:pt>
                <c:pt idx="2853">
                  <c:v>26.540099999999999</c:v>
                </c:pt>
                <c:pt idx="2854">
                  <c:v>26.998899999999999</c:v>
                </c:pt>
                <c:pt idx="2855">
                  <c:v>27.685700000000001</c:v>
                </c:pt>
                <c:pt idx="2856">
                  <c:v>27.815799999999999</c:v>
                </c:pt>
                <c:pt idx="2857">
                  <c:v>27.608699999999999</c:v>
                </c:pt>
                <c:pt idx="2858">
                  <c:v>28.689800000000002</c:v>
                </c:pt>
                <c:pt idx="2859">
                  <c:v>29.116900000000001</c:v>
                </c:pt>
                <c:pt idx="2860">
                  <c:v>28.7408</c:v>
                </c:pt>
                <c:pt idx="2861">
                  <c:v>27.9956</c:v>
                </c:pt>
                <c:pt idx="2862">
                  <c:v>29.8216</c:v>
                </c:pt>
                <c:pt idx="2863">
                  <c:v>29.358000000000001</c:v>
                </c:pt>
                <c:pt idx="2864">
                  <c:v>29.0928</c:v>
                </c:pt>
                <c:pt idx="2865">
                  <c:v>29.4391</c:v>
                </c:pt>
                <c:pt idx="2866">
                  <c:v>29.412299999999998</c:v>
                </c:pt>
                <c:pt idx="2867">
                  <c:v>29.639900000000001</c:v>
                </c:pt>
                <c:pt idx="2868">
                  <c:v>28.745100000000001</c:v>
                </c:pt>
                <c:pt idx="2869">
                  <c:v>27.6934</c:v>
                </c:pt>
                <c:pt idx="2870">
                  <c:v>27.209</c:v>
                </c:pt>
                <c:pt idx="2871">
                  <c:v>26.912600000000001</c:v>
                </c:pt>
                <c:pt idx="2872">
                  <c:v>27.665600000000001</c:v>
                </c:pt>
                <c:pt idx="2873">
                  <c:v>27.669</c:v>
                </c:pt>
                <c:pt idx="2874">
                  <c:v>27.7958</c:v>
                </c:pt>
                <c:pt idx="2875">
                  <c:v>27.547999999999998</c:v>
                </c:pt>
                <c:pt idx="2876">
                  <c:v>27.2044</c:v>
                </c:pt>
                <c:pt idx="2877">
                  <c:v>26.859400000000001</c:v>
                </c:pt>
                <c:pt idx="2878">
                  <c:v>26.3553</c:v>
                </c:pt>
                <c:pt idx="2879">
                  <c:v>26.087299999999999</c:v>
                </c:pt>
                <c:pt idx="2880">
                  <c:v>25.8734</c:v>
                </c:pt>
                <c:pt idx="2881">
                  <c:v>26.190999999999999</c:v>
                </c:pt>
                <c:pt idx="2882">
                  <c:v>25.657599999999999</c:v>
                </c:pt>
                <c:pt idx="2883">
                  <c:v>24.9038</c:v>
                </c:pt>
                <c:pt idx="2884">
                  <c:v>25.357500000000002</c:v>
                </c:pt>
                <c:pt idx="2885">
                  <c:v>25.373000000000001</c:v>
                </c:pt>
                <c:pt idx="2886">
                  <c:v>25.384799999999998</c:v>
                </c:pt>
                <c:pt idx="2887">
                  <c:v>25.844200000000001</c:v>
                </c:pt>
                <c:pt idx="2888">
                  <c:v>26.0975</c:v>
                </c:pt>
                <c:pt idx="2889">
                  <c:v>25.991700000000002</c:v>
                </c:pt>
                <c:pt idx="2890">
                  <c:v>25.826899999999998</c:v>
                </c:pt>
                <c:pt idx="2891">
                  <c:v>25.941400000000002</c:v>
                </c:pt>
                <c:pt idx="2892">
                  <c:v>26.594899999999999</c:v>
                </c:pt>
                <c:pt idx="2893">
                  <c:v>26.754000000000001</c:v>
                </c:pt>
                <c:pt idx="2894">
                  <c:v>26.272600000000001</c:v>
                </c:pt>
                <c:pt idx="2895">
                  <c:v>25.2319</c:v>
                </c:pt>
                <c:pt idx="2896">
                  <c:v>25.627700000000001</c:v>
                </c:pt>
                <c:pt idx="2897">
                  <c:v>25.418500000000002</c:v>
                </c:pt>
                <c:pt idx="2898">
                  <c:v>25.785900000000002</c:v>
                </c:pt>
                <c:pt idx="2899">
                  <c:v>25.638500000000001</c:v>
                </c:pt>
                <c:pt idx="2900">
                  <c:v>25.275700000000001</c:v>
                </c:pt>
                <c:pt idx="2901">
                  <c:v>25.194500000000001</c:v>
                </c:pt>
                <c:pt idx="2902">
                  <c:v>25.098400000000002</c:v>
                </c:pt>
                <c:pt idx="2903">
                  <c:v>25.3734</c:v>
                </c:pt>
                <c:pt idx="2904">
                  <c:v>26.187200000000001</c:v>
                </c:pt>
                <c:pt idx="2905">
                  <c:v>25.847200000000001</c:v>
                </c:pt>
                <c:pt idx="2906">
                  <c:v>26.509</c:v>
                </c:pt>
                <c:pt idx="2907">
                  <c:v>25.918600000000001</c:v>
                </c:pt>
                <c:pt idx="2908">
                  <c:v>25.9697</c:v>
                </c:pt>
                <c:pt idx="2909">
                  <c:v>26.6479</c:v>
                </c:pt>
                <c:pt idx="2910">
                  <c:v>26.779599999999999</c:v>
                </c:pt>
                <c:pt idx="2911">
                  <c:v>26.427299999999999</c:v>
                </c:pt>
                <c:pt idx="2912">
                  <c:v>26.470099999999999</c:v>
                </c:pt>
                <c:pt idx="2913">
                  <c:v>25.851900000000001</c:v>
                </c:pt>
                <c:pt idx="2914">
                  <c:v>25.7971</c:v>
                </c:pt>
                <c:pt idx="2915">
                  <c:v>25.554200000000002</c:v>
                </c:pt>
                <c:pt idx="2916">
                  <c:v>25.481999999999999</c:v>
                </c:pt>
                <c:pt idx="2917">
                  <c:v>25.456800000000001</c:v>
                </c:pt>
                <c:pt idx="2918">
                  <c:v>25.234999999999999</c:v>
                </c:pt>
                <c:pt idx="2919">
                  <c:v>26.235299999999999</c:v>
                </c:pt>
                <c:pt idx="2920">
                  <c:v>26.515999999999998</c:v>
                </c:pt>
                <c:pt idx="2921">
                  <c:v>26.189599999999999</c:v>
                </c:pt>
                <c:pt idx="2922">
                  <c:v>26.3659</c:v>
                </c:pt>
                <c:pt idx="2923">
                  <c:v>26.786300000000001</c:v>
                </c:pt>
                <c:pt idx="2924">
                  <c:v>27.4057</c:v>
                </c:pt>
                <c:pt idx="2925">
                  <c:v>27.65</c:v>
                </c:pt>
                <c:pt idx="2926">
                  <c:v>27.145800000000001</c:v>
                </c:pt>
                <c:pt idx="2927">
                  <c:v>28.013999999999999</c:v>
                </c:pt>
                <c:pt idx="2928">
                  <c:v>28.078900000000001</c:v>
                </c:pt>
                <c:pt idx="2929">
                  <c:v>27.724</c:v>
                </c:pt>
                <c:pt idx="2930">
                  <c:v>27.993400000000001</c:v>
                </c:pt>
                <c:pt idx="2931">
                  <c:v>27.5915</c:v>
                </c:pt>
                <c:pt idx="2932">
                  <c:v>28.0518</c:v>
                </c:pt>
                <c:pt idx="2933">
                  <c:v>27.332599999999999</c:v>
                </c:pt>
                <c:pt idx="2934">
                  <c:v>28.178599999999999</c:v>
                </c:pt>
                <c:pt idx="2935">
                  <c:v>28.129000000000001</c:v>
                </c:pt>
                <c:pt idx="2936">
                  <c:v>28.109500000000001</c:v>
                </c:pt>
                <c:pt idx="2937">
                  <c:v>27.532699999999998</c:v>
                </c:pt>
                <c:pt idx="2938">
                  <c:v>27.359400000000001</c:v>
                </c:pt>
                <c:pt idx="2939">
                  <c:v>27.0642</c:v>
                </c:pt>
                <c:pt idx="2940">
                  <c:v>28.037800000000001</c:v>
                </c:pt>
                <c:pt idx="2941">
                  <c:v>27.8</c:v>
                </c:pt>
                <c:pt idx="2942">
                  <c:v>26.949300000000001</c:v>
                </c:pt>
                <c:pt idx="2943">
                  <c:v>25.854399999999998</c:v>
                </c:pt>
                <c:pt idx="2944">
                  <c:v>26.472799999999999</c:v>
                </c:pt>
                <c:pt idx="2945">
                  <c:v>25.6997</c:v>
                </c:pt>
                <c:pt idx="2946">
                  <c:v>25.421199999999999</c:v>
                </c:pt>
                <c:pt idx="2947">
                  <c:v>26.604199999999999</c:v>
                </c:pt>
                <c:pt idx="2948">
                  <c:v>26.96</c:v>
                </c:pt>
                <c:pt idx="2949">
                  <c:v>27.188700000000001</c:v>
                </c:pt>
                <c:pt idx="2950">
                  <c:v>27.627800000000001</c:v>
                </c:pt>
                <c:pt idx="2951">
                  <c:v>28.234400000000001</c:v>
                </c:pt>
                <c:pt idx="2952">
                  <c:v>28.62</c:v>
                </c:pt>
                <c:pt idx="2953">
                  <c:v>30.538799999999998</c:v>
                </c:pt>
                <c:pt idx="2954">
                  <c:v>31.177299999999999</c:v>
                </c:pt>
                <c:pt idx="2955">
                  <c:v>31.712499999999999</c:v>
                </c:pt>
                <c:pt idx="2956">
                  <c:v>31.872</c:v>
                </c:pt>
                <c:pt idx="2957">
                  <c:v>31.376999999999999</c:v>
                </c:pt>
                <c:pt idx="2958">
                  <c:v>30.052600000000002</c:v>
                </c:pt>
                <c:pt idx="2959">
                  <c:v>29.909700000000001</c:v>
                </c:pt>
                <c:pt idx="2960">
                  <c:v>29.2651</c:v>
                </c:pt>
                <c:pt idx="2961">
                  <c:v>29.464099999999998</c:v>
                </c:pt>
                <c:pt idx="2962">
                  <c:v>28.937100000000001</c:v>
                </c:pt>
                <c:pt idx="2963">
                  <c:v>28.0352</c:v>
                </c:pt>
                <c:pt idx="2964">
                  <c:v>26.016100000000002</c:v>
                </c:pt>
                <c:pt idx="2965">
                  <c:v>27.340499999999999</c:v>
                </c:pt>
                <c:pt idx="2966">
                  <c:v>28.622299999999999</c:v>
                </c:pt>
                <c:pt idx="2967">
                  <c:v>25.799199999999999</c:v>
                </c:pt>
                <c:pt idx="2968">
                  <c:v>24.699000000000002</c:v>
                </c:pt>
                <c:pt idx="2969">
                  <c:v>24.515699999999999</c:v>
                </c:pt>
                <c:pt idx="2970">
                  <c:v>23.7803</c:v>
                </c:pt>
                <c:pt idx="2971">
                  <c:v>23.805</c:v>
                </c:pt>
                <c:pt idx="2972">
                  <c:v>23.9819</c:v>
                </c:pt>
                <c:pt idx="2973">
                  <c:v>23.578399999999998</c:v>
                </c:pt>
                <c:pt idx="2974">
                  <c:v>23.991</c:v>
                </c:pt>
                <c:pt idx="2975">
                  <c:v>24.305700000000002</c:v>
                </c:pt>
                <c:pt idx="2976">
                  <c:v>26.288900000000002</c:v>
                </c:pt>
                <c:pt idx="2977">
                  <c:v>28.1812</c:v>
                </c:pt>
                <c:pt idx="2978">
                  <c:v>28.169499999999999</c:v>
                </c:pt>
                <c:pt idx="2979">
                  <c:v>28.452999999999999</c:v>
                </c:pt>
                <c:pt idx="2980">
                  <c:v>28.7395</c:v>
                </c:pt>
                <c:pt idx="2981">
                  <c:v>28.817799999999998</c:v>
                </c:pt>
                <c:pt idx="2982">
                  <c:v>29.356400000000001</c:v>
                </c:pt>
                <c:pt idx="2983">
                  <c:v>24.905799999999999</c:v>
                </c:pt>
                <c:pt idx="2984">
                  <c:v>23.114999999999998</c:v>
                </c:pt>
                <c:pt idx="2985">
                  <c:v>25.7286</c:v>
                </c:pt>
                <c:pt idx="2986">
                  <c:v>26.563400000000001</c:v>
                </c:pt>
                <c:pt idx="2987">
                  <c:v>27.417100000000001</c:v>
                </c:pt>
                <c:pt idx="2988">
                  <c:v>33.076900000000002</c:v>
                </c:pt>
                <c:pt idx="2989">
                  <c:v>30.543600000000001</c:v>
                </c:pt>
                <c:pt idx="2990">
                  <c:v>30.773800000000001</c:v>
                </c:pt>
                <c:pt idx="2991">
                  <c:v>27.339200000000002</c:v>
                </c:pt>
                <c:pt idx="2992">
                  <c:v>25.6374</c:v>
                </c:pt>
                <c:pt idx="2993">
                  <c:v>28.264299999999999</c:v>
                </c:pt>
                <c:pt idx="2994">
                  <c:v>29.93</c:v>
                </c:pt>
                <c:pt idx="2995">
                  <c:v>30.3782</c:v>
                </c:pt>
                <c:pt idx="2996">
                  <c:v>31.581499999999998</c:v>
                </c:pt>
                <c:pt idx="2997">
                  <c:v>31.3215</c:v>
                </c:pt>
                <c:pt idx="2998">
                  <c:v>33.585500000000003</c:v>
                </c:pt>
                <c:pt idx="2999">
                  <c:v>33.316699999999997</c:v>
                </c:pt>
                <c:pt idx="3000">
                  <c:v>33.252000000000002</c:v>
                </c:pt>
                <c:pt idx="3001">
                  <c:v>37.114400000000003</c:v>
                </c:pt>
                <c:pt idx="3002">
                  <c:v>35.575000000000003</c:v>
                </c:pt>
                <c:pt idx="3003">
                  <c:v>34.297800000000002</c:v>
                </c:pt>
                <c:pt idx="3004">
                  <c:v>34.181199999999997</c:v>
                </c:pt>
                <c:pt idx="3005">
                  <c:v>35.337800000000001</c:v>
                </c:pt>
                <c:pt idx="3006">
                  <c:v>34.963900000000002</c:v>
                </c:pt>
                <c:pt idx="3007">
                  <c:v>32.709299999999999</c:v>
                </c:pt>
                <c:pt idx="3008">
                  <c:v>32.639800000000001</c:v>
                </c:pt>
                <c:pt idx="3009">
                  <c:v>34.330500000000001</c:v>
                </c:pt>
                <c:pt idx="3010">
                  <c:v>36.586599999999997</c:v>
                </c:pt>
                <c:pt idx="3011">
                  <c:v>36.035200000000003</c:v>
                </c:pt>
                <c:pt idx="3012">
                  <c:v>36.912500000000001</c:v>
                </c:pt>
                <c:pt idx="3013">
                  <c:v>36.799599999999998</c:v>
                </c:pt>
                <c:pt idx="3014">
                  <c:v>35.799799999999998</c:v>
                </c:pt>
                <c:pt idx="3015">
                  <c:v>34.615699999999997</c:v>
                </c:pt>
                <c:pt idx="3016">
                  <c:v>33.8337</c:v>
                </c:pt>
                <c:pt idx="3017">
                  <c:v>35.613500000000002</c:v>
                </c:pt>
                <c:pt idx="3018">
                  <c:v>36.113100000000003</c:v>
                </c:pt>
                <c:pt idx="3019">
                  <c:v>37.249000000000002</c:v>
                </c:pt>
                <c:pt idx="3020">
                  <c:v>37.283099999999997</c:v>
                </c:pt>
                <c:pt idx="3021">
                  <c:v>37.083399999999997</c:v>
                </c:pt>
                <c:pt idx="3022">
                  <c:v>35.2607</c:v>
                </c:pt>
                <c:pt idx="3023">
                  <c:v>36.9666</c:v>
                </c:pt>
                <c:pt idx="3024">
                  <c:v>36.188600000000001</c:v>
                </c:pt>
                <c:pt idx="3025">
                  <c:v>34.592399999999998</c:v>
                </c:pt>
                <c:pt idx="3026">
                  <c:v>35.6175</c:v>
                </c:pt>
                <c:pt idx="3027">
                  <c:v>34.4602</c:v>
                </c:pt>
                <c:pt idx="3028">
                  <c:v>33.240299999999998</c:v>
                </c:pt>
                <c:pt idx="3029">
                  <c:v>29.5535</c:v>
                </c:pt>
                <c:pt idx="3030">
                  <c:v>32.029200000000003</c:v>
                </c:pt>
                <c:pt idx="3031">
                  <c:v>29.9054</c:v>
                </c:pt>
                <c:pt idx="3032">
                  <c:v>29.329699999999999</c:v>
                </c:pt>
                <c:pt idx="3033">
                  <c:v>30.405899999999999</c:v>
                </c:pt>
                <c:pt idx="3034">
                  <c:v>29.828600000000002</c:v>
                </c:pt>
                <c:pt idx="3035">
                  <c:v>28.3733</c:v>
                </c:pt>
                <c:pt idx="3036">
                  <c:v>28.373100000000001</c:v>
                </c:pt>
                <c:pt idx="3037">
                  <c:v>26.825600000000001</c:v>
                </c:pt>
                <c:pt idx="3038">
                  <c:v>28.252099999999999</c:v>
                </c:pt>
                <c:pt idx="3039">
                  <c:v>27.333400000000001</c:v>
                </c:pt>
                <c:pt idx="3040">
                  <c:v>27.932500000000001</c:v>
                </c:pt>
                <c:pt idx="3041">
                  <c:v>28.645600000000002</c:v>
                </c:pt>
                <c:pt idx="3042">
                  <c:v>30.1938</c:v>
                </c:pt>
                <c:pt idx="3043">
                  <c:v>30.7164</c:v>
                </c:pt>
                <c:pt idx="3044">
                  <c:v>30.649100000000001</c:v>
                </c:pt>
                <c:pt idx="3045">
                  <c:v>30.411300000000001</c:v>
                </c:pt>
                <c:pt idx="3046">
                  <c:v>30.4102</c:v>
                </c:pt>
                <c:pt idx="3047">
                  <c:v>31.1602</c:v>
                </c:pt>
                <c:pt idx="3048">
                  <c:v>30.456299999999999</c:v>
                </c:pt>
                <c:pt idx="3049">
                  <c:v>30.072500000000002</c:v>
                </c:pt>
                <c:pt idx="3050">
                  <c:v>30.2166</c:v>
                </c:pt>
                <c:pt idx="3051">
                  <c:v>31.4284</c:v>
                </c:pt>
                <c:pt idx="3052">
                  <c:v>34.7271</c:v>
                </c:pt>
                <c:pt idx="3053">
                  <c:v>35.531500000000001</c:v>
                </c:pt>
                <c:pt idx="3054">
                  <c:v>35.135800000000003</c:v>
                </c:pt>
                <c:pt idx="3055">
                  <c:v>36.224600000000002</c:v>
                </c:pt>
                <c:pt idx="3056">
                  <c:v>36.762799999999999</c:v>
                </c:pt>
                <c:pt idx="3057">
                  <c:v>37.984400000000001</c:v>
                </c:pt>
                <c:pt idx="3058">
                  <c:v>38.1374</c:v>
                </c:pt>
                <c:pt idx="3059">
                  <c:v>38.975000000000001</c:v>
                </c:pt>
                <c:pt idx="3060">
                  <c:v>38.350299999999997</c:v>
                </c:pt>
                <c:pt idx="3061">
                  <c:v>39.2438</c:v>
                </c:pt>
                <c:pt idx="3062">
                  <c:v>40.051600000000001</c:v>
                </c:pt>
                <c:pt idx="3063">
                  <c:v>39.818899999999999</c:v>
                </c:pt>
                <c:pt idx="3064">
                  <c:v>40.408999999999999</c:v>
                </c:pt>
                <c:pt idx="3065">
                  <c:v>40.379199999999997</c:v>
                </c:pt>
                <c:pt idx="3066">
                  <c:v>42.103999999999999</c:v>
                </c:pt>
                <c:pt idx="3067">
                  <c:v>42.254100000000001</c:v>
                </c:pt>
                <c:pt idx="3068">
                  <c:v>43.811300000000003</c:v>
                </c:pt>
                <c:pt idx="3069">
                  <c:v>43.533099999999997</c:v>
                </c:pt>
                <c:pt idx="3070">
                  <c:v>44.116500000000002</c:v>
                </c:pt>
                <c:pt idx="3071">
                  <c:v>43.2988</c:v>
                </c:pt>
                <c:pt idx="3072">
                  <c:v>45.132800000000003</c:v>
                </c:pt>
                <c:pt idx="3073">
                  <c:v>45.035200000000003</c:v>
                </c:pt>
                <c:pt idx="3074">
                  <c:v>45.4495</c:v>
                </c:pt>
                <c:pt idx="3075">
                  <c:v>48.059100000000001</c:v>
                </c:pt>
                <c:pt idx="3076">
                  <c:v>47.137700000000002</c:v>
                </c:pt>
                <c:pt idx="3077">
                  <c:v>47.419800000000002</c:v>
                </c:pt>
                <c:pt idx="3078">
                  <c:v>47.8093</c:v>
                </c:pt>
                <c:pt idx="3079">
                  <c:v>46.2303</c:v>
                </c:pt>
                <c:pt idx="3080">
                  <c:v>46.704000000000001</c:v>
                </c:pt>
                <c:pt idx="3081">
                  <c:v>47.448999999999998</c:v>
                </c:pt>
                <c:pt idx="3082">
                  <c:v>47.331099999999999</c:v>
                </c:pt>
                <c:pt idx="3083">
                  <c:v>46.143500000000003</c:v>
                </c:pt>
                <c:pt idx="3084">
                  <c:v>45.641300000000001</c:v>
                </c:pt>
                <c:pt idx="3085">
                  <c:v>45.514499999999998</c:v>
                </c:pt>
                <c:pt idx="3086">
                  <c:v>45.3947</c:v>
                </c:pt>
                <c:pt idx="3087">
                  <c:v>44.127299999999998</c:v>
                </c:pt>
                <c:pt idx="3088">
                  <c:v>44.647100000000002</c:v>
                </c:pt>
                <c:pt idx="3089">
                  <c:v>45.788200000000003</c:v>
                </c:pt>
                <c:pt idx="3090">
                  <c:v>46.231299999999997</c:v>
                </c:pt>
                <c:pt idx="3091">
                  <c:v>51.4101</c:v>
                </c:pt>
                <c:pt idx="3092">
                  <c:v>50.752099999999999</c:v>
                </c:pt>
                <c:pt idx="3093">
                  <c:v>50.264699999999998</c:v>
                </c:pt>
                <c:pt idx="3094">
                  <c:v>49.060200000000002</c:v>
                </c:pt>
                <c:pt idx="3095">
                  <c:v>49.027500000000003</c:v>
                </c:pt>
                <c:pt idx="3096">
                  <c:v>49.164099999999998</c:v>
                </c:pt>
                <c:pt idx="3097">
                  <c:v>46.604399999999998</c:v>
                </c:pt>
                <c:pt idx="3098">
                  <c:v>47.345500000000001</c:v>
                </c:pt>
                <c:pt idx="3099">
                  <c:v>45.020400000000002</c:v>
                </c:pt>
                <c:pt idx="3100">
                  <c:v>46.403100000000002</c:v>
                </c:pt>
                <c:pt idx="3101">
                  <c:v>46.642699999999998</c:v>
                </c:pt>
                <c:pt idx="3102">
                  <c:v>48.110900000000001</c:v>
                </c:pt>
                <c:pt idx="3103">
                  <c:v>46.283900000000003</c:v>
                </c:pt>
                <c:pt idx="3104">
                  <c:v>47.1995</c:v>
                </c:pt>
                <c:pt idx="3105">
                  <c:v>50.825699999999998</c:v>
                </c:pt>
                <c:pt idx="3106">
                  <c:v>50.881500000000003</c:v>
                </c:pt>
                <c:pt idx="3107">
                  <c:v>49.657699999999998</c:v>
                </c:pt>
                <c:pt idx="3108">
                  <c:v>49.332000000000001</c:v>
                </c:pt>
                <c:pt idx="3109">
                  <c:v>51.032299999999999</c:v>
                </c:pt>
                <c:pt idx="3110">
                  <c:v>49.633800000000001</c:v>
                </c:pt>
                <c:pt idx="3111">
                  <c:v>47.637500000000003</c:v>
                </c:pt>
                <c:pt idx="3112">
                  <c:v>48.523200000000003</c:v>
                </c:pt>
                <c:pt idx="3113">
                  <c:v>51.067399999999999</c:v>
                </c:pt>
                <c:pt idx="3114">
                  <c:v>49.453699999999998</c:v>
                </c:pt>
                <c:pt idx="3115">
                  <c:v>51.0593</c:v>
                </c:pt>
                <c:pt idx="3116">
                  <c:v>51.1571</c:v>
                </c:pt>
                <c:pt idx="3117">
                  <c:v>51.292400000000001</c:v>
                </c:pt>
                <c:pt idx="3118">
                  <c:v>51.064500000000002</c:v>
                </c:pt>
                <c:pt idx="3119">
                  <c:v>50.243699999999997</c:v>
                </c:pt>
                <c:pt idx="3120">
                  <c:v>52.453400000000002</c:v>
                </c:pt>
                <c:pt idx="3121">
                  <c:v>53.231000000000002</c:v>
                </c:pt>
                <c:pt idx="3122">
                  <c:v>53.575899999999997</c:v>
                </c:pt>
                <c:pt idx="3123">
                  <c:v>53.258400000000002</c:v>
                </c:pt>
                <c:pt idx="3124">
                  <c:v>50.865200000000002</c:v>
                </c:pt>
                <c:pt idx="3125">
                  <c:v>50.479199999999999</c:v>
                </c:pt>
                <c:pt idx="3126">
                  <c:v>49.7652</c:v>
                </c:pt>
                <c:pt idx="3127">
                  <c:v>50.314300000000003</c:v>
                </c:pt>
                <c:pt idx="3128">
                  <c:v>49.430100000000003</c:v>
                </c:pt>
                <c:pt idx="3129">
                  <c:v>49.552300000000002</c:v>
                </c:pt>
                <c:pt idx="3130">
                  <c:v>50.523099999999999</c:v>
                </c:pt>
                <c:pt idx="3131">
                  <c:v>51.379199999999997</c:v>
                </c:pt>
                <c:pt idx="3132">
                  <c:v>54.231999999999999</c:v>
                </c:pt>
                <c:pt idx="3133">
                  <c:v>53.634999999999998</c:v>
                </c:pt>
                <c:pt idx="3134">
                  <c:v>56.909500000000001</c:v>
                </c:pt>
                <c:pt idx="3135">
                  <c:v>57.057600000000001</c:v>
                </c:pt>
                <c:pt idx="3136">
                  <c:v>56.639000000000003</c:v>
                </c:pt>
                <c:pt idx="3137">
                  <c:v>58.13</c:v>
                </c:pt>
                <c:pt idx="3138">
                  <c:v>59.713200000000001</c:v>
                </c:pt>
                <c:pt idx="3139">
                  <c:v>60.119700000000002</c:v>
                </c:pt>
                <c:pt idx="3140">
                  <c:v>61.898800000000001</c:v>
                </c:pt>
                <c:pt idx="3141">
                  <c:v>66.296700000000001</c:v>
                </c:pt>
                <c:pt idx="3142">
                  <c:v>67.791399999999996</c:v>
                </c:pt>
                <c:pt idx="3143">
                  <c:v>68.779600000000002</c:v>
                </c:pt>
                <c:pt idx="3144">
                  <c:v>67.443299999999994</c:v>
                </c:pt>
                <c:pt idx="3145">
                  <c:v>67.186800000000005</c:v>
                </c:pt>
                <c:pt idx="3146">
                  <c:v>66.731899999999996</c:v>
                </c:pt>
                <c:pt idx="3147">
                  <c:v>67.418400000000005</c:v>
                </c:pt>
                <c:pt idx="3148">
                  <c:v>68.547399999999996</c:v>
                </c:pt>
                <c:pt idx="3149">
                  <c:v>68.740499999999997</c:v>
                </c:pt>
                <c:pt idx="3150">
                  <c:v>69.453599999999994</c:v>
                </c:pt>
                <c:pt idx="3151">
                  <c:v>73.137</c:v>
                </c:pt>
                <c:pt idx="3152">
                  <c:v>71.661500000000004</c:v>
                </c:pt>
                <c:pt idx="3153">
                  <c:v>71.737700000000004</c:v>
                </c:pt>
                <c:pt idx="3154">
                  <c:v>73.964299999999994</c:v>
                </c:pt>
                <c:pt idx="3155">
                  <c:v>74.317899999999995</c:v>
                </c:pt>
                <c:pt idx="3156">
                  <c:v>72.956999999999994</c:v>
                </c:pt>
                <c:pt idx="3157">
                  <c:v>72.936300000000003</c:v>
                </c:pt>
                <c:pt idx="3158">
                  <c:v>74.033799999999999</c:v>
                </c:pt>
                <c:pt idx="3159">
                  <c:v>71.178100000000001</c:v>
                </c:pt>
                <c:pt idx="3160">
                  <c:v>74.656400000000005</c:v>
                </c:pt>
                <c:pt idx="3161">
                  <c:v>75.969200000000001</c:v>
                </c:pt>
                <c:pt idx="3162">
                  <c:v>75.296400000000006</c:v>
                </c:pt>
                <c:pt idx="3163">
                  <c:v>70.305599999999998</c:v>
                </c:pt>
                <c:pt idx="3164">
                  <c:v>74.222499999999997</c:v>
                </c:pt>
                <c:pt idx="3165">
                  <c:v>71.1768</c:v>
                </c:pt>
                <c:pt idx="3166">
                  <c:v>72.471500000000006</c:v>
                </c:pt>
                <c:pt idx="3167">
                  <c:v>73.038499999999999</c:v>
                </c:pt>
                <c:pt idx="3168">
                  <c:v>72.141599999999997</c:v>
                </c:pt>
                <c:pt idx="3169">
                  <c:v>73.582700000000003</c:v>
                </c:pt>
                <c:pt idx="3170">
                  <c:v>70.032799999999995</c:v>
                </c:pt>
                <c:pt idx="3171">
                  <c:v>69.454400000000007</c:v>
                </c:pt>
                <c:pt idx="3172">
                  <c:v>71.411000000000001</c:v>
                </c:pt>
                <c:pt idx="3173">
                  <c:v>77.049099999999996</c:v>
                </c:pt>
                <c:pt idx="3174">
                  <c:v>78.829099999999997</c:v>
                </c:pt>
                <c:pt idx="3175">
                  <c:v>82.994399999999999</c:v>
                </c:pt>
                <c:pt idx="3176">
                  <c:v>82.977400000000003</c:v>
                </c:pt>
                <c:pt idx="3177">
                  <c:v>82.910399999999996</c:v>
                </c:pt>
                <c:pt idx="3178">
                  <c:v>86.507099999999994</c:v>
                </c:pt>
                <c:pt idx="3179">
                  <c:v>84.250900000000001</c:v>
                </c:pt>
                <c:pt idx="3180">
                  <c:v>85.271299999999997</c:v>
                </c:pt>
                <c:pt idx="3181">
                  <c:v>88.546499999999995</c:v>
                </c:pt>
                <c:pt idx="3182">
                  <c:v>91.906499999999994</c:v>
                </c:pt>
                <c:pt idx="3183">
                  <c:v>99.424999999999997</c:v>
                </c:pt>
                <c:pt idx="3184">
                  <c:v>98.8917</c:v>
                </c:pt>
                <c:pt idx="3185">
                  <c:v>100.1853</c:v>
                </c:pt>
                <c:pt idx="3186">
                  <c:v>101.6041</c:v>
                </c:pt>
                <c:pt idx="3187">
                  <c:v>99.285899999999998</c:v>
                </c:pt>
                <c:pt idx="3188">
                  <c:v>101.16849999999999</c:v>
                </c:pt>
                <c:pt idx="3189">
                  <c:v>101.7319</c:v>
                </c:pt>
                <c:pt idx="3190">
                  <c:v>99.252399999999994</c:v>
                </c:pt>
                <c:pt idx="3191">
                  <c:v>100.14190000000001</c:v>
                </c:pt>
                <c:pt idx="3192">
                  <c:v>98.8322</c:v>
                </c:pt>
                <c:pt idx="3193">
                  <c:v>103.7004</c:v>
                </c:pt>
                <c:pt idx="3194">
                  <c:v>104.00190000000001</c:v>
                </c:pt>
                <c:pt idx="3195">
                  <c:v>102.4014</c:v>
                </c:pt>
                <c:pt idx="3196">
                  <c:v>104.5265</c:v>
                </c:pt>
                <c:pt idx="3197">
                  <c:v>104.1317</c:v>
                </c:pt>
                <c:pt idx="3198">
                  <c:v>106.92659999999999</c:v>
                </c:pt>
                <c:pt idx="3199">
                  <c:v>111.3021</c:v>
                </c:pt>
                <c:pt idx="3200">
                  <c:v>109.4789</c:v>
                </c:pt>
                <c:pt idx="3201">
                  <c:v>108.42919999999999</c:v>
                </c:pt>
                <c:pt idx="3202">
                  <c:v>106.2501</c:v>
                </c:pt>
                <c:pt idx="3203">
                  <c:v>104.0364</c:v>
                </c:pt>
                <c:pt idx="3204">
                  <c:v>102.8078</c:v>
                </c:pt>
                <c:pt idx="3205">
                  <c:v>98.614199999999997</c:v>
                </c:pt>
                <c:pt idx="3206">
                  <c:v>101.7877</c:v>
                </c:pt>
                <c:pt idx="3207">
                  <c:v>101.7567</c:v>
                </c:pt>
                <c:pt idx="3208">
                  <c:v>102.8326</c:v>
                </c:pt>
                <c:pt idx="3209">
                  <c:v>106.9701</c:v>
                </c:pt>
                <c:pt idx="3210">
                  <c:v>107.74469999999999</c:v>
                </c:pt>
                <c:pt idx="3211">
                  <c:v>108.38200000000001</c:v>
                </c:pt>
                <c:pt idx="3212">
                  <c:v>110.6344</c:v>
                </c:pt>
                <c:pt idx="3213">
                  <c:v>113.6071</c:v>
                </c:pt>
                <c:pt idx="3214">
                  <c:v>114.684</c:v>
                </c:pt>
                <c:pt idx="3215">
                  <c:v>115.31319999999999</c:v>
                </c:pt>
                <c:pt idx="3216">
                  <c:v>119.256</c:v>
                </c:pt>
                <c:pt idx="3217">
                  <c:v>130.92080000000001</c:v>
                </c:pt>
                <c:pt idx="3218">
                  <c:v>127.9913</c:v>
                </c:pt>
                <c:pt idx="3219">
                  <c:v>125.9747</c:v>
                </c:pt>
                <c:pt idx="3220">
                  <c:v>126.4003</c:v>
                </c:pt>
                <c:pt idx="3221">
                  <c:v>130.8588</c:v>
                </c:pt>
                <c:pt idx="3222">
                  <c:v>136.7662</c:v>
                </c:pt>
                <c:pt idx="3223">
                  <c:v>132.62569999999999</c:v>
                </c:pt>
                <c:pt idx="3224">
                  <c:v>126.5466</c:v>
                </c:pt>
                <c:pt idx="3225">
                  <c:v>131.77010000000001</c:v>
                </c:pt>
                <c:pt idx="3226">
                  <c:v>129.73060000000001</c:v>
                </c:pt>
                <c:pt idx="3227">
                  <c:v>133.8793</c:v>
                </c:pt>
                <c:pt idx="3228">
                  <c:v>134.03110000000001</c:v>
                </c:pt>
                <c:pt idx="3229">
                  <c:v>131.33519999999999</c:v>
                </c:pt>
                <c:pt idx="3230">
                  <c:v>132.5831</c:v>
                </c:pt>
                <c:pt idx="3231">
                  <c:v>131.54300000000001</c:v>
                </c:pt>
                <c:pt idx="3232">
                  <c:v>131.45679999999999</c:v>
                </c:pt>
                <c:pt idx="3233">
                  <c:v>129.19069999999999</c:v>
                </c:pt>
                <c:pt idx="3234">
                  <c:v>130.12700000000001</c:v>
                </c:pt>
                <c:pt idx="3235">
                  <c:v>128.76840000000001</c:v>
                </c:pt>
                <c:pt idx="3236">
                  <c:v>132.95779999999999</c:v>
                </c:pt>
                <c:pt idx="3237">
                  <c:v>129.67240000000001</c:v>
                </c:pt>
                <c:pt idx="3238">
                  <c:v>128.29830000000001</c:v>
                </c:pt>
                <c:pt idx="3239">
                  <c:v>126.69110000000001</c:v>
                </c:pt>
                <c:pt idx="3240">
                  <c:v>122.4751</c:v>
                </c:pt>
                <c:pt idx="3241">
                  <c:v>116.2337</c:v>
                </c:pt>
                <c:pt idx="3242">
                  <c:v>110.85290000000001</c:v>
                </c:pt>
                <c:pt idx="3243">
                  <c:v>118.6977</c:v>
                </c:pt>
                <c:pt idx="3244">
                  <c:v>116.298</c:v>
                </c:pt>
                <c:pt idx="3245">
                  <c:v>128.0077</c:v>
                </c:pt>
                <c:pt idx="3246">
                  <c:v>129.85740000000001</c:v>
                </c:pt>
                <c:pt idx="3247">
                  <c:v>133.33369999999999</c:v>
                </c:pt>
                <c:pt idx="3248">
                  <c:v>131.36539999999999</c:v>
                </c:pt>
                <c:pt idx="3249">
                  <c:v>129.85319999999999</c:v>
                </c:pt>
                <c:pt idx="3250">
                  <c:v>128.62010000000001</c:v>
                </c:pt>
                <c:pt idx="3251">
                  <c:v>129.40860000000001</c:v>
                </c:pt>
                <c:pt idx="3252">
                  <c:v>128.7876</c:v>
                </c:pt>
                <c:pt idx="3253">
                  <c:v>128.43360000000001</c:v>
                </c:pt>
                <c:pt idx="3254">
                  <c:v>124.5936</c:v>
                </c:pt>
                <c:pt idx="3255">
                  <c:v>117.93429999999999</c:v>
                </c:pt>
                <c:pt idx="3256">
                  <c:v>112.2289</c:v>
                </c:pt>
                <c:pt idx="3257">
                  <c:v>116.16119999999999</c:v>
                </c:pt>
                <c:pt idx="3258">
                  <c:v>126.6965</c:v>
                </c:pt>
                <c:pt idx="3259">
                  <c:v>123.8587</c:v>
                </c:pt>
                <c:pt idx="3260">
                  <c:v>112.26139999999999</c:v>
                </c:pt>
                <c:pt idx="3261">
                  <c:v>101.1726</c:v>
                </c:pt>
                <c:pt idx="3262">
                  <c:v>125.895</c:v>
                </c:pt>
                <c:pt idx="3263">
                  <c:v>125.40860000000001</c:v>
                </c:pt>
                <c:pt idx="3264">
                  <c:v>126.6534</c:v>
                </c:pt>
                <c:pt idx="3265">
                  <c:v>123.6879</c:v>
                </c:pt>
                <c:pt idx="3266">
                  <c:v>122.7706</c:v>
                </c:pt>
                <c:pt idx="3267">
                  <c:v>123.8154</c:v>
                </c:pt>
                <c:pt idx="3268">
                  <c:v>123.0668</c:v>
                </c:pt>
                <c:pt idx="3269">
                  <c:v>130.0035</c:v>
                </c:pt>
                <c:pt idx="3270">
                  <c:v>129.3228</c:v>
                </c:pt>
                <c:pt idx="3271">
                  <c:v>132.2116</c:v>
                </c:pt>
                <c:pt idx="3272">
                  <c:v>127.5665</c:v>
                </c:pt>
                <c:pt idx="3273">
                  <c:v>123.6292</c:v>
                </c:pt>
                <c:pt idx="3274">
                  <c:v>126.9059</c:v>
                </c:pt>
                <c:pt idx="3275">
                  <c:v>128.1285</c:v>
                </c:pt>
                <c:pt idx="3276">
                  <c:v>127.0703</c:v>
                </c:pt>
                <c:pt idx="3277">
                  <c:v>126.1253</c:v>
                </c:pt>
                <c:pt idx="3278">
                  <c:v>122.2512</c:v>
                </c:pt>
                <c:pt idx="3279">
                  <c:v>116.52500000000001</c:v>
                </c:pt>
                <c:pt idx="3280">
                  <c:v>113.79170000000001</c:v>
                </c:pt>
                <c:pt idx="3281">
                  <c:v>111.3725</c:v>
                </c:pt>
                <c:pt idx="3282">
                  <c:v>112.852</c:v>
                </c:pt>
                <c:pt idx="3283">
                  <c:v>105.1183</c:v>
                </c:pt>
                <c:pt idx="3284">
                  <c:v>104.256</c:v>
                </c:pt>
                <c:pt idx="3285">
                  <c:v>104.6097</c:v>
                </c:pt>
                <c:pt idx="3286">
                  <c:v>107.361</c:v>
                </c:pt>
                <c:pt idx="3287">
                  <c:v>106</c:v>
                </c:pt>
                <c:pt idx="3288">
                  <c:v>105.72790000000001</c:v>
                </c:pt>
                <c:pt idx="3289">
                  <c:v>104.6185</c:v>
                </c:pt>
                <c:pt idx="3290">
                  <c:v>98.617500000000007</c:v>
                </c:pt>
                <c:pt idx="3291">
                  <c:v>103.0903</c:v>
                </c:pt>
                <c:pt idx="3292">
                  <c:v>99.996300000000005</c:v>
                </c:pt>
                <c:pt idx="3293">
                  <c:v>97.618200000000002</c:v>
                </c:pt>
                <c:pt idx="3294">
                  <c:v>98.674000000000007</c:v>
                </c:pt>
                <c:pt idx="3295">
                  <c:v>102.5946</c:v>
                </c:pt>
                <c:pt idx="3296">
                  <c:v>100.35290000000001</c:v>
                </c:pt>
                <c:pt idx="3297">
                  <c:v>102.1544</c:v>
                </c:pt>
                <c:pt idx="3298">
                  <c:v>108.4693</c:v>
                </c:pt>
                <c:pt idx="3299">
                  <c:v>107.1061</c:v>
                </c:pt>
                <c:pt idx="3300">
                  <c:v>106.9594</c:v>
                </c:pt>
                <c:pt idx="3301">
                  <c:v>108.1896</c:v>
                </c:pt>
                <c:pt idx="3302">
                  <c:v>107.9828</c:v>
                </c:pt>
                <c:pt idx="3303">
                  <c:v>109.2206</c:v>
                </c:pt>
                <c:pt idx="3304">
                  <c:v>108.8629</c:v>
                </c:pt>
                <c:pt idx="3305">
                  <c:v>108.24250000000001</c:v>
                </c:pt>
                <c:pt idx="3306">
                  <c:v>107.0226</c:v>
                </c:pt>
                <c:pt idx="3307">
                  <c:v>109.8325</c:v>
                </c:pt>
                <c:pt idx="3308">
                  <c:v>107.4864</c:v>
                </c:pt>
                <c:pt idx="3309">
                  <c:v>104.8668</c:v>
                </c:pt>
                <c:pt idx="3310">
                  <c:v>105.26090000000001</c:v>
                </c:pt>
                <c:pt idx="3311">
                  <c:v>102.77079999999999</c:v>
                </c:pt>
                <c:pt idx="3312">
                  <c:v>100.2589</c:v>
                </c:pt>
                <c:pt idx="3313">
                  <c:v>101.7256</c:v>
                </c:pt>
                <c:pt idx="3314">
                  <c:v>99.585300000000004</c:v>
                </c:pt>
                <c:pt idx="3315">
                  <c:v>99.291399999999996</c:v>
                </c:pt>
                <c:pt idx="3316">
                  <c:v>104.5421</c:v>
                </c:pt>
                <c:pt idx="3317">
                  <c:v>100.8853</c:v>
                </c:pt>
                <c:pt idx="3318">
                  <c:v>99.505200000000002</c:v>
                </c:pt>
                <c:pt idx="3319">
                  <c:v>107.6904</c:v>
                </c:pt>
                <c:pt idx="3320">
                  <c:v>104.63760000000001</c:v>
                </c:pt>
                <c:pt idx="3321">
                  <c:v>97.686000000000007</c:v>
                </c:pt>
                <c:pt idx="3322">
                  <c:v>108.0206</c:v>
                </c:pt>
                <c:pt idx="3323">
                  <c:v>109.11199999999999</c:v>
                </c:pt>
                <c:pt idx="3324">
                  <c:v>106.657</c:v>
                </c:pt>
                <c:pt idx="3325">
                  <c:v>107.699</c:v>
                </c:pt>
                <c:pt idx="3326">
                  <c:v>106.80029999999999</c:v>
                </c:pt>
                <c:pt idx="3327">
                  <c:v>105.9415</c:v>
                </c:pt>
                <c:pt idx="3328">
                  <c:v>107.8288</c:v>
                </c:pt>
                <c:pt idx="3329">
                  <c:v>113.9782</c:v>
                </c:pt>
                <c:pt idx="3330">
                  <c:v>116.0201</c:v>
                </c:pt>
                <c:pt idx="3331">
                  <c:v>110.4936</c:v>
                </c:pt>
                <c:pt idx="3332">
                  <c:v>111.2042</c:v>
                </c:pt>
                <c:pt idx="3333">
                  <c:v>114.4665</c:v>
                </c:pt>
                <c:pt idx="3334">
                  <c:v>123.96120000000001</c:v>
                </c:pt>
                <c:pt idx="3335">
                  <c:v>123.05929999999999</c:v>
                </c:pt>
                <c:pt idx="3336">
                  <c:v>125.9119</c:v>
                </c:pt>
                <c:pt idx="3337">
                  <c:v>116.6812</c:v>
                </c:pt>
                <c:pt idx="3338">
                  <c:v>119.3301</c:v>
                </c:pt>
                <c:pt idx="3339">
                  <c:v>123.3107</c:v>
                </c:pt>
                <c:pt idx="3340">
                  <c:v>120.19710000000001</c:v>
                </c:pt>
                <c:pt idx="3341">
                  <c:v>123.0806</c:v>
                </c:pt>
                <c:pt idx="3342">
                  <c:v>123.35590000000001</c:v>
                </c:pt>
                <c:pt idx="3343">
                  <c:v>121.3445</c:v>
                </c:pt>
                <c:pt idx="3344">
                  <c:v>116.70440000000001</c:v>
                </c:pt>
                <c:pt idx="3345">
                  <c:v>115.61790000000001</c:v>
                </c:pt>
                <c:pt idx="3346">
                  <c:v>124.474</c:v>
                </c:pt>
                <c:pt idx="3347">
                  <c:v>120.2927</c:v>
                </c:pt>
                <c:pt idx="3348">
                  <c:v>121.9774</c:v>
                </c:pt>
                <c:pt idx="3349">
                  <c:v>121.2522</c:v>
                </c:pt>
                <c:pt idx="3350">
                  <c:v>134.01679999999999</c:v>
                </c:pt>
                <c:pt idx="3351">
                  <c:v>135.03579999999999</c:v>
                </c:pt>
                <c:pt idx="3352">
                  <c:v>135.3098</c:v>
                </c:pt>
                <c:pt idx="3353">
                  <c:v>132.98849999999999</c:v>
                </c:pt>
                <c:pt idx="3354">
                  <c:v>132.65979999999999</c:v>
                </c:pt>
                <c:pt idx="3355">
                  <c:v>133.17089999999999</c:v>
                </c:pt>
                <c:pt idx="3356">
                  <c:v>128.4298</c:v>
                </c:pt>
                <c:pt idx="3357">
                  <c:v>126.9462</c:v>
                </c:pt>
                <c:pt idx="3358">
                  <c:v>130.01730000000001</c:v>
                </c:pt>
                <c:pt idx="3359">
                  <c:v>132.78790000000001</c:v>
                </c:pt>
                <c:pt idx="3360">
                  <c:v>127.6032</c:v>
                </c:pt>
                <c:pt idx="3361">
                  <c:v>130.50919999999999</c:v>
                </c:pt>
                <c:pt idx="3362">
                  <c:v>132.68430000000001</c:v>
                </c:pt>
                <c:pt idx="3363">
                  <c:v>131.86240000000001</c:v>
                </c:pt>
                <c:pt idx="3364">
                  <c:v>130.57419999999999</c:v>
                </c:pt>
                <c:pt idx="3365">
                  <c:v>127.7252</c:v>
                </c:pt>
                <c:pt idx="3366">
                  <c:v>131.49100000000001</c:v>
                </c:pt>
                <c:pt idx="3367">
                  <c:v>135.83250000000001</c:v>
                </c:pt>
                <c:pt idx="3368">
                  <c:v>138.32159999999999</c:v>
                </c:pt>
                <c:pt idx="3369">
                  <c:v>137.7895</c:v>
                </c:pt>
                <c:pt idx="3370">
                  <c:v>137.49639999999999</c:v>
                </c:pt>
                <c:pt idx="3371">
                  <c:v>140.76150000000001</c:v>
                </c:pt>
                <c:pt idx="3372">
                  <c:v>140.31790000000001</c:v>
                </c:pt>
                <c:pt idx="3373">
                  <c:v>147.97030000000001</c:v>
                </c:pt>
                <c:pt idx="3374">
                  <c:v>159.05289999999999</c:v>
                </c:pt>
                <c:pt idx="3375">
                  <c:v>156.7114</c:v>
                </c:pt>
                <c:pt idx="3376">
                  <c:v>156.80670000000001</c:v>
                </c:pt>
                <c:pt idx="3377">
                  <c:v>155.8571</c:v>
                </c:pt>
                <c:pt idx="3378">
                  <c:v>159.7063</c:v>
                </c:pt>
                <c:pt idx="3379">
                  <c:v>156.95689999999999</c:v>
                </c:pt>
                <c:pt idx="3380">
                  <c:v>156.9288</c:v>
                </c:pt>
                <c:pt idx="3381">
                  <c:v>154.3485</c:v>
                </c:pt>
                <c:pt idx="3382">
                  <c:v>159.81790000000001</c:v>
                </c:pt>
                <c:pt idx="3383">
                  <c:v>152.84110000000001</c:v>
                </c:pt>
                <c:pt idx="3384">
                  <c:v>156.78530000000001</c:v>
                </c:pt>
                <c:pt idx="3385">
                  <c:v>153.6712</c:v>
                </c:pt>
                <c:pt idx="3386">
                  <c:v>142.84610000000001</c:v>
                </c:pt>
                <c:pt idx="3387">
                  <c:v>137.44309999999999</c:v>
                </c:pt>
                <c:pt idx="3388">
                  <c:v>149.52459999999999</c:v>
                </c:pt>
                <c:pt idx="3389">
                  <c:v>157.5367</c:v>
                </c:pt>
                <c:pt idx="3390">
                  <c:v>151.3407</c:v>
                </c:pt>
                <c:pt idx="3391">
                  <c:v>147.35669999999999</c:v>
                </c:pt>
                <c:pt idx="3392">
                  <c:v>152.60599999999999</c:v>
                </c:pt>
                <c:pt idx="3393">
                  <c:v>151.999</c:v>
                </c:pt>
                <c:pt idx="3394">
                  <c:v>148.34870000000001</c:v>
                </c:pt>
                <c:pt idx="3395">
                  <c:v>147.9545</c:v>
                </c:pt>
                <c:pt idx="3396">
                  <c:v>146.87129999999999</c:v>
                </c:pt>
                <c:pt idx="3397">
                  <c:v>142.22040000000001</c:v>
                </c:pt>
                <c:pt idx="3398">
                  <c:v>142.94710000000001</c:v>
                </c:pt>
                <c:pt idx="3399">
                  <c:v>140.2311</c:v>
                </c:pt>
                <c:pt idx="3400">
                  <c:v>144.45949999999999</c:v>
                </c:pt>
                <c:pt idx="3401">
                  <c:v>136.2764</c:v>
                </c:pt>
                <c:pt idx="3402">
                  <c:v>131.11789999999999</c:v>
                </c:pt>
                <c:pt idx="3403">
                  <c:v>130.40360000000001</c:v>
                </c:pt>
                <c:pt idx="3404">
                  <c:v>132.12540000000001</c:v>
                </c:pt>
                <c:pt idx="3405">
                  <c:v>139.49809999999999</c:v>
                </c:pt>
                <c:pt idx="3406">
                  <c:v>134.7544</c:v>
                </c:pt>
                <c:pt idx="3407">
                  <c:v>138.8295</c:v>
                </c:pt>
                <c:pt idx="3408">
                  <c:v>136.8544</c:v>
                </c:pt>
                <c:pt idx="3409">
                  <c:v>140.03469999999999</c:v>
                </c:pt>
                <c:pt idx="3410">
                  <c:v>148.7587</c:v>
                </c:pt>
                <c:pt idx="3411">
                  <c:v>148.63200000000001</c:v>
                </c:pt>
                <c:pt idx="3412">
                  <c:v>156.72229999999999</c:v>
                </c:pt>
                <c:pt idx="3413">
                  <c:v>153.75720000000001</c:v>
                </c:pt>
                <c:pt idx="3414">
                  <c:v>148.18899999999999</c:v>
                </c:pt>
                <c:pt idx="3415">
                  <c:v>150.06280000000001</c:v>
                </c:pt>
                <c:pt idx="3416">
                  <c:v>146.88650000000001</c:v>
                </c:pt>
                <c:pt idx="3417">
                  <c:v>137.87459999999999</c:v>
                </c:pt>
                <c:pt idx="3418">
                  <c:v>143.56010000000001</c:v>
                </c:pt>
                <c:pt idx="3419">
                  <c:v>137.8237</c:v>
                </c:pt>
                <c:pt idx="3420">
                  <c:v>135.12360000000001</c:v>
                </c:pt>
                <c:pt idx="3421">
                  <c:v>128.78829999999999</c:v>
                </c:pt>
                <c:pt idx="3422">
                  <c:v>130.3124</c:v>
                </c:pt>
                <c:pt idx="3423">
                  <c:v>130.65710000000001</c:v>
                </c:pt>
                <c:pt idx="3424">
                  <c:v>123.1671</c:v>
                </c:pt>
                <c:pt idx="3425">
                  <c:v>120.4581</c:v>
                </c:pt>
                <c:pt idx="3426">
                  <c:v>115.9422</c:v>
                </c:pt>
                <c:pt idx="3427">
                  <c:v>119.9029</c:v>
                </c:pt>
                <c:pt idx="3428">
                  <c:v>122.2574</c:v>
                </c:pt>
                <c:pt idx="3429">
                  <c:v>113.1587</c:v>
                </c:pt>
                <c:pt idx="3430">
                  <c:v>119.10680000000001</c:v>
                </c:pt>
                <c:pt idx="3431">
                  <c:v>120.61069999999999</c:v>
                </c:pt>
                <c:pt idx="3432">
                  <c:v>120.9367</c:v>
                </c:pt>
                <c:pt idx="3433">
                  <c:v>120.485</c:v>
                </c:pt>
                <c:pt idx="3434">
                  <c:v>121.1267</c:v>
                </c:pt>
                <c:pt idx="3435">
                  <c:v>123.33369999999999</c:v>
                </c:pt>
                <c:pt idx="3436">
                  <c:v>124.3</c:v>
                </c:pt>
                <c:pt idx="3437">
                  <c:v>125.0908</c:v>
                </c:pt>
                <c:pt idx="3438">
                  <c:v>125.6354</c:v>
                </c:pt>
                <c:pt idx="3439">
                  <c:v>127.8631</c:v>
                </c:pt>
                <c:pt idx="3440">
                  <c:v>127.8263</c:v>
                </c:pt>
                <c:pt idx="3441">
                  <c:v>129.25710000000001</c:v>
                </c:pt>
                <c:pt idx="3442">
                  <c:v>130.19290000000001</c:v>
                </c:pt>
                <c:pt idx="3443">
                  <c:v>131.40969999999999</c:v>
                </c:pt>
                <c:pt idx="3444">
                  <c:v>130.53139999999999</c:v>
                </c:pt>
                <c:pt idx="3445">
                  <c:v>133.54830000000001</c:v>
                </c:pt>
                <c:pt idx="3446">
                  <c:v>139.0412</c:v>
                </c:pt>
                <c:pt idx="3447">
                  <c:v>139.85290000000001</c:v>
                </c:pt>
                <c:pt idx="3448">
                  <c:v>145.15020000000001</c:v>
                </c:pt>
                <c:pt idx="3449">
                  <c:v>142.11840000000001</c:v>
                </c:pt>
                <c:pt idx="3450">
                  <c:v>139.9109</c:v>
                </c:pt>
                <c:pt idx="3451">
                  <c:v>139.63630000000001</c:v>
                </c:pt>
                <c:pt idx="3452">
                  <c:v>137.67160000000001</c:v>
                </c:pt>
                <c:pt idx="3453">
                  <c:v>133.97790000000001</c:v>
                </c:pt>
                <c:pt idx="3454">
                  <c:v>132.35650000000001</c:v>
                </c:pt>
                <c:pt idx="3455">
                  <c:v>135.56890000000001</c:v>
                </c:pt>
                <c:pt idx="3456">
                  <c:v>139.3278</c:v>
                </c:pt>
                <c:pt idx="3457">
                  <c:v>138.01140000000001</c:v>
                </c:pt>
                <c:pt idx="3458">
                  <c:v>133.10480000000001</c:v>
                </c:pt>
                <c:pt idx="3459">
                  <c:v>137.64750000000001</c:v>
                </c:pt>
                <c:pt idx="3460">
                  <c:v>136.74879999999999</c:v>
                </c:pt>
                <c:pt idx="3461">
                  <c:v>134.12469999999999</c:v>
                </c:pt>
                <c:pt idx="3462">
                  <c:v>135.2107</c:v>
                </c:pt>
                <c:pt idx="3463">
                  <c:v>130.4348</c:v>
                </c:pt>
                <c:pt idx="3464">
                  <c:v>133.2989</c:v>
                </c:pt>
                <c:pt idx="3465">
                  <c:v>134.50040000000001</c:v>
                </c:pt>
                <c:pt idx="3466">
                  <c:v>130.77029999999999</c:v>
                </c:pt>
                <c:pt idx="3467">
                  <c:v>128.8963</c:v>
                </c:pt>
                <c:pt idx="3468">
                  <c:v>127.1343</c:v>
                </c:pt>
                <c:pt idx="3469">
                  <c:v>128.3109</c:v>
                </c:pt>
                <c:pt idx="3470">
                  <c:v>121.0497</c:v>
                </c:pt>
                <c:pt idx="3471">
                  <c:v>117.3946</c:v>
                </c:pt>
                <c:pt idx="3472">
                  <c:v>113.2761</c:v>
                </c:pt>
                <c:pt idx="3473">
                  <c:v>116.8661</c:v>
                </c:pt>
                <c:pt idx="3474">
                  <c:v>116.78830000000001</c:v>
                </c:pt>
                <c:pt idx="3475">
                  <c:v>121.0317</c:v>
                </c:pt>
                <c:pt idx="3476">
                  <c:v>118.2825</c:v>
                </c:pt>
                <c:pt idx="3477">
                  <c:v>119.3145</c:v>
                </c:pt>
                <c:pt idx="3478">
                  <c:v>122.07250000000001</c:v>
                </c:pt>
                <c:pt idx="3479">
                  <c:v>125.01</c:v>
                </c:pt>
                <c:pt idx="3480">
                  <c:v>124.63460000000001</c:v>
                </c:pt>
                <c:pt idx="3481">
                  <c:v>128.31899999999999</c:v>
                </c:pt>
                <c:pt idx="3482">
                  <c:v>127.5994</c:v>
                </c:pt>
                <c:pt idx="3483">
                  <c:v>126.88979999999999</c:v>
                </c:pt>
                <c:pt idx="3484">
                  <c:v>127.5228</c:v>
                </c:pt>
                <c:pt idx="3485">
                  <c:v>130.2114</c:v>
                </c:pt>
                <c:pt idx="3486">
                  <c:v>128.19999999999999</c:v>
                </c:pt>
                <c:pt idx="3487">
                  <c:v>127.3789</c:v>
                </c:pt>
                <c:pt idx="3488">
                  <c:v>127.6416</c:v>
                </c:pt>
                <c:pt idx="3489">
                  <c:v>126.37520000000001</c:v>
                </c:pt>
                <c:pt idx="3490">
                  <c:v>128.02549999999999</c:v>
                </c:pt>
                <c:pt idx="3491">
                  <c:v>128.60550000000001</c:v>
                </c:pt>
                <c:pt idx="3492">
                  <c:v>132.3475</c:v>
                </c:pt>
                <c:pt idx="3493">
                  <c:v>138.77010000000001</c:v>
                </c:pt>
                <c:pt idx="3494">
                  <c:v>137.2379</c:v>
                </c:pt>
                <c:pt idx="3495">
                  <c:v>136.42070000000001</c:v>
                </c:pt>
                <c:pt idx="3496">
                  <c:v>136.9821</c:v>
                </c:pt>
                <c:pt idx="3497">
                  <c:v>141.25409999999999</c:v>
                </c:pt>
                <c:pt idx="3498">
                  <c:v>146.57220000000001</c:v>
                </c:pt>
                <c:pt idx="3499">
                  <c:v>145.68709999999999</c:v>
                </c:pt>
                <c:pt idx="3500">
                  <c:v>143.11439999999999</c:v>
                </c:pt>
                <c:pt idx="3501">
                  <c:v>143.4648</c:v>
                </c:pt>
                <c:pt idx="3502">
                  <c:v>147.74459999999999</c:v>
                </c:pt>
                <c:pt idx="3503">
                  <c:v>145.95189999999999</c:v>
                </c:pt>
                <c:pt idx="3504">
                  <c:v>142.92080000000001</c:v>
                </c:pt>
                <c:pt idx="3505">
                  <c:v>143.6968</c:v>
                </c:pt>
                <c:pt idx="3506">
                  <c:v>143.4813</c:v>
                </c:pt>
                <c:pt idx="3507">
                  <c:v>141.75729999999999</c:v>
                </c:pt>
                <c:pt idx="3508">
                  <c:v>139.7764</c:v>
                </c:pt>
                <c:pt idx="3509">
                  <c:v>138.9727</c:v>
                </c:pt>
                <c:pt idx="3510">
                  <c:v>141.5059</c:v>
                </c:pt>
                <c:pt idx="3511">
                  <c:v>140.67330000000001</c:v>
                </c:pt>
                <c:pt idx="3512">
                  <c:v>140.79140000000001</c:v>
                </c:pt>
                <c:pt idx="3513">
                  <c:v>137.7295</c:v>
                </c:pt>
                <c:pt idx="3514">
                  <c:v>135.57560000000001</c:v>
                </c:pt>
                <c:pt idx="3515">
                  <c:v>137.26300000000001</c:v>
                </c:pt>
                <c:pt idx="3516">
                  <c:v>132.34370000000001</c:v>
                </c:pt>
                <c:pt idx="3517">
                  <c:v>126.5656</c:v>
                </c:pt>
                <c:pt idx="3518">
                  <c:v>122.48399999999999</c:v>
                </c:pt>
                <c:pt idx="3519">
                  <c:v>119.1391</c:v>
                </c:pt>
                <c:pt idx="3520">
                  <c:v>123.6324</c:v>
                </c:pt>
                <c:pt idx="3521">
                  <c:v>124.84829999999999</c:v>
                </c:pt>
                <c:pt idx="3522">
                  <c:v>125.04730000000001</c:v>
                </c:pt>
                <c:pt idx="3523">
                  <c:v>123.80540000000001</c:v>
                </c:pt>
                <c:pt idx="3524">
                  <c:v>121.1764</c:v>
                </c:pt>
                <c:pt idx="3525">
                  <c:v>121.6653</c:v>
                </c:pt>
                <c:pt idx="3526">
                  <c:v>121.0325</c:v>
                </c:pt>
                <c:pt idx="3527">
                  <c:v>119.7079</c:v>
                </c:pt>
                <c:pt idx="3528">
                  <c:v>124.1324</c:v>
                </c:pt>
                <c:pt idx="3529">
                  <c:v>123.8869</c:v>
                </c:pt>
                <c:pt idx="3530">
                  <c:v>125.5167</c:v>
                </c:pt>
                <c:pt idx="3531">
                  <c:v>130.53739999999999</c:v>
                </c:pt>
                <c:pt idx="3532">
                  <c:v>127.3708</c:v>
                </c:pt>
                <c:pt idx="3533">
                  <c:v>126.7752</c:v>
                </c:pt>
                <c:pt idx="3534">
                  <c:v>124.646</c:v>
                </c:pt>
                <c:pt idx="3535">
                  <c:v>129.30590000000001</c:v>
                </c:pt>
                <c:pt idx="3536">
                  <c:v>130.2861</c:v>
                </c:pt>
                <c:pt idx="3537">
                  <c:v>126.63930000000001</c:v>
                </c:pt>
                <c:pt idx="3538">
                  <c:v>126.88339999999999</c:v>
                </c:pt>
                <c:pt idx="3539">
                  <c:v>123.3651</c:v>
                </c:pt>
                <c:pt idx="3540">
                  <c:v>128.63069999999999</c:v>
                </c:pt>
                <c:pt idx="3541">
                  <c:v>129.19479999999999</c:v>
                </c:pt>
                <c:pt idx="3542">
                  <c:v>121.1357</c:v>
                </c:pt>
                <c:pt idx="3543">
                  <c:v>119.2294</c:v>
                </c:pt>
                <c:pt idx="3544">
                  <c:v>119.09780000000001</c:v>
                </c:pt>
                <c:pt idx="3545">
                  <c:v>119.11669999999999</c:v>
                </c:pt>
                <c:pt idx="3546">
                  <c:v>120.4716</c:v>
                </c:pt>
                <c:pt idx="3547">
                  <c:v>123.8413</c:v>
                </c:pt>
                <c:pt idx="3548">
                  <c:v>127.48739999999999</c:v>
                </c:pt>
                <c:pt idx="3549">
                  <c:v>128.4126</c:v>
                </c:pt>
                <c:pt idx="3550">
                  <c:v>129.79679999999999</c:v>
                </c:pt>
                <c:pt idx="3551">
                  <c:v>132.8954</c:v>
                </c:pt>
                <c:pt idx="3552">
                  <c:v>136.70500000000001</c:v>
                </c:pt>
                <c:pt idx="3553">
                  <c:v>136.33600000000001</c:v>
                </c:pt>
                <c:pt idx="3554">
                  <c:v>135.6952</c:v>
                </c:pt>
                <c:pt idx="3555">
                  <c:v>135.20869999999999</c:v>
                </c:pt>
                <c:pt idx="3556">
                  <c:v>137.33019999999999</c:v>
                </c:pt>
                <c:pt idx="3557">
                  <c:v>136.59989999999999</c:v>
                </c:pt>
                <c:pt idx="3558">
                  <c:v>134.09889999999999</c:v>
                </c:pt>
                <c:pt idx="3559">
                  <c:v>129.42189999999999</c:v>
                </c:pt>
                <c:pt idx="3560">
                  <c:v>130.01410000000001</c:v>
                </c:pt>
                <c:pt idx="3561">
                  <c:v>127.13720000000001</c:v>
                </c:pt>
                <c:pt idx="3562">
                  <c:v>123.22790000000001</c:v>
                </c:pt>
                <c:pt idx="3563">
                  <c:v>124.7521</c:v>
                </c:pt>
                <c:pt idx="3564">
                  <c:v>129.29060000000001</c:v>
                </c:pt>
                <c:pt idx="3565">
                  <c:v>128.25829999999999</c:v>
                </c:pt>
                <c:pt idx="3566">
                  <c:v>128.58770000000001</c:v>
                </c:pt>
                <c:pt idx="3567">
                  <c:v>130.01830000000001</c:v>
                </c:pt>
                <c:pt idx="3568">
                  <c:v>131.5444</c:v>
                </c:pt>
                <c:pt idx="3569">
                  <c:v>131.7054</c:v>
                </c:pt>
                <c:pt idx="3570">
                  <c:v>128.32839999999999</c:v>
                </c:pt>
                <c:pt idx="3571">
                  <c:v>126.13979999999999</c:v>
                </c:pt>
                <c:pt idx="3572">
                  <c:v>125.9248</c:v>
                </c:pt>
                <c:pt idx="3573">
                  <c:v>125.7236</c:v>
                </c:pt>
                <c:pt idx="3574">
                  <c:v>128.28809999999999</c:v>
                </c:pt>
                <c:pt idx="3575">
                  <c:v>127.1883</c:v>
                </c:pt>
                <c:pt idx="3576">
                  <c:v>126.42100000000001</c:v>
                </c:pt>
                <c:pt idx="3577">
                  <c:v>124.2107</c:v>
                </c:pt>
                <c:pt idx="3578">
                  <c:v>126.4079</c:v>
                </c:pt>
                <c:pt idx="3579">
                  <c:v>124.67010000000001</c:v>
                </c:pt>
                <c:pt idx="3580">
                  <c:v>125.9153</c:v>
                </c:pt>
                <c:pt idx="3581">
                  <c:v>125.4764</c:v>
                </c:pt>
                <c:pt idx="3582">
                  <c:v>129.45419999999999</c:v>
                </c:pt>
                <c:pt idx="3583">
                  <c:v>128.0112</c:v>
                </c:pt>
                <c:pt idx="3584">
                  <c:v>128.4298</c:v>
                </c:pt>
                <c:pt idx="3585">
                  <c:v>129.24639999999999</c:v>
                </c:pt>
                <c:pt idx="3586">
                  <c:v>126.1662</c:v>
                </c:pt>
                <c:pt idx="3587">
                  <c:v>124.69589999999999</c:v>
                </c:pt>
                <c:pt idx="3588">
                  <c:v>123.599</c:v>
                </c:pt>
                <c:pt idx="3589">
                  <c:v>124.5842</c:v>
                </c:pt>
                <c:pt idx="3590">
                  <c:v>125.4453</c:v>
                </c:pt>
                <c:pt idx="3591">
                  <c:v>120.59869999999999</c:v>
                </c:pt>
                <c:pt idx="3592">
                  <c:v>122.1104</c:v>
                </c:pt>
                <c:pt idx="3593">
                  <c:v>122.8201</c:v>
                </c:pt>
                <c:pt idx="3594">
                  <c:v>122.88849999999999</c:v>
                </c:pt>
                <c:pt idx="3595">
                  <c:v>123.6781</c:v>
                </c:pt>
                <c:pt idx="3596">
                  <c:v>125.1735</c:v>
                </c:pt>
                <c:pt idx="3597">
                  <c:v>121.4383</c:v>
                </c:pt>
                <c:pt idx="3598">
                  <c:v>121.42959999999999</c:v>
                </c:pt>
                <c:pt idx="3599">
                  <c:v>120.1493</c:v>
                </c:pt>
                <c:pt idx="3600">
                  <c:v>117.6391</c:v>
                </c:pt>
                <c:pt idx="3601">
                  <c:v>118.59220000000001</c:v>
                </c:pt>
                <c:pt idx="3602">
                  <c:v>121.3775</c:v>
                </c:pt>
                <c:pt idx="3603">
                  <c:v>123.8056</c:v>
                </c:pt>
                <c:pt idx="3604">
                  <c:v>122.06010000000001</c:v>
                </c:pt>
                <c:pt idx="3605">
                  <c:v>120.2116</c:v>
                </c:pt>
                <c:pt idx="3606">
                  <c:v>119.6969</c:v>
                </c:pt>
                <c:pt idx="3607">
                  <c:v>120.8523</c:v>
                </c:pt>
                <c:pt idx="3608">
                  <c:v>118.9803</c:v>
                </c:pt>
                <c:pt idx="3609">
                  <c:v>116.4777</c:v>
                </c:pt>
                <c:pt idx="3610">
                  <c:v>114.8308</c:v>
                </c:pt>
                <c:pt idx="3611">
                  <c:v>112.0196</c:v>
                </c:pt>
                <c:pt idx="3612">
                  <c:v>114.5442</c:v>
                </c:pt>
                <c:pt idx="3613">
                  <c:v>112.72110000000001</c:v>
                </c:pt>
                <c:pt idx="3614">
                  <c:v>107.9053</c:v>
                </c:pt>
                <c:pt idx="3615">
                  <c:v>108.96469999999999</c:v>
                </c:pt>
                <c:pt idx="3616">
                  <c:v>115.3319</c:v>
                </c:pt>
                <c:pt idx="3617">
                  <c:v>115.7182</c:v>
                </c:pt>
                <c:pt idx="3618">
                  <c:v>115.08199999999999</c:v>
                </c:pt>
                <c:pt idx="3619">
                  <c:v>113.1331</c:v>
                </c:pt>
                <c:pt idx="3620">
                  <c:v>112.2274</c:v>
                </c:pt>
                <c:pt idx="3621">
                  <c:v>111.01179999999999</c:v>
                </c:pt>
                <c:pt idx="3622">
                  <c:v>108.8935</c:v>
                </c:pt>
                <c:pt idx="3623">
                  <c:v>108.6146</c:v>
                </c:pt>
                <c:pt idx="3624">
                  <c:v>109.6066</c:v>
                </c:pt>
                <c:pt idx="3625">
                  <c:v>109.9722</c:v>
                </c:pt>
                <c:pt idx="3626">
                  <c:v>108.91379999999999</c:v>
                </c:pt>
                <c:pt idx="3627">
                  <c:v>108.922</c:v>
                </c:pt>
                <c:pt idx="3628">
                  <c:v>107.7206</c:v>
                </c:pt>
                <c:pt idx="3629">
                  <c:v>104.8485</c:v>
                </c:pt>
                <c:pt idx="3630">
                  <c:v>108.18040000000001</c:v>
                </c:pt>
                <c:pt idx="3631">
                  <c:v>110.50020000000001</c:v>
                </c:pt>
                <c:pt idx="3632">
                  <c:v>108.3967</c:v>
                </c:pt>
                <c:pt idx="3633">
                  <c:v>111.5168</c:v>
                </c:pt>
                <c:pt idx="3634">
                  <c:v>110.4423</c:v>
                </c:pt>
                <c:pt idx="3635">
                  <c:v>107.9783</c:v>
                </c:pt>
                <c:pt idx="3636">
                  <c:v>108.0013</c:v>
                </c:pt>
                <c:pt idx="3637">
                  <c:v>105.6866</c:v>
                </c:pt>
                <c:pt idx="3638">
                  <c:v>103.1232</c:v>
                </c:pt>
                <c:pt idx="3639">
                  <c:v>101.8321</c:v>
                </c:pt>
                <c:pt idx="3640">
                  <c:v>102.6459</c:v>
                </c:pt>
                <c:pt idx="3641">
                  <c:v>103.6504</c:v>
                </c:pt>
                <c:pt idx="3642">
                  <c:v>101.616</c:v>
                </c:pt>
                <c:pt idx="3643">
                  <c:v>103.6979</c:v>
                </c:pt>
                <c:pt idx="3644">
                  <c:v>103.5227</c:v>
                </c:pt>
                <c:pt idx="3645">
                  <c:v>106.1767</c:v>
                </c:pt>
                <c:pt idx="3646">
                  <c:v>104.333</c:v>
                </c:pt>
                <c:pt idx="3647">
                  <c:v>102.92789999999999</c:v>
                </c:pt>
                <c:pt idx="3648">
                  <c:v>101.7743</c:v>
                </c:pt>
                <c:pt idx="3649">
                  <c:v>99.864999999999995</c:v>
                </c:pt>
                <c:pt idx="3650">
                  <c:v>99.323800000000006</c:v>
                </c:pt>
                <c:pt idx="3651">
                  <c:v>100.5864</c:v>
                </c:pt>
                <c:pt idx="3652">
                  <c:v>98.472200000000001</c:v>
                </c:pt>
                <c:pt idx="3653">
                  <c:v>94.692300000000003</c:v>
                </c:pt>
                <c:pt idx="3654">
                  <c:v>93.316400000000002</c:v>
                </c:pt>
                <c:pt idx="3655">
                  <c:v>91.904200000000003</c:v>
                </c:pt>
                <c:pt idx="3656">
                  <c:v>94.024299999999997</c:v>
                </c:pt>
                <c:pt idx="3657">
                  <c:v>92.944599999999994</c:v>
                </c:pt>
                <c:pt idx="3658">
                  <c:v>94.037199999999999</c:v>
                </c:pt>
                <c:pt idx="3659">
                  <c:v>94.138800000000003</c:v>
                </c:pt>
                <c:pt idx="3660">
                  <c:v>92.334999999999994</c:v>
                </c:pt>
                <c:pt idx="3661">
                  <c:v>90.461799999999997</c:v>
                </c:pt>
                <c:pt idx="3662">
                  <c:v>88.334400000000002</c:v>
                </c:pt>
                <c:pt idx="3663">
                  <c:v>91.442099999999996</c:v>
                </c:pt>
                <c:pt idx="3664">
                  <c:v>91.589100000000002</c:v>
                </c:pt>
                <c:pt idx="3665">
                  <c:v>92.528700000000001</c:v>
                </c:pt>
                <c:pt idx="3666">
                  <c:v>89.837000000000003</c:v>
                </c:pt>
                <c:pt idx="3667">
                  <c:v>89.807599999999994</c:v>
                </c:pt>
                <c:pt idx="3668">
                  <c:v>90.933800000000005</c:v>
                </c:pt>
                <c:pt idx="3669">
                  <c:v>89.570499999999996</c:v>
                </c:pt>
                <c:pt idx="3670">
                  <c:v>90.850700000000003</c:v>
                </c:pt>
                <c:pt idx="3671">
                  <c:v>91.345399999999998</c:v>
                </c:pt>
                <c:pt idx="3672">
                  <c:v>91.951999999999998</c:v>
                </c:pt>
                <c:pt idx="3673">
                  <c:v>90.308099999999996</c:v>
                </c:pt>
                <c:pt idx="3674">
                  <c:v>90.284499999999994</c:v>
                </c:pt>
                <c:pt idx="3675">
                  <c:v>90.412400000000005</c:v>
                </c:pt>
                <c:pt idx="3676">
                  <c:v>88.914199999999994</c:v>
                </c:pt>
                <c:pt idx="3677">
                  <c:v>89.961100000000002</c:v>
                </c:pt>
                <c:pt idx="3678">
                  <c:v>94.226100000000002</c:v>
                </c:pt>
                <c:pt idx="3679">
                  <c:v>95.294499999999999</c:v>
                </c:pt>
                <c:pt idx="3680">
                  <c:v>97.821100000000001</c:v>
                </c:pt>
                <c:pt idx="3681">
                  <c:v>99.866600000000005</c:v>
                </c:pt>
                <c:pt idx="3682">
                  <c:v>99.845799999999997</c:v>
                </c:pt>
                <c:pt idx="3683">
                  <c:v>99.495000000000005</c:v>
                </c:pt>
                <c:pt idx="3684">
                  <c:v>101.0274</c:v>
                </c:pt>
                <c:pt idx="3685">
                  <c:v>102.41759999999999</c:v>
                </c:pt>
                <c:pt idx="3686">
                  <c:v>100.15519999999999</c:v>
                </c:pt>
                <c:pt idx="3687">
                  <c:v>95.546000000000006</c:v>
                </c:pt>
                <c:pt idx="3688">
                  <c:v>92.260900000000007</c:v>
                </c:pt>
                <c:pt idx="3689">
                  <c:v>94.470200000000006</c:v>
                </c:pt>
                <c:pt idx="3690">
                  <c:v>92.913300000000007</c:v>
                </c:pt>
                <c:pt idx="3691">
                  <c:v>102.30240000000001</c:v>
                </c:pt>
                <c:pt idx="3692">
                  <c:v>100.86960000000001</c:v>
                </c:pt>
                <c:pt idx="3693">
                  <c:v>99.448800000000006</c:v>
                </c:pt>
                <c:pt idx="3694">
                  <c:v>96.289699999999996</c:v>
                </c:pt>
                <c:pt idx="3695">
                  <c:v>97.141400000000004</c:v>
                </c:pt>
                <c:pt idx="3696">
                  <c:v>97.137299999999996</c:v>
                </c:pt>
                <c:pt idx="3697">
                  <c:v>97.479699999999994</c:v>
                </c:pt>
                <c:pt idx="3698">
                  <c:v>100.0547</c:v>
                </c:pt>
                <c:pt idx="3699">
                  <c:v>101.8862</c:v>
                </c:pt>
                <c:pt idx="3700">
                  <c:v>100.84569999999999</c:v>
                </c:pt>
                <c:pt idx="3701">
                  <c:v>99.0929</c:v>
                </c:pt>
                <c:pt idx="3702">
                  <c:v>98.362099999999998</c:v>
                </c:pt>
                <c:pt idx="3703">
                  <c:v>99.087599999999995</c:v>
                </c:pt>
                <c:pt idx="3704">
                  <c:v>100.2791</c:v>
                </c:pt>
                <c:pt idx="3705">
                  <c:v>99.184200000000004</c:v>
                </c:pt>
                <c:pt idx="3706">
                  <c:v>100.1855</c:v>
                </c:pt>
                <c:pt idx="3707">
                  <c:v>97.891300000000001</c:v>
                </c:pt>
                <c:pt idx="3708">
                  <c:v>99.109099999999998</c:v>
                </c:pt>
                <c:pt idx="3709">
                  <c:v>97.565100000000001</c:v>
                </c:pt>
                <c:pt idx="3710">
                  <c:v>96.930400000000006</c:v>
                </c:pt>
                <c:pt idx="3711">
                  <c:v>96.201499999999996</c:v>
                </c:pt>
                <c:pt idx="3712">
                  <c:v>97.331299999999999</c:v>
                </c:pt>
                <c:pt idx="3713">
                  <c:v>98.067800000000005</c:v>
                </c:pt>
                <c:pt idx="3714">
                  <c:v>95.807500000000005</c:v>
                </c:pt>
                <c:pt idx="3715">
                  <c:v>94.156999999999996</c:v>
                </c:pt>
                <c:pt idx="3716">
                  <c:v>95.073800000000006</c:v>
                </c:pt>
                <c:pt idx="3717">
                  <c:v>99.013000000000005</c:v>
                </c:pt>
                <c:pt idx="3718">
                  <c:v>99.216099999999997</c:v>
                </c:pt>
                <c:pt idx="3719">
                  <c:v>97.218599999999995</c:v>
                </c:pt>
                <c:pt idx="3720">
                  <c:v>96.831800000000001</c:v>
                </c:pt>
                <c:pt idx="3721">
                  <c:v>96.633099999999999</c:v>
                </c:pt>
                <c:pt idx="3722">
                  <c:v>95.262799999999999</c:v>
                </c:pt>
                <c:pt idx="3723">
                  <c:v>95.248699999999999</c:v>
                </c:pt>
                <c:pt idx="3724">
                  <c:v>96.084400000000002</c:v>
                </c:pt>
                <c:pt idx="3725">
                  <c:v>95.369100000000003</c:v>
                </c:pt>
                <c:pt idx="3726">
                  <c:v>95.060599999999994</c:v>
                </c:pt>
                <c:pt idx="3727">
                  <c:v>96.770799999999994</c:v>
                </c:pt>
                <c:pt idx="3728">
                  <c:v>95.588899999999995</c:v>
                </c:pt>
                <c:pt idx="3729">
                  <c:v>96.268900000000002</c:v>
                </c:pt>
                <c:pt idx="3730">
                  <c:v>97.820300000000003</c:v>
                </c:pt>
                <c:pt idx="3731">
                  <c:v>97.004000000000005</c:v>
                </c:pt>
                <c:pt idx="3732">
                  <c:v>97.839399999999998</c:v>
                </c:pt>
                <c:pt idx="3733">
                  <c:v>98.0244</c:v>
                </c:pt>
                <c:pt idx="3734">
                  <c:v>98.471500000000006</c:v>
                </c:pt>
                <c:pt idx="3735">
                  <c:v>96.349299999999999</c:v>
                </c:pt>
                <c:pt idx="3736">
                  <c:v>97.78</c:v>
                </c:pt>
                <c:pt idx="3737">
                  <c:v>95.996399999999994</c:v>
                </c:pt>
                <c:pt idx="3738">
                  <c:v>91.968500000000006</c:v>
                </c:pt>
                <c:pt idx="3739">
                  <c:v>91.467600000000004</c:v>
                </c:pt>
                <c:pt idx="3740">
                  <c:v>95.075699999999998</c:v>
                </c:pt>
                <c:pt idx="3741">
                  <c:v>97.221599999999995</c:v>
                </c:pt>
                <c:pt idx="3742">
                  <c:v>95.207999999999998</c:v>
                </c:pt>
                <c:pt idx="3743">
                  <c:v>94.798299999999998</c:v>
                </c:pt>
                <c:pt idx="3744">
                  <c:v>94.164299999999997</c:v>
                </c:pt>
                <c:pt idx="3745">
                  <c:v>93.968199999999996</c:v>
                </c:pt>
                <c:pt idx="3746">
                  <c:v>94.390100000000004</c:v>
                </c:pt>
                <c:pt idx="3747">
                  <c:v>95.165700000000001</c:v>
                </c:pt>
                <c:pt idx="3748">
                  <c:v>93.4251</c:v>
                </c:pt>
                <c:pt idx="3749">
                  <c:v>92.005200000000002</c:v>
                </c:pt>
                <c:pt idx="3750">
                  <c:v>89.990399999999994</c:v>
                </c:pt>
                <c:pt idx="3751">
                  <c:v>89.597399999999993</c:v>
                </c:pt>
                <c:pt idx="3752">
                  <c:v>89.522499999999994</c:v>
                </c:pt>
                <c:pt idx="3753">
                  <c:v>90.151600000000002</c:v>
                </c:pt>
                <c:pt idx="3754">
                  <c:v>93.426100000000005</c:v>
                </c:pt>
                <c:pt idx="3755">
                  <c:v>92.550600000000003</c:v>
                </c:pt>
                <c:pt idx="3756">
                  <c:v>92.71</c:v>
                </c:pt>
                <c:pt idx="3757">
                  <c:v>93.075199999999995</c:v>
                </c:pt>
                <c:pt idx="3758">
                  <c:v>95.540499999999994</c:v>
                </c:pt>
                <c:pt idx="3759">
                  <c:v>98.408600000000007</c:v>
                </c:pt>
                <c:pt idx="3760">
                  <c:v>98.531999999999996</c:v>
                </c:pt>
                <c:pt idx="3761">
                  <c:v>98.193100000000001</c:v>
                </c:pt>
                <c:pt idx="3762">
                  <c:v>96.497</c:v>
                </c:pt>
                <c:pt idx="3763">
                  <c:v>96.439499999999995</c:v>
                </c:pt>
                <c:pt idx="3764">
                  <c:v>96.199399999999997</c:v>
                </c:pt>
                <c:pt idx="3765">
                  <c:v>95.431200000000004</c:v>
                </c:pt>
                <c:pt idx="3766">
                  <c:v>94.5124</c:v>
                </c:pt>
                <c:pt idx="3767">
                  <c:v>91.479399999999998</c:v>
                </c:pt>
                <c:pt idx="3768">
                  <c:v>84.107500000000002</c:v>
                </c:pt>
                <c:pt idx="3769">
                  <c:v>82.943200000000004</c:v>
                </c:pt>
                <c:pt idx="3770">
                  <c:v>77.603700000000003</c:v>
                </c:pt>
                <c:pt idx="3771">
                  <c:v>82.360900000000001</c:v>
                </c:pt>
                <c:pt idx="3772">
                  <c:v>84.796099999999996</c:v>
                </c:pt>
                <c:pt idx="3773">
                  <c:v>83.955100000000002</c:v>
                </c:pt>
                <c:pt idx="3774">
                  <c:v>82.466700000000003</c:v>
                </c:pt>
                <c:pt idx="3775">
                  <c:v>82.467399999999998</c:v>
                </c:pt>
                <c:pt idx="3776">
                  <c:v>79.590500000000006</c:v>
                </c:pt>
                <c:pt idx="3777">
                  <c:v>80.462100000000007</c:v>
                </c:pt>
                <c:pt idx="3778">
                  <c:v>82.803600000000003</c:v>
                </c:pt>
                <c:pt idx="3779">
                  <c:v>85.973299999999995</c:v>
                </c:pt>
                <c:pt idx="3780">
                  <c:v>84.986800000000002</c:v>
                </c:pt>
                <c:pt idx="3781">
                  <c:v>81.927800000000005</c:v>
                </c:pt>
                <c:pt idx="3782">
                  <c:v>79.459199999999996</c:v>
                </c:pt>
                <c:pt idx="3783">
                  <c:v>78.673500000000004</c:v>
                </c:pt>
                <c:pt idx="3784">
                  <c:v>80.036100000000005</c:v>
                </c:pt>
                <c:pt idx="3785">
                  <c:v>81.293599999999998</c:v>
                </c:pt>
                <c:pt idx="3786">
                  <c:v>78.3232</c:v>
                </c:pt>
                <c:pt idx="3787">
                  <c:v>79.727199999999996</c:v>
                </c:pt>
                <c:pt idx="3788">
                  <c:v>76.543400000000005</c:v>
                </c:pt>
                <c:pt idx="3789">
                  <c:v>78.388000000000005</c:v>
                </c:pt>
                <c:pt idx="3790">
                  <c:v>78.379499999999993</c:v>
                </c:pt>
                <c:pt idx="3791">
                  <c:v>75.968599999999995</c:v>
                </c:pt>
                <c:pt idx="3792">
                  <c:v>72.590299999999999</c:v>
                </c:pt>
                <c:pt idx="3793">
                  <c:v>69.483900000000006</c:v>
                </c:pt>
                <c:pt idx="3794">
                  <c:v>73.068299999999994</c:v>
                </c:pt>
                <c:pt idx="3795">
                  <c:v>71.596000000000004</c:v>
                </c:pt>
                <c:pt idx="3796">
                  <c:v>68.894099999999995</c:v>
                </c:pt>
                <c:pt idx="3797">
                  <c:v>66.369799999999998</c:v>
                </c:pt>
                <c:pt idx="3798">
                  <c:v>69.583200000000005</c:v>
                </c:pt>
                <c:pt idx="3799">
                  <c:v>70.798299999999998</c:v>
                </c:pt>
                <c:pt idx="3800">
                  <c:v>77.170699999999997</c:v>
                </c:pt>
                <c:pt idx="3801">
                  <c:v>75.351600000000005</c:v>
                </c:pt>
                <c:pt idx="3802">
                  <c:v>75.421499999999995</c:v>
                </c:pt>
                <c:pt idx="3803">
                  <c:v>73.175700000000006</c:v>
                </c:pt>
                <c:pt idx="3804">
                  <c:v>73.746300000000005</c:v>
                </c:pt>
                <c:pt idx="3805">
                  <c:v>69.992500000000007</c:v>
                </c:pt>
                <c:pt idx="3806">
                  <c:v>67.704300000000003</c:v>
                </c:pt>
                <c:pt idx="3807">
                  <c:v>69.157899999999998</c:v>
                </c:pt>
                <c:pt idx="3808">
                  <c:v>66.273399999999995</c:v>
                </c:pt>
                <c:pt idx="3809">
                  <c:v>66.489000000000004</c:v>
                </c:pt>
                <c:pt idx="3810">
                  <c:v>66.850800000000007</c:v>
                </c:pt>
                <c:pt idx="3811">
                  <c:v>66.797899999999998</c:v>
                </c:pt>
                <c:pt idx="3812">
                  <c:v>65.908100000000005</c:v>
                </c:pt>
                <c:pt idx="3813">
                  <c:v>64.822999999999993</c:v>
                </c:pt>
                <c:pt idx="3814">
                  <c:v>67.296899999999994</c:v>
                </c:pt>
                <c:pt idx="3815">
                  <c:v>67.598699999999994</c:v>
                </c:pt>
                <c:pt idx="3816">
                  <c:v>67.732900000000001</c:v>
                </c:pt>
                <c:pt idx="3817">
                  <c:v>69.352699999999999</c:v>
                </c:pt>
                <c:pt idx="3818">
                  <c:v>69.408100000000005</c:v>
                </c:pt>
                <c:pt idx="3819">
                  <c:v>65.537099999999995</c:v>
                </c:pt>
                <c:pt idx="3820">
                  <c:v>60.688699999999997</c:v>
                </c:pt>
                <c:pt idx="3821">
                  <c:v>61.702500000000001</c:v>
                </c:pt>
                <c:pt idx="3822">
                  <c:v>61.034100000000002</c:v>
                </c:pt>
                <c:pt idx="3823">
                  <c:v>59.725999999999999</c:v>
                </c:pt>
                <c:pt idx="3824">
                  <c:v>59.777999999999999</c:v>
                </c:pt>
                <c:pt idx="3825">
                  <c:v>58.653500000000001</c:v>
                </c:pt>
                <c:pt idx="3826">
                  <c:v>64.876000000000005</c:v>
                </c:pt>
                <c:pt idx="3827">
                  <c:v>64.054500000000004</c:v>
                </c:pt>
                <c:pt idx="3828">
                  <c:v>62.249099999999999</c:v>
                </c:pt>
                <c:pt idx="3829">
                  <c:v>63.83</c:v>
                </c:pt>
                <c:pt idx="3830">
                  <c:v>67.0989</c:v>
                </c:pt>
                <c:pt idx="3831">
                  <c:v>67.993099999999998</c:v>
                </c:pt>
                <c:pt idx="3832">
                  <c:v>67.859499999999997</c:v>
                </c:pt>
                <c:pt idx="3833">
                  <c:v>68.197900000000004</c:v>
                </c:pt>
                <c:pt idx="3834">
                  <c:v>68.616399999999999</c:v>
                </c:pt>
                <c:pt idx="3835">
                  <c:v>67.171999999999997</c:v>
                </c:pt>
                <c:pt idx="3836">
                  <c:v>65.949799999999996</c:v>
                </c:pt>
                <c:pt idx="3837">
                  <c:v>67.281300000000002</c:v>
                </c:pt>
                <c:pt idx="3838">
                  <c:v>68.130600000000001</c:v>
                </c:pt>
                <c:pt idx="3839">
                  <c:v>67.619299999999996</c:v>
                </c:pt>
                <c:pt idx="3840">
                  <c:v>67.188599999999994</c:v>
                </c:pt>
                <c:pt idx="3841">
                  <c:v>65.686000000000007</c:v>
                </c:pt>
                <c:pt idx="3842">
                  <c:v>66.935699999999997</c:v>
                </c:pt>
                <c:pt idx="3843">
                  <c:v>66.463099999999997</c:v>
                </c:pt>
                <c:pt idx="3844">
                  <c:v>66.544600000000003</c:v>
                </c:pt>
                <c:pt idx="3845">
                  <c:v>66.534199999999998</c:v>
                </c:pt>
                <c:pt idx="3846">
                  <c:v>66.745699999999999</c:v>
                </c:pt>
                <c:pt idx="3847">
                  <c:v>67.516800000000003</c:v>
                </c:pt>
                <c:pt idx="3848">
                  <c:v>67.432699999999997</c:v>
                </c:pt>
                <c:pt idx="3849">
                  <c:v>67.295299999999997</c:v>
                </c:pt>
                <c:pt idx="3850">
                  <c:v>65.816699999999997</c:v>
                </c:pt>
                <c:pt idx="3851">
                  <c:v>66.816199999999995</c:v>
                </c:pt>
                <c:pt idx="3852">
                  <c:v>67.018799999999999</c:v>
                </c:pt>
                <c:pt idx="3853">
                  <c:v>65.976200000000006</c:v>
                </c:pt>
                <c:pt idx="3854">
                  <c:v>66.733000000000004</c:v>
                </c:pt>
                <c:pt idx="3855">
                  <c:v>66.815899999999999</c:v>
                </c:pt>
                <c:pt idx="3856">
                  <c:v>69.804599999999994</c:v>
                </c:pt>
                <c:pt idx="3857">
                  <c:v>69.516800000000003</c:v>
                </c:pt>
                <c:pt idx="3858">
                  <c:v>69.906099999999995</c:v>
                </c:pt>
                <c:pt idx="3859">
                  <c:v>71.879900000000006</c:v>
                </c:pt>
                <c:pt idx="3860">
                  <c:v>72.894199999999998</c:v>
                </c:pt>
                <c:pt idx="3861">
                  <c:v>73.677899999999994</c:v>
                </c:pt>
                <c:pt idx="3862">
                  <c:v>74.548299999999998</c:v>
                </c:pt>
                <c:pt idx="3863">
                  <c:v>75.553100000000001</c:v>
                </c:pt>
                <c:pt idx="3864">
                  <c:v>76.239199999999997</c:v>
                </c:pt>
                <c:pt idx="3865">
                  <c:v>77.723100000000002</c:v>
                </c:pt>
                <c:pt idx="3866">
                  <c:v>77.108099999999993</c:v>
                </c:pt>
                <c:pt idx="3867">
                  <c:v>76.779899999999998</c:v>
                </c:pt>
                <c:pt idx="3868">
                  <c:v>75.861599999999996</c:v>
                </c:pt>
                <c:pt idx="3869">
                  <c:v>76.131500000000003</c:v>
                </c:pt>
                <c:pt idx="3870">
                  <c:v>76.894400000000005</c:v>
                </c:pt>
                <c:pt idx="3871">
                  <c:v>75.412199999999999</c:v>
                </c:pt>
                <c:pt idx="3872">
                  <c:v>75.0642</c:v>
                </c:pt>
                <c:pt idx="3873">
                  <c:v>72.910899999999998</c:v>
                </c:pt>
                <c:pt idx="3874">
                  <c:v>69.754300000000001</c:v>
                </c:pt>
                <c:pt idx="3875">
                  <c:v>69.233000000000004</c:v>
                </c:pt>
                <c:pt idx="3876">
                  <c:v>68.347300000000004</c:v>
                </c:pt>
                <c:pt idx="3877">
                  <c:v>66.679199999999994</c:v>
                </c:pt>
                <c:pt idx="3878">
                  <c:v>64.033900000000003</c:v>
                </c:pt>
                <c:pt idx="3879">
                  <c:v>65.537099999999995</c:v>
                </c:pt>
                <c:pt idx="3880">
                  <c:v>66.727900000000005</c:v>
                </c:pt>
                <c:pt idx="3881">
                  <c:v>65.474699999999999</c:v>
                </c:pt>
                <c:pt idx="3882">
                  <c:v>64.731800000000007</c:v>
                </c:pt>
                <c:pt idx="3883">
                  <c:v>67.887799999999999</c:v>
                </c:pt>
                <c:pt idx="3884">
                  <c:v>66.746600000000001</c:v>
                </c:pt>
                <c:pt idx="3885">
                  <c:v>65.751099999999994</c:v>
                </c:pt>
                <c:pt idx="3886">
                  <c:v>65.673599999999993</c:v>
                </c:pt>
                <c:pt idx="3887">
                  <c:v>65.434299999999993</c:v>
                </c:pt>
                <c:pt idx="3888">
                  <c:v>65.462199999999996</c:v>
                </c:pt>
                <c:pt idx="3889">
                  <c:v>64.547899999999998</c:v>
                </c:pt>
                <c:pt idx="3890">
                  <c:v>65.1935</c:v>
                </c:pt>
                <c:pt idx="3891">
                  <c:v>65.882900000000006</c:v>
                </c:pt>
                <c:pt idx="3892">
                  <c:v>63.379800000000003</c:v>
                </c:pt>
                <c:pt idx="3893">
                  <c:v>62.529899999999998</c:v>
                </c:pt>
                <c:pt idx="3894">
                  <c:v>61.354900000000001</c:v>
                </c:pt>
                <c:pt idx="3895">
                  <c:v>61.067399999999999</c:v>
                </c:pt>
                <c:pt idx="3896">
                  <c:v>61.346600000000002</c:v>
                </c:pt>
                <c:pt idx="3897">
                  <c:v>59.857500000000002</c:v>
                </c:pt>
                <c:pt idx="3898">
                  <c:v>57.726399999999998</c:v>
                </c:pt>
                <c:pt idx="3899">
                  <c:v>58.8444</c:v>
                </c:pt>
                <c:pt idx="3900">
                  <c:v>57.209499999999998</c:v>
                </c:pt>
                <c:pt idx="3901">
                  <c:v>59.021799999999999</c:v>
                </c:pt>
                <c:pt idx="3902">
                  <c:v>58.687800000000003</c:v>
                </c:pt>
                <c:pt idx="3903">
                  <c:v>55.9452</c:v>
                </c:pt>
                <c:pt idx="3904">
                  <c:v>54.280999999999999</c:v>
                </c:pt>
                <c:pt idx="3905">
                  <c:v>53.553199999999997</c:v>
                </c:pt>
                <c:pt idx="3906">
                  <c:v>51.396000000000001</c:v>
                </c:pt>
                <c:pt idx="3907">
                  <c:v>51.738399999999999</c:v>
                </c:pt>
                <c:pt idx="3908">
                  <c:v>50.933399999999999</c:v>
                </c:pt>
                <c:pt idx="3909">
                  <c:v>53.444400000000002</c:v>
                </c:pt>
                <c:pt idx="3910">
                  <c:v>52.774900000000002</c:v>
                </c:pt>
                <c:pt idx="3911">
                  <c:v>51.053800000000003</c:v>
                </c:pt>
                <c:pt idx="3912">
                  <c:v>53.366199999999999</c:v>
                </c:pt>
                <c:pt idx="3913">
                  <c:v>54.600499999999997</c:v>
                </c:pt>
                <c:pt idx="3914">
                  <c:v>54.574300000000001</c:v>
                </c:pt>
                <c:pt idx="3915">
                  <c:v>53.804299999999998</c:v>
                </c:pt>
                <c:pt idx="3916">
                  <c:v>54.174900000000001</c:v>
                </c:pt>
                <c:pt idx="3917">
                  <c:v>54.375700000000002</c:v>
                </c:pt>
                <c:pt idx="3918">
                  <c:v>54.124699999999997</c:v>
                </c:pt>
                <c:pt idx="3919">
                  <c:v>53.863999999999997</c:v>
                </c:pt>
                <c:pt idx="3920">
                  <c:v>54.283200000000001</c:v>
                </c:pt>
                <c:pt idx="3921">
                  <c:v>53.396599999999999</c:v>
                </c:pt>
                <c:pt idx="3922">
                  <c:v>49.841200000000001</c:v>
                </c:pt>
                <c:pt idx="3923">
                  <c:v>48.9559</c:v>
                </c:pt>
                <c:pt idx="3924">
                  <c:v>46.939399999999999</c:v>
                </c:pt>
                <c:pt idx="3925">
                  <c:v>47.651400000000002</c:v>
                </c:pt>
                <c:pt idx="3926">
                  <c:v>48.406599999999997</c:v>
                </c:pt>
                <c:pt idx="3927">
                  <c:v>48.515099999999997</c:v>
                </c:pt>
                <c:pt idx="3928">
                  <c:v>48.410200000000003</c:v>
                </c:pt>
                <c:pt idx="3929">
                  <c:v>50.008099999999999</c:v>
                </c:pt>
                <c:pt idx="3930">
                  <c:v>50.024099999999997</c:v>
                </c:pt>
                <c:pt idx="3931">
                  <c:v>49.079599999999999</c:v>
                </c:pt>
                <c:pt idx="3932">
                  <c:v>48.453800000000001</c:v>
                </c:pt>
                <c:pt idx="3933">
                  <c:v>48.378500000000003</c:v>
                </c:pt>
                <c:pt idx="3934">
                  <c:v>48.23</c:v>
                </c:pt>
                <c:pt idx="3935">
                  <c:v>47.3369</c:v>
                </c:pt>
                <c:pt idx="3936">
                  <c:v>47.767600000000002</c:v>
                </c:pt>
                <c:pt idx="3937">
                  <c:v>48.865400000000001</c:v>
                </c:pt>
                <c:pt idx="3938">
                  <c:v>48.067700000000002</c:v>
                </c:pt>
                <c:pt idx="3939">
                  <c:v>46.9741</c:v>
                </c:pt>
                <c:pt idx="3940">
                  <c:v>46.946599999999997</c:v>
                </c:pt>
                <c:pt idx="3941">
                  <c:v>47.567599999999999</c:v>
                </c:pt>
                <c:pt idx="3942">
                  <c:v>47.173499999999997</c:v>
                </c:pt>
                <c:pt idx="3943">
                  <c:v>47.120100000000001</c:v>
                </c:pt>
                <c:pt idx="3944">
                  <c:v>45.902700000000003</c:v>
                </c:pt>
                <c:pt idx="3945">
                  <c:v>46.191200000000002</c:v>
                </c:pt>
                <c:pt idx="3946">
                  <c:v>46.405000000000001</c:v>
                </c:pt>
                <c:pt idx="3947">
                  <c:v>46.246699999999997</c:v>
                </c:pt>
                <c:pt idx="3948">
                  <c:v>45.900300000000001</c:v>
                </c:pt>
                <c:pt idx="3949">
                  <c:v>46.045099999999998</c:v>
                </c:pt>
                <c:pt idx="3950">
                  <c:v>46.212600000000002</c:v>
                </c:pt>
                <c:pt idx="3951">
                  <c:v>44.4664</c:v>
                </c:pt>
                <c:pt idx="3952">
                  <c:v>43.8352</c:v>
                </c:pt>
                <c:pt idx="3953">
                  <c:v>43.945300000000003</c:v>
                </c:pt>
                <c:pt idx="3954">
                  <c:v>42.947299999999998</c:v>
                </c:pt>
                <c:pt idx="3955">
                  <c:v>44.334299999999999</c:v>
                </c:pt>
                <c:pt idx="3956">
                  <c:v>44.3842</c:v>
                </c:pt>
                <c:pt idx="3957">
                  <c:v>44.949399999999997</c:v>
                </c:pt>
                <c:pt idx="3958">
                  <c:v>45.986199999999997</c:v>
                </c:pt>
                <c:pt idx="3959">
                  <c:v>45.269100000000002</c:v>
                </c:pt>
                <c:pt idx="3960">
                  <c:v>46.515700000000002</c:v>
                </c:pt>
                <c:pt idx="3961">
                  <c:v>47.223599999999998</c:v>
                </c:pt>
                <c:pt idx="3962">
                  <c:v>47.832799999999999</c:v>
                </c:pt>
                <c:pt idx="3963">
                  <c:v>46.817100000000003</c:v>
                </c:pt>
                <c:pt idx="3964">
                  <c:v>45.6828</c:v>
                </c:pt>
                <c:pt idx="3965">
                  <c:v>45.087499999999999</c:v>
                </c:pt>
                <c:pt idx="3966">
                  <c:v>43.6633</c:v>
                </c:pt>
                <c:pt idx="3967">
                  <c:v>44.911000000000001</c:v>
                </c:pt>
                <c:pt idx="3968">
                  <c:v>45.742699999999999</c:v>
                </c:pt>
                <c:pt idx="3969">
                  <c:v>44.093400000000003</c:v>
                </c:pt>
                <c:pt idx="3970">
                  <c:v>44.164700000000003</c:v>
                </c:pt>
                <c:pt idx="3971">
                  <c:v>43.758200000000002</c:v>
                </c:pt>
                <c:pt idx="3972">
                  <c:v>43.41</c:v>
                </c:pt>
                <c:pt idx="3973">
                  <c:v>42.232999999999997</c:v>
                </c:pt>
                <c:pt idx="3974">
                  <c:v>41.530099999999997</c:v>
                </c:pt>
                <c:pt idx="3975">
                  <c:v>40.270099999999999</c:v>
                </c:pt>
                <c:pt idx="3976">
                  <c:v>40.722299999999997</c:v>
                </c:pt>
                <c:pt idx="3977">
                  <c:v>46.159599999999998</c:v>
                </c:pt>
                <c:pt idx="3978">
                  <c:v>47.314</c:v>
                </c:pt>
                <c:pt idx="3979">
                  <c:v>46.5047</c:v>
                </c:pt>
                <c:pt idx="3980">
                  <c:v>46.584099999999999</c:v>
                </c:pt>
                <c:pt idx="3981">
                  <c:v>46.603999999999999</c:v>
                </c:pt>
                <c:pt idx="3982">
                  <c:v>46.456800000000001</c:v>
                </c:pt>
                <c:pt idx="3983">
                  <c:v>46.678699999999999</c:v>
                </c:pt>
                <c:pt idx="3984">
                  <c:v>47.492600000000003</c:v>
                </c:pt>
                <c:pt idx="3985">
                  <c:v>46.529899999999998</c:v>
                </c:pt>
                <c:pt idx="3986">
                  <c:v>48.786700000000003</c:v>
                </c:pt>
                <c:pt idx="3987">
                  <c:v>49.253700000000002</c:v>
                </c:pt>
                <c:pt idx="3988">
                  <c:v>50.262300000000003</c:v>
                </c:pt>
                <c:pt idx="3989">
                  <c:v>46.816000000000003</c:v>
                </c:pt>
                <c:pt idx="3990">
                  <c:v>44.634500000000003</c:v>
                </c:pt>
                <c:pt idx="3991">
                  <c:v>44.946199999999997</c:v>
                </c:pt>
                <c:pt idx="3992">
                  <c:v>43.072600000000001</c:v>
                </c:pt>
                <c:pt idx="3993">
                  <c:v>42.445599999999999</c:v>
                </c:pt>
                <c:pt idx="3994">
                  <c:v>41.820900000000002</c:v>
                </c:pt>
                <c:pt idx="3995">
                  <c:v>42.668999999999997</c:v>
                </c:pt>
                <c:pt idx="3996">
                  <c:v>41.600499999999997</c:v>
                </c:pt>
                <c:pt idx="3997">
                  <c:v>38.631799999999998</c:v>
                </c:pt>
                <c:pt idx="3998">
                  <c:v>39.754300000000001</c:v>
                </c:pt>
                <c:pt idx="3999">
                  <c:v>39.773899999999998</c:v>
                </c:pt>
                <c:pt idx="4000">
                  <c:v>39.723399999999998</c:v>
                </c:pt>
                <c:pt idx="4001">
                  <c:v>37.987099999999998</c:v>
                </c:pt>
                <c:pt idx="4002">
                  <c:v>39.078699999999998</c:v>
                </c:pt>
                <c:pt idx="4003">
                  <c:v>40.072800000000001</c:v>
                </c:pt>
                <c:pt idx="4004">
                  <c:v>40.2408</c:v>
                </c:pt>
                <c:pt idx="4005">
                  <c:v>40.361699999999999</c:v>
                </c:pt>
                <c:pt idx="4006">
                  <c:v>40.717300000000002</c:v>
                </c:pt>
                <c:pt idx="4007">
                  <c:v>40.8904</c:v>
                </c:pt>
                <c:pt idx="4008">
                  <c:v>41.490299999999998</c:v>
                </c:pt>
                <c:pt idx="4009">
                  <c:v>41.826900000000002</c:v>
                </c:pt>
                <c:pt idx="4010">
                  <c:v>44.161499999999997</c:v>
                </c:pt>
                <c:pt idx="4011">
                  <c:v>47.116900000000001</c:v>
                </c:pt>
                <c:pt idx="4012">
                  <c:v>46.402000000000001</c:v>
                </c:pt>
                <c:pt idx="4013">
                  <c:v>45.405999999999999</c:v>
                </c:pt>
                <c:pt idx="4014">
                  <c:v>47.038200000000003</c:v>
                </c:pt>
                <c:pt idx="4015">
                  <c:v>45.792099999999998</c:v>
                </c:pt>
                <c:pt idx="4016">
                  <c:v>44.646999999999998</c:v>
                </c:pt>
                <c:pt idx="4017">
                  <c:v>44.278399999999998</c:v>
                </c:pt>
                <c:pt idx="4018">
                  <c:v>43.59</c:v>
                </c:pt>
                <c:pt idx="4019">
                  <c:v>45.055500000000002</c:v>
                </c:pt>
                <c:pt idx="4020">
                  <c:v>44.531100000000002</c:v>
                </c:pt>
                <c:pt idx="4021">
                  <c:v>43.721200000000003</c:v>
                </c:pt>
                <c:pt idx="4022">
                  <c:v>46.579900000000002</c:v>
                </c:pt>
                <c:pt idx="4023">
                  <c:v>46.615900000000003</c:v>
                </c:pt>
                <c:pt idx="4024">
                  <c:v>47.3001</c:v>
                </c:pt>
                <c:pt idx="4025">
                  <c:v>46.475499999999997</c:v>
                </c:pt>
                <c:pt idx="4026">
                  <c:v>46.721899999999998</c:v>
                </c:pt>
                <c:pt idx="4027">
                  <c:v>46.247</c:v>
                </c:pt>
                <c:pt idx="4028">
                  <c:v>46.101500000000001</c:v>
                </c:pt>
                <c:pt idx="4029">
                  <c:v>46.971600000000002</c:v>
                </c:pt>
                <c:pt idx="4030">
                  <c:v>47.355800000000002</c:v>
                </c:pt>
                <c:pt idx="4031">
                  <c:v>48.228200000000001</c:v>
                </c:pt>
                <c:pt idx="4032">
                  <c:v>47.332700000000003</c:v>
                </c:pt>
                <c:pt idx="4033">
                  <c:v>47.594900000000003</c:v>
                </c:pt>
                <c:pt idx="4034">
                  <c:v>47.367699999999999</c:v>
                </c:pt>
                <c:pt idx="4035">
                  <c:v>47.500500000000002</c:v>
                </c:pt>
                <c:pt idx="4036">
                  <c:v>47.761600000000001</c:v>
                </c:pt>
                <c:pt idx="4037">
                  <c:v>45.999899999999997</c:v>
                </c:pt>
                <c:pt idx="4038">
                  <c:v>45.8065</c:v>
                </c:pt>
                <c:pt idx="4039">
                  <c:v>45.45</c:v>
                </c:pt>
                <c:pt idx="4040">
                  <c:v>45.496299999999998</c:v>
                </c:pt>
                <c:pt idx="4041">
                  <c:v>45.7271</c:v>
                </c:pt>
                <c:pt idx="4042">
                  <c:v>45.313200000000002</c:v>
                </c:pt>
                <c:pt idx="4043">
                  <c:v>44.837400000000002</c:v>
                </c:pt>
                <c:pt idx="4044">
                  <c:v>44.7958</c:v>
                </c:pt>
                <c:pt idx="4045">
                  <c:v>44.334299999999999</c:v>
                </c:pt>
                <c:pt idx="4046">
                  <c:v>44.746499999999997</c:v>
                </c:pt>
                <c:pt idx="4047">
                  <c:v>44.973199999999999</c:v>
                </c:pt>
                <c:pt idx="4048">
                  <c:v>44.228900000000003</c:v>
                </c:pt>
                <c:pt idx="4049">
                  <c:v>44.421500000000002</c:v>
                </c:pt>
                <c:pt idx="4050">
                  <c:v>41.175699999999999</c:v>
                </c:pt>
                <c:pt idx="4051">
                  <c:v>43.3431</c:v>
                </c:pt>
                <c:pt idx="4052">
                  <c:v>44.684800000000003</c:v>
                </c:pt>
                <c:pt idx="4053">
                  <c:v>45.22</c:v>
                </c:pt>
                <c:pt idx="4054">
                  <c:v>44.700299999999999</c:v>
                </c:pt>
                <c:pt idx="4055">
                  <c:v>44.101399999999998</c:v>
                </c:pt>
                <c:pt idx="4056">
                  <c:v>44.141199999999998</c:v>
                </c:pt>
                <c:pt idx="4057">
                  <c:v>45.260399999999997</c:v>
                </c:pt>
                <c:pt idx="4058">
                  <c:v>45.317599999999999</c:v>
                </c:pt>
                <c:pt idx="4059">
                  <c:v>45.3093</c:v>
                </c:pt>
                <c:pt idx="4060">
                  <c:v>46.238199999999999</c:v>
                </c:pt>
                <c:pt idx="4061">
                  <c:v>46.263100000000001</c:v>
                </c:pt>
                <c:pt idx="4062">
                  <c:v>46.992400000000004</c:v>
                </c:pt>
                <c:pt idx="4063">
                  <c:v>48.509399999999999</c:v>
                </c:pt>
                <c:pt idx="4064">
                  <c:v>48.318300000000001</c:v>
                </c:pt>
                <c:pt idx="4065">
                  <c:v>49.111600000000003</c:v>
                </c:pt>
                <c:pt idx="4066">
                  <c:v>50.600999999999999</c:v>
                </c:pt>
                <c:pt idx="4067">
                  <c:v>50.661700000000003</c:v>
                </c:pt>
                <c:pt idx="4068">
                  <c:v>49.581499999999998</c:v>
                </c:pt>
                <c:pt idx="4069">
                  <c:v>52.085599999999999</c:v>
                </c:pt>
                <c:pt idx="4070">
                  <c:v>51.997100000000003</c:v>
                </c:pt>
                <c:pt idx="4071">
                  <c:v>52.676000000000002</c:v>
                </c:pt>
                <c:pt idx="4072">
                  <c:v>54.471800000000002</c:v>
                </c:pt>
                <c:pt idx="4073">
                  <c:v>54.510599999999997</c:v>
                </c:pt>
                <c:pt idx="4074">
                  <c:v>54.149500000000003</c:v>
                </c:pt>
                <c:pt idx="4075">
                  <c:v>54.575000000000003</c:v>
                </c:pt>
                <c:pt idx="4076">
                  <c:v>54.040900000000001</c:v>
                </c:pt>
                <c:pt idx="4077">
                  <c:v>53.831499999999998</c:v>
                </c:pt>
                <c:pt idx="4078">
                  <c:v>53.994300000000003</c:v>
                </c:pt>
                <c:pt idx="4079">
                  <c:v>55.493299999999998</c:v>
                </c:pt>
                <c:pt idx="4080">
                  <c:v>55.811900000000001</c:v>
                </c:pt>
                <c:pt idx="4081">
                  <c:v>54.141399999999997</c:v>
                </c:pt>
                <c:pt idx="4082">
                  <c:v>54.3446</c:v>
                </c:pt>
                <c:pt idx="4083">
                  <c:v>55.611699999999999</c:v>
                </c:pt>
                <c:pt idx="4084">
                  <c:v>55.232900000000001</c:v>
                </c:pt>
                <c:pt idx="4085">
                  <c:v>53.097799999999999</c:v>
                </c:pt>
                <c:pt idx="4086">
                  <c:v>54.751199999999997</c:v>
                </c:pt>
                <c:pt idx="4087">
                  <c:v>54.223500000000001</c:v>
                </c:pt>
                <c:pt idx="4088">
                  <c:v>53.964300000000001</c:v>
                </c:pt>
                <c:pt idx="4089">
                  <c:v>51.413600000000002</c:v>
                </c:pt>
                <c:pt idx="4090">
                  <c:v>51.011699999999998</c:v>
                </c:pt>
                <c:pt idx="4091">
                  <c:v>50.916699999999999</c:v>
                </c:pt>
                <c:pt idx="4092">
                  <c:v>50.420900000000003</c:v>
                </c:pt>
                <c:pt idx="4093">
                  <c:v>51.266399999999997</c:v>
                </c:pt>
                <c:pt idx="4094">
                  <c:v>51.910600000000002</c:v>
                </c:pt>
                <c:pt idx="4095">
                  <c:v>50.963900000000002</c:v>
                </c:pt>
                <c:pt idx="4096">
                  <c:v>49.364600000000003</c:v>
                </c:pt>
                <c:pt idx="4097">
                  <c:v>50.777799999999999</c:v>
                </c:pt>
                <c:pt idx="4098">
                  <c:v>51.423299999999998</c:v>
                </c:pt>
                <c:pt idx="4099">
                  <c:v>51.720599999999997</c:v>
                </c:pt>
                <c:pt idx="4100">
                  <c:v>48.357399999999998</c:v>
                </c:pt>
                <c:pt idx="4101">
                  <c:v>47.994500000000002</c:v>
                </c:pt>
                <c:pt idx="4102">
                  <c:v>46.043999999999997</c:v>
                </c:pt>
                <c:pt idx="4103">
                  <c:v>45.304900000000004</c:v>
                </c:pt>
                <c:pt idx="4104">
                  <c:v>44.758299999999998</c:v>
                </c:pt>
                <c:pt idx="4105">
                  <c:v>45.615299999999998</c:v>
                </c:pt>
                <c:pt idx="4106">
                  <c:v>45.9694</c:v>
                </c:pt>
                <c:pt idx="4107">
                  <c:v>45.268900000000002</c:v>
                </c:pt>
                <c:pt idx="4108">
                  <c:v>44.281300000000002</c:v>
                </c:pt>
                <c:pt idx="4109">
                  <c:v>44.689399999999999</c:v>
                </c:pt>
                <c:pt idx="4110">
                  <c:v>43.563299999999998</c:v>
                </c:pt>
                <c:pt idx="4111">
                  <c:v>43.272399999999998</c:v>
                </c:pt>
                <c:pt idx="4112">
                  <c:v>42.142699999999998</c:v>
                </c:pt>
                <c:pt idx="4113">
                  <c:v>41.918799999999997</c:v>
                </c:pt>
                <c:pt idx="4114">
                  <c:v>42.195</c:v>
                </c:pt>
                <c:pt idx="4115">
                  <c:v>43.374499999999998</c:v>
                </c:pt>
                <c:pt idx="4116">
                  <c:v>43.071599999999997</c:v>
                </c:pt>
                <c:pt idx="4117">
                  <c:v>44.501300000000001</c:v>
                </c:pt>
                <c:pt idx="4118">
                  <c:v>43.9739</c:v>
                </c:pt>
                <c:pt idx="4119">
                  <c:v>44.683999999999997</c:v>
                </c:pt>
                <c:pt idx="4120">
                  <c:v>43.008099999999999</c:v>
                </c:pt>
                <c:pt idx="4121">
                  <c:v>41.382899999999999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0-4EDD-A16D-393EBB7DA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604848"/>
        <c:axId val="444638576"/>
      </c:scatterChart>
      <c:valAx>
        <c:axId val="45360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38576"/>
        <c:crosses val="autoZero"/>
        <c:crossBetween val="midCat"/>
      </c:valAx>
      <c:valAx>
        <c:axId val="4446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60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056239946585613E-2"/>
          <c:y val="0.10337106872118285"/>
          <c:w val="0.95385427189161232"/>
          <c:h val="0.8483314019709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691030195219223"/>
                  <c:y val="0.104348583318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Sheet5!$C$3:$C$4124</c:f>
              <c:numCache>
                <c:formatCode>General</c:formatCode>
                <c:ptCount val="4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</c:numCache>
            </c:numRef>
          </c:xVal>
          <c:yVal>
            <c:numRef>
              <c:f>Sheet5!$D$3:$D$4124</c:f>
              <c:numCache>
                <c:formatCode>General</c:formatCode>
                <c:ptCount val="4122"/>
                <c:pt idx="0">
                  <c:v>54.078699999999998</c:v>
                </c:pt>
                <c:pt idx="1">
                  <c:v>53.142299999999999</c:v>
                </c:pt>
                <c:pt idx="2">
                  <c:v>49.4574</c:v>
                </c:pt>
                <c:pt idx="3">
                  <c:v>50.122199999999999</c:v>
                </c:pt>
                <c:pt idx="4">
                  <c:v>49.9816</c:v>
                </c:pt>
                <c:pt idx="5">
                  <c:v>50.705599999999997</c:v>
                </c:pt>
                <c:pt idx="6">
                  <c:v>50.991900000000001</c:v>
                </c:pt>
                <c:pt idx="7">
                  <c:v>51.821899999999999</c:v>
                </c:pt>
                <c:pt idx="8">
                  <c:v>52.267499999999998</c:v>
                </c:pt>
                <c:pt idx="9">
                  <c:v>53.318899999999999</c:v>
                </c:pt>
                <c:pt idx="10">
                  <c:v>53.554000000000002</c:v>
                </c:pt>
                <c:pt idx="11">
                  <c:v>53.479500000000002</c:v>
                </c:pt>
                <c:pt idx="12">
                  <c:v>53.258000000000003</c:v>
                </c:pt>
                <c:pt idx="13">
                  <c:v>52.917299999999997</c:v>
                </c:pt>
                <c:pt idx="14">
                  <c:v>53.288699999999999</c:v>
                </c:pt>
                <c:pt idx="15">
                  <c:v>55.4114</c:v>
                </c:pt>
                <c:pt idx="16">
                  <c:v>54.594200000000001</c:v>
                </c:pt>
                <c:pt idx="17">
                  <c:v>53.017200000000003</c:v>
                </c:pt>
                <c:pt idx="18">
                  <c:v>52.692999999999998</c:v>
                </c:pt>
                <c:pt idx="19">
                  <c:v>53.0015</c:v>
                </c:pt>
                <c:pt idx="20">
                  <c:v>54.460500000000003</c:v>
                </c:pt>
                <c:pt idx="21">
                  <c:v>53.723500000000001</c:v>
                </c:pt>
                <c:pt idx="22">
                  <c:v>52.914700000000003</c:v>
                </c:pt>
                <c:pt idx="23">
                  <c:v>52.725200000000001</c:v>
                </c:pt>
                <c:pt idx="24">
                  <c:v>53.862000000000002</c:v>
                </c:pt>
                <c:pt idx="25">
                  <c:v>52.507399999999997</c:v>
                </c:pt>
                <c:pt idx="26">
                  <c:v>51.672699999999999</c:v>
                </c:pt>
                <c:pt idx="27">
                  <c:v>51.178600000000003</c:v>
                </c:pt>
                <c:pt idx="28">
                  <c:v>51.258699999999997</c:v>
                </c:pt>
                <c:pt idx="29">
                  <c:v>51.637300000000003</c:v>
                </c:pt>
                <c:pt idx="30">
                  <c:v>52.625599999999999</c:v>
                </c:pt>
                <c:pt idx="31">
                  <c:v>51.81</c:v>
                </c:pt>
                <c:pt idx="32">
                  <c:v>52.046900000000001</c:v>
                </c:pt>
                <c:pt idx="33">
                  <c:v>50.872</c:v>
                </c:pt>
                <c:pt idx="34">
                  <c:v>49.8065</c:v>
                </c:pt>
                <c:pt idx="35">
                  <c:v>48.7958</c:v>
                </c:pt>
                <c:pt idx="36">
                  <c:v>49.614800000000002</c:v>
                </c:pt>
                <c:pt idx="37">
                  <c:v>50.559199999999997</c:v>
                </c:pt>
                <c:pt idx="38">
                  <c:v>52.320099999999996</c:v>
                </c:pt>
                <c:pt idx="39">
                  <c:v>52.357799999999997</c:v>
                </c:pt>
                <c:pt idx="40">
                  <c:v>50.905000000000001</c:v>
                </c:pt>
                <c:pt idx="41">
                  <c:v>51.6068</c:v>
                </c:pt>
                <c:pt idx="42">
                  <c:v>52.1967</c:v>
                </c:pt>
                <c:pt idx="43">
                  <c:v>51.955599999999997</c:v>
                </c:pt>
                <c:pt idx="44">
                  <c:v>50.799199999999999</c:v>
                </c:pt>
                <c:pt idx="45">
                  <c:v>50.056199999999997</c:v>
                </c:pt>
                <c:pt idx="46">
                  <c:v>48.921799999999998</c:v>
                </c:pt>
                <c:pt idx="47">
                  <c:v>49.399700000000003</c:v>
                </c:pt>
                <c:pt idx="48">
                  <c:v>47.901400000000002</c:v>
                </c:pt>
                <c:pt idx="49">
                  <c:v>47.0642</c:v>
                </c:pt>
                <c:pt idx="50">
                  <c:v>46.998800000000003</c:v>
                </c:pt>
                <c:pt idx="51">
                  <c:v>45.089199999999998</c:v>
                </c:pt>
                <c:pt idx="52">
                  <c:v>45.744599999999998</c:v>
                </c:pt>
                <c:pt idx="53">
                  <c:v>44.888300000000001</c:v>
                </c:pt>
                <c:pt idx="54">
                  <c:v>45.13</c:v>
                </c:pt>
                <c:pt idx="55">
                  <c:v>44.398899999999998</c:v>
                </c:pt>
                <c:pt idx="56">
                  <c:v>44.612400000000001</c:v>
                </c:pt>
                <c:pt idx="57">
                  <c:v>43.0105</c:v>
                </c:pt>
                <c:pt idx="58">
                  <c:v>41.3566</c:v>
                </c:pt>
                <c:pt idx="59">
                  <c:v>43.3232</c:v>
                </c:pt>
                <c:pt idx="60">
                  <c:v>45.2746</c:v>
                </c:pt>
                <c:pt idx="61">
                  <c:v>44.339100000000002</c:v>
                </c:pt>
                <c:pt idx="62">
                  <c:v>44.570599999999999</c:v>
                </c:pt>
                <c:pt idx="63">
                  <c:v>45.113999999999997</c:v>
                </c:pt>
                <c:pt idx="64">
                  <c:v>44.364100000000001</c:v>
                </c:pt>
                <c:pt idx="65">
                  <c:v>44.240299999999998</c:v>
                </c:pt>
                <c:pt idx="66">
                  <c:v>42.793700000000001</c:v>
                </c:pt>
                <c:pt idx="67">
                  <c:v>42.4559</c:v>
                </c:pt>
                <c:pt idx="68">
                  <c:v>41.168199999999999</c:v>
                </c:pt>
                <c:pt idx="69">
                  <c:v>39.895800000000001</c:v>
                </c:pt>
                <c:pt idx="70">
                  <c:v>37.429400000000001</c:v>
                </c:pt>
                <c:pt idx="71">
                  <c:v>35.7181</c:v>
                </c:pt>
                <c:pt idx="72">
                  <c:v>36.149299999999997</c:v>
                </c:pt>
                <c:pt idx="73">
                  <c:v>37.571300000000001</c:v>
                </c:pt>
                <c:pt idx="74">
                  <c:v>39.1096</c:v>
                </c:pt>
                <c:pt idx="75">
                  <c:v>38.2453</c:v>
                </c:pt>
                <c:pt idx="76">
                  <c:v>37.286700000000003</c:v>
                </c:pt>
                <c:pt idx="77">
                  <c:v>37.087400000000002</c:v>
                </c:pt>
                <c:pt idx="78">
                  <c:v>36.130499999999998</c:v>
                </c:pt>
                <c:pt idx="79">
                  <c:v>34.456400000000002</c:v>
                </c:pt>
                <c:pt idx="80">
                  <c:v>37.400199999999998</c:v>
                </c:pt>
                <c:pt idx="81">
                  <c:v>38.372399999999999</c:v>
                </c:pt>
                <c:pt idx="82">
                  <c:v>40.167000000000002</c:v>
                </c:pt>
                <c:pt idx="83">
                  <c:v>41.7744</c:v>
                </c:pt>
                <c:pt idx="84">
                  <c:v>41.996099999999998</c:v>
                </c:pt>
                <c:pt idx="85">
                  <c:v>41.472499999999997</c:v>
                </c:pt>
                <c:pt idx="86">
                  <c:v>40.612299999999998</c:v>
                </c:pt>
                <c:pt idx="87">
                  <c:v>40.185400000000001</c:v>
                </c:pt>
                <c:pt idx="88">
                  <c:v>41.7087</c:v>
                </c:pt>
                <c:pt idx="89">
                  <c:v>41.556699999999999</c:v>
                </c:pt>
                <c:pt idx="90">
                  <c:v>41.766100000000002</c:v>
                </c:pt>
                <c:pt idx="91">
                  <c:v>41.8322</c:v>
                </c:pt>
                <c:pt idx="92">
                  <c:v>41.817799999999998</c:v>
                </c:pt>
                <c:pt idx="93">
                  <c:v>42.576799999999999</c:v>
                </c:pt>
                <c:pt idx="94">
                  <c:v>43.2209</c:v>
                </c:pt>
                <c:pt idx="95">
                  <c:v>41.566899999999997</c:v>
                </c:pt>
                <c:pt idx="96">
                  <c:v>41.026800000000001</c:v>
                </c:pt>
                <c:pt idx="97">
                  <c:v>41.1143</c:v>
                </c:pt>
                <c:pt idx="98">
                  <c:v>42.094099999999997</c:v>
                </c:pt>
                <c:pt idx="99">
                  <c:v>44.334200000000003</c:v>
                </c:pt>
                <c:pt idx="100">
                  <c:v>45.4086</c:v>
                </c:pt>
                <c:pt idx="101">
                  <c:v>45.609499999999997</c:v>
                </c:pt>
                <c:pt idx="102">
                  <c:v>47.693399999999997</c:v>
                </c:pt>
                <c:pt idx="103">
                  <c:v>48.008899999999997</c:v>
                </c:pt>
                <c:pt idx="104">
                  <c:v>49.045999999999999</c:v>
                </c:pt>
                <c:pt idx="105">
                  <c:v>50.868099999999998</c:v>
                </c:pt>
                <c:pt idx="106">
                  <c:v>49.999299999999998</c:v>
                </c:pt>
                <c:pt idx="107">
                  <c:v>50.514400000000002</c:v>
                </c:pt>
                <c:pt idx="108">
                  <c:v>49.851300000000002</c:v>
                </c:pt>
                <c:pt idx="109">
                  <c:v>50.177900000000001</c:v>
                </c:pt>
                <c:pt idx="110">
                  <c:v>52.485199999999999</c:v>
                </c:pt>
                <c:pt idx="111">
                  <c:v>50.178100000000001</c:v>
                </c:pt>
                <c:pt idx="112">
                  <c:v>48.956699999999998</c:v>
                </c:pt>
                <c:pt idx="113">
                  <c:v>49.465000000000003</c:v>
                </c:pt>
                <c:pt idx="114">
                  <c:v>49.481699999999996</c:v>
                </c:pt>
                <c:pt idx="115">
                  <c:v>49.513800000000003</c:v>
                </c:pt>
                <c:pt idx="116">
                  <c:v>50.049900000000001</c:v>
                </c:pt>
                <c:pt idx="117">
                  <c:v>51.145400000000002</c:v>
                </c:pt>
                <c:pt idx="118">
                  <c:v>50.3474</c:v>
                </c:pt>
                <c:pt idx="119">
                  <c:v>51.017600000000002</c:v>
                </c:pt>
                <c:pt idx="120">
                  <c:v>50.817500000000003</c:v>
                </c:pt>
                <c:pt idx="121">
                  <c:v>52.395800000000001</c:v>
                </c:pt>
                <c:pt idx="122">
                  <c:v>50.826900000000002</c:v>
                </c:pt>
                <c:pt idx="123">
                  <c:v>51.816699999999997</c:v>
                </c:pt>
                <c:pt idx="124">
                  <c:v>51.476399999999998</c:v>
                </c:pt>
                <c:pt idx="125">
                  <c:v>53.492199999999997</c:v>
                </c:pt>
                <c:pt idx="126">
                  <c:v>54.444299999999998</c:v>
                </c:pt>
                <c:pt idx="127">
                  <c:v>54.855200000000004</c:v>
                </c:pt>
                <c:pt idx="128">
                  <c:v>56.050600000000003</c:v>
                </c:pt>
                <c:pt idx="129">
                  <c:v>58.748399999999997</c:v>
                </c:pt>
                <c:pt idx="130">
                  <c:v>58.0199</c:v>
                </c:pt>
                <c:pt idx="131">
                  <c:v>57.433500000000002</c:v>
                </c:pt>
                <c:pt idx="132">
                  <c:v>58.601999999999997</c:v>
                </c:pt>
                <c:pt idx="133">
                  <c:v>58.433900000000001</c:v>
                </c:pt>
                <c:pt idx="134">
                  <c:v>58.4285</c:v>
                </c:pt>
                <c:pt idx="135">
                  <c:v>57.064399999999999</c:v>
                </c:pt>
                <c:pt idx="136">
                  <c:v>56.299300000000002</c:v>
                </c:pt>
                <c:pt idx="137">
                  <c:v>56.699300000000001</c:v>
                </c:pt>
                <c:pt idx="138">
                  <c:v>56.305100000000003</c:v>
                </c:pt>
                <c:pt idx="139">
                  <c:v>57.210099999999997</c:v>
                </c:pt>
                <c:pt idx="140">
                  <c:v>56.5901</c:v>
                </c:pt>
                <c:pt idx="141">
                  <c:v>57.464799999999997</c:v>
                </c:pt>
                <c:pt idx="142">
                  <c:v>56.662500000000001</c:v>
                </c:pt>
                <c:pt idx="143">
                  <c:v>55.797899999999998</c:v>
                </c:pt>
                <c:pt idx="144">
                  <c:v>55.691699999999997</c:v>
                </c:pt>
                <c:pt idx="145">
                  <c:v>55.933100000000003</c:v>
                </c:pt>
                <c:pt idx="146">
                  <c:v>55.592399999999998</c:v>
                </c:pt>
                <c:pt idx="147">
                  <c:v>54.886299999999999</c:v>
                </c:pt>
                <c:pt idx="148">
                  <c:v>54.037100000000002</c:v>
                </c:pt>
                <c:pt idx="149">
                  <c:v>51.999699999999997</c:v>
                </c:pt>
                <c:pt idx="150">
                  <c:v>48.593499999999999</c:v>
                </c:pt>
                <c:pt idx="151">
                  <c:v>47.485700000000001</c:v>
                </c:pt>
                <c:pt idx="152">
                  <c:v>47.915300000000002</c:v>
                </c:pt>
                <c:pt idx="153">
                  <c:v>45.878500000000003</c:v>
                </c:pt>
                <c:pt idx="154">
                  <c:v>46.180799999999998</c:v>
                </c:pt>
                <c:pt idx="155">
                  <c:v>46.447800000000001</c:v>
                </c:pt>
                <c:pt idx="156">
                  <c:v>47.3658</c:v>
                </c:pt>
                <c:pt idx="157">
                  <c:v>46.689300000000003</c:v>
                </c:pt>
                <c:pt idx="158">
                  <c:v>47.556899999999999</c:v>
                </c:pt>
                <c:pt idx="159">
                  <c:v>47.125300000000003</c:v>
                </c:pt>
                <c:pt idx="160">
                  <c:v>47.879100000000001</c:v>
                </c:pt>
                <c:pt idx="161">
                  <c:v>48.2913</c:v>
                </c:pt>
                <c:pt idx="162">
                  <c:v>49.460900000000002</c:v>
                </c:pt>
                <c:pt idx="163">
                  <c:v>50.454999999999998</c:v>
                </c:pt>
                <c:pt idx="164">
                  <c:v>51.137599999999999</c:v>
                </c:pt>
                <c:pt idx="165">
                  <c:v>49.587600000000002</c:v>
                </c:pt>
                <c:pt idx="166">
                  <c:v>48.731699999999996</c:v>
                </c:pt>
                <c:pt idx="167">
                  <c:v>49.546799999999998</c:v>
                </c:pt>
                <c:pt idx="168">
                  <c:v>49.697000000000003</c:v>
                </c:pt>
                <c:pt idx="169">
                  <c:v>50.045299999999997</c:v>
                </c:pt>
                <c:pt idx="170">
                  <c:v>50.511200000000002</c:v>
                </c:pt>
                <c:pt idx="171">
                  <c:v>50.399799999999999</c:v>
                </c:pt>
                <c:pt idx="172">
                  <c:v>47.769399999999997</c:v>
                </c:pt>
                <c:pt idx="173">
                  <c:v>48.230899999999998</c:v>
                </c:pt>
                <c:pt idx="174">
                  <c:v>48.6646</c:v>
                </c:pt>
                <c:pt idx="175">
                  <c:v>47.806800000000003</c:v>
                </c:pt>
                <c:pt idx="176">
                  <c:v>48.542000000000002</c:v>
                </c:pt>
                <c:pt idx="177">
                  <c:v>48.275399999999998</c:v>
                </c:pt>
                <c:pt idx="178">
                  <c:v>47.081600000000002</c:v>
                </c:pt>
                <c:pt idx="179">
                  <c:v>46.839100000000002</c:v>
                </c:pt>
                <c:pt idx="180">
                  <c:v>46.631599999999999</c:v>
                </c:pt>
                <c:pt idx="181">
                  <c:v>44.539700000000003</c:v>
                </c:pt>
                <c:pt idx="182">
                  <c:v>45.2333</c:v>
                </c:pt>
                <c:pt idx="183">
                  <c:v>44.426099999999998</c:v>
                </c:pt>
                <c:pt idx="184">
                  <c:v>45.003799999999998</c:v>
                </c:pt>
                <c:pt idx="185">
                  <c:v>46.976300000000002</c:v>
                </c:pt>
                <c:pt idx="186">
                  <c:v>47.3245</c:v>
                </c:pt>
                <c:pt idx="187">
                  <c:v>45.4773</c:v>
                </c:pt>
                <c:pt idx="188">
                  <c:v>45.713200000000001</c:v>
                </c:pt>
                <c:pt idx="189">
                  <c:v>45.573099999999997</c:v>
                </c:pt>
                <c:pt idx="190">
                  <c:v>46.319099999999999</c:v>
                </c:pt>
                <c:pt idx="191">
                  <c:v>45.3187</c:v>
                </c:pt>
                <c:pt idx="192">
                  <c:v>44.435099999999998</c:v>
                </c:pt>
                <c:pt idx="193">
                  <c:v>44.064100000000003</c:v>
                </c:pt>
                <c:pt idx="194">
                  <c:v>43.125300000000003</c:v>
                </c:pt>
                <c:pt idx="195">
                  <c:v>43.665399999999998</c:v>
                </c:pt>
                <c:pt idx="196">
                  <c:v>43.231499999999997</c:v>
                </c:pt>
                <c:pt idx="197">
                  <c:v>43.5456</c:v>
                </c:pt>
                <c:pt idx="198">
                  <c:v>42.817999999999998</c:v>
                </c:pt>
                <c:pt idx="199">
                  <c:v>43.345599999999997</c:v>
                </c:pt>
                <c:pt idx="200">
                  <c:v>42.605699999999999</c:v>
                </c:pt>
                <c:pt idx="201">
                  <c:v>42.639899999999997</c:v>
                </c:pt>
                <c:pt idx="202">
                  <c:v>41.622399999999999</c:v>
                </c:pt>
                <c:pt idx="203">
                  <c:v>41.692799999999998</c:v>
                </c:pt>
                <c:pt idx="204">
                  <c:v>43.1569</c:v>
                </c:pt>
                <c:pt idx="205">
                  <c:v>43.798400000000001</c:v>
                </c:pt>
                <c:pt idx="206">
                  <c:v>44.037300000000002</c:v>
                </c:pt>
                <c:pt idx="207">
                  <c:v>44.2136</c:v>
                </c:pt>
                <c:pt idx="208">
                  <c:v>44.204500000000003</c:v>
                </c:pt>
                <c:pt idx="209">
                  <c:v>43.660499999999999</c:v>
                </c:pt>
                <c:pt idx="210">
                  <c:v>44.061900000000001</c:v>
                </c:pt>
                <c:pt idx="211">
                  <c:v>45.130400000000002</c:v>
                </c:pt>
                <c:pt idx="212">
                  <c:v>45.582500000000003</c:v>
                </c:pt>
                <c:pt idx="213">
                  <c:v>46.255499999999998</c:v>
                </c:pt>
                <c:pt idx="214">
                  <c:v>45.8367</c:v>
                </c:pt>
                <c:pt idx="215">
                  <c:v>46.603099999999998</c:v>
                </c:pt>
                <c:pt idx="216">
                  <c:v>47.632300000000001</c:v>
                </c:pt>
                <c:pt idx="217">
                  <c:v>47.2057</c:v>
                </c:pt>
                <c:pt idx="218">
                  <c:v>46.973100000000002</c:v>
                </c:pt>
                <c:pt idx="219">
                  <c:v>47.897599999999997</c:v>
                </c:pt>
                <c:pt idx="220">
                  <c:v>46.994999999999997</c:v>
                </c:pt>
                <c:pt idx="221">
                  <c:v>47.859000000000002</c:v>
                </c:pt>
                <c:pt idx="222">
                  <c:v>47.660699999999999</c:v>
                </c:pt>
                <c:pt idx="223">
                  <c:v>47.549100000000003</c:v>
                </c:pt>
                <c:pt idx="224">
                  <c:v>50.318100000000001</c:v>
                </c:pt>
                <c:pt idx="225">
                  <c:v>51.132800000000003</c:v>
                </c:pt>
                <c:pt idx="226">
                  <c:v>51.164499999999997</c:v>
                </c:pt>
                <c:pt idx="227">
                  <c:v>52.138599999999997</c:v>
                </c:pt>
                <c:pt idx="228">
                  <c:v>50.640599999999999</c:v>
                </c:pt>
                <c:pt idx="229">
                  <c:v>49.522599999999997</c:v>
                </c:pt>
                <c:pt idx="230">
                  <c:v>48.222799999999999</c:v>
                </c:pt>
                <c:pt idx="231">
                  <c:v>47.706499999999998</c:v>
                </c:pt>
                <c:pt idx="232">
                  <c:v>47.361600000000003</c:v>
                </c:pt>
                <c:pt idx="233">
                  <c:v>47.824399999999997</c:v>
                </c:pt>
                <c:pt idx="234">
                  <c:v>48.036000000000001</c:v>
                </c:pt>
                <c:pt idx="235">
                  <c:v>48.212200000000003</c:v>
                </c:pt>
                <c:pt idx="236">
                  <c:v>50.209299999999999</c:v>
                </c:pt>
                <c:pt idx="237">
                  <c:v>48.441600000000001</c:v>
                </c:pt>
                <c:pt idx="238">
                  <c:v>48.732399999999998</c:v>
                </c:pt>
                <c:pt idx="239">
                  <c:v>49.186799999999998</c:v>
                </c:pt>
                <c:pt idx="240">
                  <c:v>49.109499999999997</c:v>
                </c:pt>
                <c:pt idx="241">
                  <c:v>49.97</c:v>
                </c:pt>
                <c:pt idx="242">
                  <c:v>48.633200000000002</c:v>
                </c:pt>
                <c:pt idx="243">
                  <c:v>48.075299999999999</c:v>
                </c:pt>
                <c:pt idx="244">
                  <c:v>48.226300000000002</c:v>
                </c:pt>
                <c:pt idx="245">
                  <c:v>47.741900000000001</c:v>
                </c:pt>
                <c:pt idx="246">
                  <c:v>48.734099999999998</c:v>
                </c:pt>
                <c:pt idx="247">
                  <c:v>49.330599999999997</c:v>
                </c:pt>
                <c:pt idx="248">
                  <c:v>49.491900000000001</c:v>
                </c:pt>
                <c:pt idx="249">
                  <c:v>49.252099999999999</c:v>
                </c:pt>
                <c:pt idx="250">
                  <c:v>48.191200000000002</c:v>
                </c:pt>
                <c:pt idx="251">
                  <c:v>48.272399999999998</c:v>
                </c:pt>
                <c:pt idx="252">
                  <c:v>48.224800000000002</c:v>
                </c:pt>
                <c:pt idx="253">
                  <c:v>48.207299999999996</c:v>
                </c:pt>
                <c:pt idx="254">
                  <c:v>47.495600000000003</c:v>
                </c:pt>
                <c:pt idx="255">
                  <c:v>45.843699999999998</c:v>
                </c:pt>
                <c:pt idx="256">
                  <c:v>43.4223</c:v>
                </c:pt>
                <c:pt idx="257">
                  <c:v>42.855800000000002</c:v>
                </c:pt>
                <c:pt idx="258">
                  <c:v>44.035899999999998</c:v>
                </c:pt>
                <c:pt idx="259">
                  <c:v>43.47</c:v>
                </c:pt>
                <c:pt idx="260">
                  <c:v>42.497</c:v>
                </c:pt>
                <c:pt idx="261">
                  <c:v>44.610500000000002</c:v>
                </c:pt>
                <c:pt idx="262">
                  <c:v>46.560499999999998</c:v>
                </c:pt>
                <c:pt idx="263">
                  <c:v>45.249699999999997</c:v>
                </c:pt>
                <c:pt idx="264">
                  <c:v>44.523099999999999</c:v>
                </c:pt>
                <c:pt idx="265">
                  <c:v>43.0886</c:v>
                </c:pt>
                <c:pt idx="266">
                  <c:v>43.456299999999999</c:v>
                </c:pt>
                <c:pt idx="267">
                  <c:v>43.741700000000002</c:v>
                </c:pt>
                <c:pt idx="268">
                  <c:v>43.609400000000001</c:v>
                </c:pt>
                <c:pt idx="269">
                  <c:v>43.508800000000001</c:v>
                </c:pt>
                <c:pt idx="270">
                  <c:v>45.209299999999999</c:v>
                </c:pt>
                <c:pt idx="271">
                  <c:v>44.744199999999999</c:v>
                </c:pt>
                <c:pt idx="272">
                  <c:v>43.602800000000002</c:v>
                </c:pt>
                <c:pt idx="273">
                  <c:v>45.005600000000001</c:v>
                </c:pt>
                <c:pt idx="274">
                  <c:v>46.631100000000004</c:v>
                </c:pt>
                <c:pt idx="275">
                  <c:v>45.2074</c:v>
                </c:pt>
                <c:pt idx="276">
                  <c:v>45.212699999999998</c:v>
                </c:pt>
                <c:pt idx="277">
                  <c:v>45.709200000000003</c:v>
                </c:pt>
                <c:pt idx="278">
                  <c:v>45.773800000000001</c:v>
                </c:pt>
                <c:pt idx="279">
                  <c:v>47.049300000000002</c:v>
                </c:pt>
                <c:pt idx="280">
                  <c:v>47.094299999999997</c:v>
                </c:pt>
                <c:pt idx="281">
                  <c:v>47.373600000000003</c:v>
                </c:pt>
                <c:pt idx="282">
                  <c:v>46.520099999999999</c:v>
                </c:pt>
                <c:pt idx="283">
                  <c:v>46.853700000000003</c:v>
                </c:pt>
                <c:pt idx="284">
                  <c:v>46.5349</c:v>
                </c:pt>
                <c:pt idx="285">
                  <c:v>46.037799999999997</c:v>
                </c:pt>
                <c:pt idx="286">
                  <c:v>45.885100000000001</c:v>
                </c:pt>
                <c:pt idx="287">
                  <c:v>45.964500000000001</c:v>
                </c:pt>
                <c:pt idx="288">
                  <c:v>45.771299999999997</c:v>
                </c:pt>
                <c:pt idx="289">
                  <c:v>43.679600000000001</c:v>
                </c:pt>
                <c:pt idx="290">
                  <c:v>41.826500000000003</c:v>
                </c:pt>
                <c:pt idx="291">
                  <c:v>42.089700000000001</c:v>
                </c:pt>
                <c:pt idx="292">
                  <c:v>41.396700000000003</c:v>
                </c:pt>
                <c:pt idx="293">
                  <c:v>42.181100000000001</c:v>
                </c:pt>
                <c:pt idx="294">
                  <c:v>42.582599999999999</c:v>
                </c:pt>
                <c:pt idx="295">
                  <c:v>42.668399999999998</c:v>
                </c:pt>
                <c:pt idx="296">
                  <c:v>42.928400000000003</c:v>
                </c:pt>
                <c:pt idx="297">
                  <c:v>43.442500000000003</c:v>
                </c:pt>
                <c:pt idx="298">
                  <c:v>42.981699999999996</c:v>
                </c:pt>
                <c:pt idx="299">
                  <c:v>40.68</c:v>
                </c:pt>
                <c:pt idx="300">
                  <c:v>40.0565</c:v>
                </c:pt>
                <c:pt idx="301">
                  <c:v>40.07</c:v>
                </c:pt>
                <c:pt idx="302">
                  <c:v>38.570599999999999</c:v>
                </c:pt>
                <c:pt idx="303">
                  <c:v>36.665599999999998</c:v>
                </c:pt>
                <c:pt idx="304">
                  <c:v>35.112499999999997</c:v>
                </c:pt>
                <c:pt idx="305">
                  <c:v>34.620199999999997</c:v>
                </c:pt>
                <c:pt idx="306">
                  <c:v>35.526800000000001</c:v>
                </c:pt>
                <c:pt idx="307">
                  <c:v>36.0137</c:v>
                </c:pt>
                <c:pt idx="308">
                  <c:v>36.591700000000003</c:v>
                </c:pt>
                <c:pt idx="309">
                  <c:v>37.039900000000003</c:v>
                </c:pt>
                <c:pt idx="310">
                  <c:v>37.075200000000002</c:v>
                </c:pt>
                <c:pt idx="311">
                  <c:v>35.946599999999997</c:v>
                </c:pt>
                <c:pt idx="312">
                  <c:v>36.097799999999999</c:v>
                </c:pt>
                <c:pt idx="313">
                  <c:v>35.6755</c:v>
                </c:pt>
                <c:pt idx="314">
                  <c:v>35.424300000000002</c:v>
                </c:pt>
                <c:pt idx="315">
                  <c:v>34.703600000000002</c:v>
                </c:pt>
                <c:pt idx="316">
                  <c:v>34.361499999999999</c:v>
                </c:pt>
                <c:pt idx="317">
                  <c:v>33.781999999999996</c:v>
                </c:pt>
                <c:pt idx="318">
                  <c:v>33.947200000000002</c:v>
                </c:pt>
                <c:pt idx="319">
                  <c:v>34.376100000000001</c:v>
                </c:pt>
                <c:pt idx="320">
                  <c:v>34.417099999999998</c:v>
                </c:pt>
                <c:pt idx="321">
                  <c:v>33.844499999999996</c:v>
                </c:pt>
                <c:pt idx="322">
                  <c:v>34.0336</c:v>
                </c:pt>
                <c:pt idx="323">
                  <c:v>33.916499999999999</c:v>
                </c:pt>
                <c:pt idx="324">
                  <c:v>33.703499999999998</c:v>
                </c:pt>
                <c:pt idx="325">
                  <c:v>33.651600000000002</c:v>
                </c:pt>
                <c:pt idx="326">
                  <c:v>32.528100000000002</c:v>
                </c:pt>
                <c:pt idx="327">
                  <c:v>32.703400000000002</c:v>
                </c:pt>
                <c:pt idx="328">
                  <c:v>32.4283</c:v>
                </c:pt>
                <c:pt idx="329">
                  <c:v>32.258899999999997</c:v>
                </c:pt>
                <c:pt idx="330">
                  <c:v>31.423400000000001</c:v>
                </c:pt>
                <c:pt idx="331">
                  <c:v>30.898199999999999</c:v>
                </c:pt>
                <c:pt idx="332">
                  <c:v>31.137899999999998</c:v>
                </c:pt>
                <c:pt idx="333">
                  <c:v>30.825099999999999</c:v>
                </c:pt>
                <c:pt idx="334">
                  <c:v>30.571899999999999</c:v>
                </c:pt>
                <c:pt idx="335">
                  <c:v>29.403300000000002</c:v>
                </c:pt>
                <c:pt idx="336">
                  <c:v>28.899899999999999</c:v>
                </c:pt>
                <c:pt idx="337">
                  <c:v>28.709700000000002</c:v>
                </c:pt>
                <c:pt idx="338">
                  <c:v>28.5976</c:v>
                </c:pt>
                <c:pt idx="339">
                  <c:v>28.0379</c:v>
                </c:pt>
                <c:pt idx="340">
                  <c:v>28.088200000000001</c:v>
                </c:pt>
                <c:pt idx="341">
                  <c:v>29.460999999999999</c:v>
                </c:pt>
                <c:pt idx="342">
                  <c:v>28.354099999999999</c:v>
                </c:pt>
                <c:pt idx="343">
                  <c:v>28.4969</c:v>
                </c:pt>
                <c:pt idx="344">
                  <c:v>28.98</c:v>
                </c:pt>
                <c:pt idx="345">
                  <c:v>23.561800000000002</c:v>
                </c:pt>
                <c:pt idx="346">
                  <c:v>24.238</c:v>
                </c:pt>
                <c:pt idx="347">
                  <c:v>22.930499999999999</c:v>
                </c:pt>
                <c:pt idx="348">
                  <c:v>23.169499999999999</c:v>
                </c:pt>
                <c:pt idx="349">
                  <c:v>24.439599999999999</c:v>
                </c:pt>
                <c:pt idx="350">
                  <c:v>23.689800000000002</c:v>
                </c:pt>
                <c:pt idx="351">
                  <c:v>22.825900000000001</c:v>
                </c:pt>
                <c:pt idx="352">
                  <c:v>23.2761</c:v>
                </c:pt>
                <c:pt idx="353">
                  <c:v>23.561599999999999</c:v>
                </c:pt>
                <c:pt idx="354">
                  <c:v>23.5657</c:v>
                </c:pt>
                <c:pt idx="355">
                  <c:v>22.817900000000002</c:v>
                </c:pt>
                <c:pt idx="356">
                  <c:v>22.097100000000001</c:v>
                </c:pt>
                <c:pt idx="357">
                  <c:v>21.161999999999999</c:v>
                </c:pt>
                <c:pt idx="358">
                  <c:v>23.557099999999998</c:v>
                </c:pt>
                <c:pt idx="359">
                  <c:v>25.983599999999999</c:v>
                </c:pt>
                <c:pt idx="360">
                  <c:v>25.790600000000001</c:v>
                </c:pt>
                <c:pt idx="361">
                  <c:v>24.764700000000001</c:v>
                </c:pt>
                <c:pt idx="362">
                  <c:v>24.055299999999999</c:v>
                </c:pt>
                <c:pt idx="363">
                  <c:v>22.3781</c:v>
                </c:pt>
                <c:pt idx="364">
                  <c:v>22.283300000000001</c:v>
                </c:pt>
                <c:pt idx="365">
                  <c:v>21.634499999999999</c:v>
                </c:pt>
                <c:pt idx="366">
                  <c:v>21.108000000000001</c:v>
                </c:pt>
                <c:pt idx="367">
                  <c:v>22.066600000000001</c:v>
                </c:pt>
                <c:pt idx="368">
                  <c:v>22.812200000000001</c:v>
                </c:pt>
                <c:pt idx="369">
                  <c:v>22.992799999999999</c:v>
                </c:pt>
                <c:pt idx="370">
                  <c:v>22.407499999999999</c:v>
                </c:pt>
                <c:pt idx="371">
                  <c:v>21.380600000000001</c:v>
                </c:pt>
                <c:pt idx="372">
                  <c:v>21.372699999999998</c:v>
                </c:pt>
                <c:pt idx="373">
                  <c:v>21.736799999999999</c:v>
                </c:pt>
                <c:pt idx="374">
                  <c:v>22.174399999999999</c:v>
                </c:pt>
                <c:pt idx="375">
                  <c:v>21.369299999999999</c:v>
                </c:pt>
                <c:pt idx="376">
                  <c:v>21.1798</c:v>
                </c:pt>
                <c:pt idx="377">
                  <c:v>19.507899999999999</c:v>
                </c:pt>
                <c:pt idx="378">
                  <c:v>18.947199999999999</c:v>
                </c:pt>
                <c:pt idx="379">
                  <c:v>19.221</c:v>
                </c:pt>
                <c:pt idx="380">
                  <c:v>20.316700000000001</c:v>
                </c:pt>
                <c:pt idx="381">
                  <c:v>20.438199999999998</c:v>
                </c:pt>
                <c:pt idx="382">
                  <c:v>20.417400000000001</c:v>
                </c:pt>
                <c:pt idx="383">
                  <c:v>21.039899999999999</c:v>
                </c:pt>
                <c:pt idx="384">
                  <c:v>21.611499999999999</c:v>
                </c:pt>
                <c:pt idx="385">
                  <c:v>21.9422</c:v>
                </c:pt>
                <c:pt idx="386">
                  <c:v>21.980799999999999</c:v>
                </c:pt>
                <c:pt idx="387">
                  <c:v>22.049199999999999</c:v>
                </c:pt>
                <c:pt idx="388">
                  <c:v>22.200399999999998</c:v>
                </c:pt>
                <c:pt idx="389">
                  <c:v>21.718699999999998</c:v>
                </c:pt>
                <c:pt idx="390">
                  <c:v>20.959399999999999</c:v>
                </c:pt>
                <c:pt idx="391">
                  <c:v>20.535900000000002</c:v>
                </c:pt>
                <c:pt idx="392">
                  <c:v>21.195699999999999</c:v>
                </c:pt>
                <c:pt idx="393">
                  <c:v>21.603300000000001</c:v>
                </c:pt>
                <c:pt idx="394">
                  <c:v>21.535599999999999</c:v>
                </c:pt>
                <c:pt idx="395">
                  <c:v>21.934699999999999</c:v>
                </c:pt>
                <c:pt idx="396">
                  <c:v>22.120899999999999</c:v>
                </c:pt>
                <c:pt idx="397">
                  <c:v>22.913</c:v>
                </c:pt>
                <c:pt idx="398">
                  <c:v>22.851500000000001</c:v>
                </c:pt>
                <c:pt idx="399">
                  <c:v>22.389299999999999</c:v>
                </c:pt>
                <c:pt idx="400">
                  <c:v>22.4726</c:v>
                </c:pt>
                <c:pt idx="401">
                  <c:v>22.951699999999999</c:v>
                </c:pt>
                <c:pt idx="402">
                  <c:v>23.671099999999999</c:v>
                </c:pt>
                <c:pt idx="403">
                  <c:v>23.012899999999998</c:v>
                </c:pt>
                <c:pt idx="404">
                  <c:v>22.434899999999999</c:v>
                </c:pt>
                <c:pt idx="405">
                  <c:v>22.027899999999999</c:v>
                </c:pt>
                <c:pt idx="406">
                  <c:v>21.783799999999999</c:v>
                </c:pt>
                <c:pt idx="407">
                  <c:v>21.446100000000001</c:v>
                </c:pt>
                <c:pt idx="408">
                  <c:v>21.470500000000001</c:v>
                </c:pt>
                <c:pt idx="409">
                  <c:v>21.783999999999999</c:v>
                </c:pt>
                <c:pt idx="410">
                  <c:v>22.1418</c:v>
                </c:pt>
                <c:pt idx="411">
                  <c:v>21.9132</c:v>
                </c:pt>
                <c:pt idx="412">
                  <c:v>21.722000000000001</c:v>
                </c:pt>
                <c:pt idx="413">
                  <c:v>21.863800000000001</c:v>
                </c:pt>
                <c:pt idx="414">
                  <c:v>22.418299999999999</c:v>
                </c:pt>
                <c:pt idx="415">
                  <c:v>22.053699999999999</c:v>
                </c:pt>
                <c:pt idx="416">
                  <c:v>21.4468</c:v>
                </c:pt>
                <c:pt idx="417">
                  <c:v>21.678100000000001</c:v>
                </c:pt>
                <c:pt idx="418">
                  <c:v>22.8354</c:v>
                </c:pt>
                <c:pt idx="419">
                  <c:v>25.780999999999999</c:v>
                </c:pt>
                <c:pt idx="420">
                  <c:v>26.8811</c:v>
                </c:pt>
                <c:pt idx="421">
                  <c:v>26.9636</c:v>
                </c:pt>
                <c:pt idx="422">
                  <c:v>26.537299999999998</c:v>
                </c:pt>
                <c:pt idx="423">
                  <c:v>26.273</c:v>
                </c:pt>
                <c:pt idx="424">
                  <c:v>25.8781</c:v>
                </c:pt>
                <c:pt idx="425">
                  <c:v>26.190100000000001</c:v>
                </c:pt>
                <c:pt idx="426">
                  <c:v>26.458200000000001</c:v>
                </c:pt>
                <c:pt idx="427">
                  <c:v>25.671399999999998</c:v>
                </c:pt>
                <c:pt idx="428">
                  <c:v>25.063700000000001</c:v>
                </c:pt>
                <c:pt idx="429">
                  <c:v>26.340599999999998</c:v>
                </c:pt>
                <c:pt idx="430">
                  <c:v>26.375299999999999</c:v>
                </c:pt>
                <c:pt idx="431">
                  <c:v>26.838999999999999</c:v>
                </c:pt>
                <c:pt idx="432">
                  <c:v>25.868200000000002</c:v>
                </c:pt>
                <c:pt idx="433">
                  <c:v>26.0061</c:v>
                </c:pt>
                <c:pt idx="434">
                  <c:v>26.4483</c:v>
                </c:pt>
                <c:pt idx="435">
                  <c:v>27.430399999999999</c:v>
                </c:pt>
                <c:pt idx="436">
                  <c:v>29.075700000000001</c:v>
                </c:pt>
                <c:pt idx="437">
                  <c:v>29.4376</c:v>
                </c:pt>
                <c:pt idx="438">
                  <c:v>29.1736</c:v>
                </c:pt>
                <c:pt idx="439">
                  <c:v>28.735800000000001</c:v>
                </c:pt>
                <c:pt idx="440">
                  <c:v>28.822800000000001</c:v>
                </c:pt>
                <c:pt idx="441">
                  <c:v>28.831800000000001</c:v>
                </c:pt>
                <c:pt idx="442">
                  <c:v>29.447199999999999</c:v>
                </c:pt>
                <c:pt idx="443">
                  <c:v>28.7807</c:v>
                </c:pt>
                <c:pt idx="444">
                  <c:v>28.2883</c:v>
                </c:pt>
                <c:pt idx="445">
                  <c:v>28.369399999999999</c:v>
                </c:pt>
                <c:pt idx="446">
                  <c:v>29.567900000000002</c:v>
                </c:pt>
                <c:pt idx="447">
                  <c:v>30.4041</c:v>
                </c:pt>
                <c:pt idx="448">
                  <c:v>30.193000000000001</c:v>
                </c:pt>
                <c:pt idx="449">
                  <c:v>30.290700000000001</c:v>
                </c:pt>
                <c:pt idx="450">
                  <c:v>30.057400000000001</c:v>
                </c:pt>
                <c:pt idx="451">
                  <c:v>30.015000000000001</c:v>
                </c:pt>
                <c:pt idx="452">
                  <c:v>30.144600000000001</c:v>
                </c:pt>
                <c:pt idx="453">
                  <c:v>30.053100000000001</c:v>
                </c:pt>
                <c:pt idx="454">
                  <c:v>29.0137</c:v>
                </c:pt>
                <c:pt idx="455">
                  <c:v>29.052600000000002</c:v>
                </c:pt>
                <c:pt idx="456">
                  <c:v>28.7239</c:v>
                </c:pt>
                <c:pt idx="457">
                  <c:v>27.569700000000001</c:v>
                </c:pt>
                <c:pt idx="458">
                  <c:v>27.449000000000002</c:v>
                </c:pt>
                <c:pt idx="459">
                  <c:v>28.4787</c:v>
                </c:pt>
                <c:pt idx="460">
                  <c:v>28.254300000000001</c:v>
                </c:pt>
                <c:pt idx="461">
                  <c:v>29.205500000000001</c:v>
                </c:pt>
                <c:pt idx="462">
                  <c:v>29.381799999999998</c:v>
                </c:pt>
                <c:pt idx="463">
                  <c:v>28.975000000000001</c:v>
                </c:pt>
                <c:pt idx="464">
                  <c:v>28.204599999999999</c:v>
                </c:pt>
                <c:pt idx="465">
                  <c:v>28.455200000000001</c:v>
                </c:pt>
                <c:pt idx="466">
                  <c:v>28.58</c:v>
                </c:pt>
                <c:pt idx="467">
                  <c:v>28.3642</c:v>
                </c:pt>
                <c:pt idx="468">
                  <c:v>27.859000000000002</c:v>
                </c:pt>
                <c:pt idx="469">
                  <c:v>27.5001</c:v>
                </c:pt>
                <c:pt idx="470">
                  <c:v>26.616399999999999</c:v>
                </c:pt>
                <c:pt idx="471">
                  <c:v>25.889900000000001</c:v>
                </c:pt>
                <c:pt idx="472">
                  <c:v>25.987400000000001</c:v>
                </c:pt>
                <c:pt idx="473">
                  <c:v>25.546199999999999</c:v>
                </c:pt>
                <c:pt idx="474">
                  <c:v>25.992899999999999</c:v>
                </c:pt>
                <c:pt idx="475">
                  <c:v>25.9222</c:v>
                </c:pt>
                <c:pt idx="476">
                  <c:v>26.479299999999999</c:v>
                </c:pt>
                <c:pt idx="477">
                  <c:v>26.716699999999999</c:v>
                </c:pt>
                <c:pt idx="478">
                  <c:v>26.240200000000002</c:v>
                </c:pt>
                <c:pt idx="479">
                  <c:v>26.790900000000001</c:v>
                </c:pt>
                <c:pt idx="480">
                  <c:v>27.395099999999999</c:v>
                </c:pt>
                <c:pt idx="481">
                  <c:v>27.639199999999999</c:v>
                </c:pt>
                <c:pt idx="482">
                  <c:v>27.0761</c:v>
                </c:pt>
                <c:pt idx="483">
                  <c:v>27.388400000000001</c:v>
                </c:pt>
                <c:pt idx="484">
                  <c:v>27.388200000000001</c:v>
                </c:pt>
                <c:pt idx="485">
                  <c:v>27.348099999999999</c:v>
                </c:pt>
                <c:pt idx="486">
                  <c:v>28.036999999999999</c:v>
                </c:pt>
                <c:pt idx="487">
                  <c:v>28.439299999999999</c:v>
                </c:pt>
                <c:pt idx="488">
                  <c:v>28.517399999999999</c:v>
                </c:pt>
                <c:pt idx="489">
                  <c:v>27.505600000000001</c:v>
                </c:pt>
                <c:pt idx="490">
                  <c:v>27.3782</c:v>
                </c:pt>
                <c:pt idx="491">
                  <c:v>27.3673</c:v>
                </c:pt>
                <c:pt idx="492">
                  <c:v>26.942799999999998</c:v>
                </c:pt>
                <c:pt idx="493">
                  <c:v>26.851099999999999</c:v>
                </c:pt>
                <c:pt idx="494">
                  <c:v>26.783899999999999</c:v>
                </c:pt>
                <c:pt idx="495">
                  <c:v>26.860900000000001</c:v>
                </c:pt>
                <c:pt idx="496">
                  <c:v>28.605799999999999</c:v>
                </c:pt>
                <c:pt idx="497">
                  <c:v>28.031300000000002</c:v>
                </c:pt>
                <c:pt idx="498">
                  <c:v>27.4557</c:v>
                </c:pt>
                <c:pt idx="499">
                  <c:v>28.213899999999999</c:v>
                </c:pt>
                <c:pt idx="500">
                  <c:v>29.971299999999999</c:v>
                </c:pt>
                <c:pt idx="501">
                  <c:v>29.488099999999999</c:v>
                </c:pt>
                <c:pt idx="502">
                  <c:v>29.458100000000002</c:v>
                </c:pt>
                <c:pt idx="503">
                  <c:v>30.813500000000001</c:v>
                </c:pt>
                <c:pt idx="504">
                  <c:v>31.774000000000001</c:v>
                </c:pt>
                <c:pt idx="505">
                  <c:v>32.398200000000003</c:v>
                </c:pt>
                <c:pt idx="506">
                  <c:v>32.358499999999999</c:v>
                </c:pt>
                <c:pt idx="507">
                  <c:v>32.391300000000001</c:v>
                </c:pt>
                <c:pt idx="508">
                  <c:v>32.441699999999997</c:v>
                </c:pt>
                <c:pt idx="509">
                  <c:v>31.898299999999999</c:v>
                </c:pt>
                <c:pt idx="510">
                  <c:v>30.7058</c:v>
                </c:pt>
                <c:pt idx="511">
                  <c:v>31.235900000000001</c:v>
                </c:pt>
                <c:pt idx="512">
                  <c:v>31.906400000000001</c:v>
                </c:pt>
                <c:pt idx="513">
                  <c:v>32.592500000000001</c:v>
                </c:pt>
                <c:pt idx="514">
                  <c:v>32.927500000000002</c:v>
                </c:pt>
                <c:pt idx="515">
                  <c:v>32.508099999999999</c:v>
                </c:pt>
                <c:pt idx="516">
                  <c:v>32.204000000000001</c:v>
                </c:pt>
                <c:pt idx="517">
                  <c:v>32.326099999999997</c:v>
                </c:pt>
                <c:pt idx="518">
                  <c:v>32.337000000000003</c:v>
                </c:pt>
                <c:pt idx="519">
                  <c:v>33.673900000000003</c:v>
                </c:pt>
                <c:pt idx="520">
                  <c:v>32.603700000000003</c:v>
                </c:pt>
                <c:pt idx="521">
                  <c:v>32.969299999999997</c:v>
                </c:pt>
                <c:pt idx="522">
                  <c:v>33.867699999999999</c:v>
                </c:pt>
                <c:pt idx="523">
                  <c:v>33.262999999999998</c:v>
                </c:pt>
                <c:pt idx="524">
                  <c:v>33.284500000000001</c:v>
                </c:pt>
                <c:pt idx="525">
                  <c:v>36.833500000000001</c:v>
                </c:pt>
                <c:pt idx="526">
                  <c:v>34.442300000000003</c:v>
                </c:pt>
                <c:pt idx="527">
                  <c:v>33.8889</c:v>
                </c:pt>
                <c:pt idx="528">
                  <c:v>32.753599999999999</c:v>
                </c:pt>
                <c:pt idx="529">
                  <c:v>32.150199999999998</c:v>
                </c:pt>
                <c:pt idx="530">
                  <c:v>31.218</c:v>
                </c:pt>
                <c:pt idx="531">
                  <c:v>31.1981</c:v>
                </c:pt>
                <c:pt idx="532">
                  <c:v>30.473800000000001</c:v>
                </c:pt>
                <c:pt idx="533">
                  <c:v>31.474499999999999</c:v>
                </c:pt>
                <c:pt idx="534">
                  <c:v>30.355399999999999</c:v>
                </c:pt>
                <c:pt idx="535">
                  <c:v>30.203299999999999</c:v>
                </c:pt>
                <c:pt idx="536">
                  <c:v>29.598199999999999</c:v>
                </c:pt>
                <c:pt idx="537">
                  <c:v>30.936900000000001</c:v>
                </c:pt>
                <c:pt idx="538">
                  <c:v>30.923300000000001</c:v>
                </c:pt>
                <c:pt idx="539">
                  <c:v>31.077200000000001</c:v>
                </c:pt>
                <c:pt idx="540">
                  <c:v>30.430399999999999</c:v>
                </c:pt>
                <c:pt idx="541">
                  <c:v>29.686800000000002</c:v>
                </c:pt>
                <c:pt idx="542">
                  <c:v>31.088899999999999</c:v>
                </c:pt>
                <c:pt idx="543">
                  <c:v>30.595700000000001</c:v>
                </c:pt>
                <c:pt idx="544">
                  <c:v>31.738900000000001</c:v>
                </c:pt>
                <c:pt idx="545">
                  <c:v>31.246600000000001</c:v>
                </c:pt>
                <c:pt idx="546">
                  <c:v>31.1158</c:v>
                </c:pt>
                <c:pt idx="547">
                  <c:v>32.212899999999998</c:v>
                </c:pt>
                <c:pt idx="548">
                  <c:v>31.587499999999999</c:v>
                </c:pt>
                <c:pt idx="549">
                  <c:v>30.963000000000001</c:v>
                </c:pt>
                <c:pt idx="550">
                  <c:v>30.3599</c:v>
                </c:pt>
                <c:pt idx="551">
                  <c:v>29.0166</c:v>
                </c:pt>
                <c:pt idx="552">
                  <c:v>29.521100000000001</c:v>
                </c:pt>
                <c:pt idx="553">
                  <c:v>30.0732</c:v>
                </c:pt>
                <c:pt idx="554">
                  <c:v>30.2242</c:v>
                </c:pt>
                <c:pt idx="555">
                  <c:v>31.8368</c:v>
                </c:pt>
                <c:pt idx="556">
                  <c:v>32.733699999999999</c:v>
                </c:pt>
                <c:pt idx="557">
                  <c:v>32.727800000000002</c:v>
                </c:pt>
                <c:pt idx="558">
                  <c:v>34.136200000000002</c:v>
                </c:pt>
                <c:pt idx="559">
                  <c:v>33.361899999999999</c:v>
                </c:pt>
                <c:pt idx="560">
                  <c:v>33.928699999999999</c:v>
                </c:pt>
                <c:pt idx="561">
                  <c:v>34.378999999999998</c:v>
                </c:pt>
                <c:pt idx="562">
                  <c:v>33.929400000000001</c:v>
                </c:pt>
                <c:pt idx="563">
                  <c:v>34.156100000000002</c:v>
                </c:pt>
                <c:pt idx="564">
                  <c:v>34.831000000000003</c:v>
                </c:pt>
                <c:pt idx="565">
                  <c:v>34.720799999999997</c:v>
                </c:pt>
                <c:pt idx="566">
                  <c:v>35.152700000000003</c:v>
                </c:pt>
                <c:pt idx="567">
                  <c:v>35.884300000000003</c:v>
                </c:pt>
                <c:pt idx="568">
                  <c:v>35.726900000000001</c:v>
                </c:pt>
                <c:pt idx="569">
                  <c:v>37.227200000000003</c:v>
                </c:pt>
                <c:pt idx="570">
                  <c:v>38.217799999999997</c:v>
                </c:pt>
                <c:pt idx="571">
                  <c:v>39.415300000000002</c:v>
                </c:pt>
                <c:pt idx="572">
                  <c:v>40.040300000000002</c:v>
                </c:pt>
                <c:pt idx="573">
                  <c:v>33.8309</c:v>
                </c:pt>
                <c:pt idx="574">
                  <c:v>37.127800000000001</c:v>
                </c:pt>
                <c:pt idx="575">
                  <c:v>36.944899999999997</c:v>
                </c:pt>
                <c:pt idx="576">
                  <c:v>36.8626</c:v>
                </c:pt>
                <c:pt idx="577">
                  <c:v>37.096800000000002</c:v>
                </c:pt>
                <c:pt idx="578">
                  <c:v>36.962200000000003</c:v>
                </c:pt>
                <c:pt idx="579">
                  <c:v>36.829099999999997</c:v>
                </c:pt>
                <c:pt idx="580">
                  <c:v>36.731400000000001</c:v>
                </c:pt>
                <c:pt idx="581">
                  <c:v>37.216299999999997</c:v>
                </c:pt>
                <c:pt idx="582">
                  <c:v>37.319099999999999</c:v>
                </c:pt>
                <c:pt idx="583">
                  <c:v>38.447899999999997</c:v>
                </c:pt>
                <c:pt idx="584">
                  <c:v>39.39</c:v>
                </c:pt>
                <c:pt idx="585">
                  <c:v>40.768900000000002</c:v>
                </c:pt>
                <c:pt idx="586">
                  <c:v>40.292499999999997</c:v>
                </c:pt>
                <c:pt idx="587">
                  <c:v>39.004100000000001</c:v>
                </c:pt>
                <c:pt idx="588">
                  <c:v>39.076300000000003</c:v>
                </c:pt>
                <c:pt idx="589">
                  <c:v>38.487699999999997</c:v>
                </c:pt>
                <c:pt idx="590">
                  <c:v>38.374600000000001</c:v>
                </c:pt>
                <c:pt idx="591">
                  <c:v>37.175800000000002</c:v>
                </c:pt>
                <c:pt idx="592">
                  <c:v>38.027000000000001</c:v>
                </c:pt>
                <c:pt idx="593">
                  <c:v>37.416400000000003</c:v>
                </c:pt>
                <c:pt idx="594">
                  <c:v>38.004399999999997</c:v>
                </c:pt>
                <c:pt idx="595">
                  <c:v>38.107599999999998</c:v>
                </c:pt>
                <c:pt idx="596">
                  <c:v>39.243299999999998</c:v>
                </c:pt>
                <c:pt idx="597">
                  <c:v>39.238500000000002</c:v>
                </c:pt>
                <c:pt idx="598">
                  <c:v>37.99</c:v>
                </c:pt>
                <c:pt idx="599">
                  <c:v>37.231299999999997</c:v>
                </c:pt>
                <c:pt idx="600">
                  <c:v>36.527900000000002</c:v>
                </c:pt>
                <c:pt idx="601">
                  <c:v>37.4482</c:v>
                </c:pt>
                <c:pt idx="602">
                  <c:v>37.8979</c:v>
                </c:pt>
                <c:pt idx="603">
                  <c:v>37.901200000000003</c:v>
                </c:pt>
                <c:pt idx="604">
                  <c:v>39.007199999999997</c:v>
                </c:pt>
                <c:pt idx="605">
                  <c:v>39.170200000000001</c:v>
                </c:pt>
                <c:pt idx="606">
                  <c:v>39.8309</c:v>
                </c:pt>
                <c:pt idx="607">
                  <c:v>39.859000000000002</c:v>
                </c:pt>
                <c:pt idx="608">
                  <c:v>39.921799999999998</c:v>
                </c:pt>
                <c:pt idx="609">
                  <c:v>40.675699999999999</c:v>
                </c:pt>
                <c:pt idx="610">
                  <c:v>41.192500000000003</c:v>
                </c:pt>
                <c:pt idx="611">
                  <c:v>41.341999999999999</c:v>
                </c:pt>
                <c:pt idx="612">
                  <c:v>41.323900000000002</c:v>
                </c:pt>
                <c:pt idx="613">
                  <c:v>41.053199999999997</c:v>
                </c:pt>
                <c:pt idx="614">
                  <c:v>43.060600000000001</c:v>
                </c:pt>
                <c:pt idx="615">
                  <c:v>42.563800000000001</c:v>
                </c:pt>
                <c:pt idx="616">
                  <c:v>45.3904</c:v>
                </c:pt>
                <c:pt idx="617">
                  <c:v>47.147199999999998</c:v>
                </c:pt>
                <c:pt idx="618">
                  <c:v>48.489699999999999</c:v>
                </c:pt>
                <c:pt idx="619">
                  <c:v>47.540300000000002</c:v>
                </c:pt>
                <c:pt idx="620">
                  <c:v>47.674300000000002</c:v>
                </c:pt>
                <c:pt idx="621">
                  <c:v>46.9285</c:v>
                </c:pt>
                <c:pt idx="622">
                  <c:v>46.0199</c:v>
                </c:pt>
                <c:pt idx="623">
                  <c:v>46.545299999999997</c:v>
                </c:pt>
                <c:pt idx="624">
                  <c:v>46.929400000000001</c:v>
                </c:pt>
                <c:pt idx="625">
                  <c:v>45.942599999999999</c:v>
                </c:pt>
                <c:pt idx="626">
                  <c:v>46.126600000000003</c:v>
                </c:pt>
                <c:pt idx="627">
                  <c:v>45.316600000000001</c:v>
                </c:pt>
                <c:pt idx="628">
                  <c:v>45.839799999999997</c:v>
                </c:pt>
                <c:pt idx="629">
                  <c:v>45.116199999999999</c:v>
                </c:pt>
                <c:pt idx="630">
                  <c:v>49.009399999999999</c:v>
                </c:pt>
                <c:pt idx="631">
                  <c:v>48.434199999999997</c:v>
                </c:pt>
                <c:pt idx="632">
                  <c:v>47.01</c:v>
                </c:pt>
                <c:pt idx="633">
                  <c:v>44.9176</c:v>
                </c:pt>
                <c:pt idx="634">
                  <c:v>43.727699999999999</c:v>
                </c:pt>
                <c:pt idx="635">
                  <c:v>43.013300000000001</c:v>
                </c:pt>
                <c:pt idx="636">
                  <c:v>44.056100000000001</c:v>
                </c:pt>
                <c:pt idx="637">
                  <c:v>43.451000000000001</c:v>
                </c:pt>
                <c:pt idx="638">
                  <c:v>43.660800000000002</c:v>
                </c:pt>
                <c:pt idx="639">
                  <c:v>42.899299999999997</c:v>
                </c:pt>
                <c:pt idx="640">
                  <c:v>42.760100000000001</c:v>
                </c:pt>
                <c:pt idx="641">
                  <c:v>44.016300000000001</c:v>
                </c:pt>
                <c:pt idx="642">
                  <c:v>44.4587</c:v>
                </c:pt>
                <c:pt idx="643">
                  <c:v>43.080800000000004</c:v>
                </c:pt>
                <c:pt idx="644">
                  <c:v>39.7515</c:v>
                </c:pt>
                <c:pt idx="645">
                  <c:v>39.120199999999997</c:v>
                </c:pt>
                <c:pt idx="646">
                  <c:v>39.770200000000003</c:v>
                </c:pt>
                <c:pt idx="647">
                  <c:v>37.679099999999998</c:v>
                </c:pt>
                <c:pt idx="648">
                  <c:v>34.366900000000001</c:v>
                </c:pt>
                <c:pt idx="649">
                  <c:v>35.318600000000004</c:v>
                </c:pt>
                <c:pt idx="650">
                  <c:v>36.9816</c:v>
                </c:pt>
                <c:pt idx="651">
                  <c:v>37.052100000000003</c:v>
                </c:pt>
                <c:pt idx="652">
                  <c:v>38.591200000000001</c:v>
                </c:pt>
                <c:pt idx="653">
                  <c:v>39.725700000000003</c:v>
                </c:pt>
                <c:pt idx="654">
                  <c:v>38.279200000000003</c:v>
                </c:pt>
                <c:pt idx="655">
                  <c:v>41.092100000000002</c:v>
                </c:pt>
                <c:pt idx="656">
                  <c:v>39.499000000000002</c:v>
                </c:pt>
                <c:pt idx="657">
                  <c:v>40.020800000000001</c:v>
                </c:pt>
                <c:pt idx="658">
                  <c:v>40.501899999999999</c:v>
                </c:pt>
                <c:pt idx="659">
                  <c:v>40.277000000000001</c:v>
                </c:pt>
                <c:pt idx="660">
                  <c:v>39.379600000000003</c:v>
                </c:pt>
                <c:pt idx="661">
                  <c:v>38.7378</c:v>
                </c:pt>
                <c:pt idx="662">
                  <c:v>37.6569</c:v>
                </c:pt>
                <c:pt idx="663">
                  <c:v>37.798400000000001</c:v>
                </c:pt>
                <c:pt idx="664">
                  <c:v>37.333599999999997</c:v>
                </c:pt>
                <c:pt idx="665">
                  <c:v>38.364600000000003</c:v>
                </c:pt>
                <c:pt idx="666">
                  <c:v>39.672600000000003</c:v>
                </c:pt>
                <c:pt idx="667">
                  <c:v>40.1678</c:v>
                </c:pt>
                <c:pt idx="668">
                  <c:v>39.622300000000003</c:v>
                </c:pt>
                <c:pt idx="669">
                  <c:v>39.198799999999999</c:v>
                </c:pt>
                <c:pt idx="670">
                  <c:v>40.157800000000002</c:v>
                </c:pt>
                <c:pt idx="671">
                  <c:v>39.282699999999998</c:v>
                </c:pt>
                <c:pt idx="672">
                  <c:v>39.843400000000003</c:v>
                </c:pt>
                <c:pt idx="673">
                  <c:v>40.438800000000001</c:v>
                </c:pt>
                <c:pt idx="674">
                  <c:v>40.544600000000003</c:v>
                </c:pt>
                <c:pt idx="675">
                  <c:v>42.176400000000001</c:v>
                </c:pt>
                <c:pt idx="676">
                  <c:v>42.086100000000002</c:v>
                </c:pt>
                <c:pt idx="677">
                  <c:v>41.306899999999999</c:v>
                </c:pt>
                <c:pt idx="678">
                  <c:v>40.906999999999996</c:v>
                </c:pt>
                <c:pt idx="679">
                  <c:v>42.035699999999999</c:v>
                </c:pt>
                <c:pt idx="680">
                  <c:v>41.389699999999998</c:v>
                </c:pt>
                <c:pt idx="681">
                  <c:v>41.197299999999998</c:v>
                </c:pt>
                <c:pt idx="682">
                  <c:v>42.198</c:v>
                </c:pt>
                <c:pt idx="683">
                  <c:v>43.105400000000003</c:v>
                </c:pt>
                <c:pt idx="684">
                  <c:v>42.460799999999999</c:v>
                </c:pt>
                <c:pt idx="685">
                  <c:v>43.376800000000003</c:v>
                </c:pt>
                <c:pt idx="686">
                  <c:v>42.5321</c:v>
                </c:pt>
                <c:pt idx="687">
                  <c:v>42.802</c:v>
                </c:pt>
                <c:pt idx="688">
                  <c:v>39.550699999999999</c:v>
                </c:pt>
                <c:pt idx="689">
                  <c:v>38.546599999999998</c:v>
                </c:pt>
                <c:pt idx="690">
                  <c:v>37.5242</c:v>
                </c:pt>
                <c:pt idx="691">
                  <c:v>34.298499999999997</c:v>
                </c:pt>
                <c:pt idx="692">
                  <c:v>35.725000000000001</c:v>
                </c:pt>
                <c:pt idx="693">
                  <c:v>36.3947</c:v>
                </c:pt>
                <c:pt idx="694">
                  <c:v>36.947800000000001</c:v>
                </c:pt>
                <c:pt idx="695">
                  <c:v>35.656799999999997</c:v>
                </c:pt>
                <c:pt idx="696">
                  <c:v>35.565800000000003</c:v>
                </c:pt>
                <c:pt idx="697">
                  <c:v>35.360500000000002</c:v>
                </c:pt>
                <c:pt idx="698">
                  <c:v>35.677999999999997</c:v>
                </c:pt>
                <c:pt idx="699">
                  <c:v>34.64</c:v>
                </c:pt>
                <c:pt idx="700">
                  <c:v>33.363700000000001</c:v>
                </c:pt>
                <c:pt idx="701">
                  <c:v>33.1235</c:v>
                </c:pt>
                <c:pt idx="702">
                  <c:v>34.028500000000001</c:v>
                </c:pt>
                <c:pt idx="703">
                  <c:v>32.341799999999999</c:v>
                </c:pt>
                <c:pt idx="704">
                  <c:v>32.26</c:v>
                </c:pt>
                <c:pt idx="705">
                  <c:v>31.616499999999998</c:v>
                </c:pt>
                <c:pt idx="706">
                  <c:v>31.306699999999999</c:v>
                </c:pt>
                <c:pt idx="707">
                  <c:v>33.552900000000001</c:v>
                </c:pt>
                <c:pt idx="708">
                  <c:v>34.2515</c:v>
                </c:pt>
                <c:pt idx="709">
                  <c:v>34.986199999999997</c:v>
                </c:pt>
                <c:pt idx="710">
                  <c:v>35.162300000000002</c:v>
                </c:pt>
                <c:pt idx="711">
                  <c:v>36.4163</c:v>
                </c:pt>
                <c:pt idx="712">
                  <c:v>35.442799999999998</c:v>
                </c:pt>
                <c:pt idx="713">
                  <c:v>33.968600000000002</c:v>
                </c:pt>
                <c:pt idx="714">
                  <c:v>32.279400000000003</c:v>
                </c:pt>
                <c:pt idx="715">
                  <c:v>30.992100000000001</c:v>
                </c:pt>
                <c:pt idx="716">
                  <c:v>32.724699999999999</c:v>
                </c:pt>
                <c:pt idx="717">
                  <c:v>33.748199999999997</c:v>
                </c:pt>
                <c:pt idx="718">
                  <c:v>34.395400000000002</c:v>
                </c:pt>
                <c:pt idx="719">
                  <c:v>34.5411</c:v>
                </c:pt>
                <c:pt idx="720">
                  <c:v>33.852899999999998</c:v>
                </c:pt>
                <c:pt idx="721">
                  <c:v>36.629600000000003</c:v>
                </c:pt>
                <c:pt idx="722">
                  <c:v>37.084299999999999</c:v>
                </c:pt>
                <c:pt idx="723">
                  <c:v>38.110300000000002</c:v>
                </c:pt>
                <c:pt idx="724">
                  <c:v>38.238399999999999</c:v>
                </c:pt>
                <c:pt idx="725">
                  <c:v>36.890599999999999</c:v>
                </c:pt>
                <c:pt idx="726">
                  <c:v>36.935499999999998</c:v>
                </c:pt>
                <c:pt idx="727">
                  <c:v>36.596600000000002</c:v>
                </c:pt>
                <c:pt idx="728">
                  <c:v>36.778100000000002</c:v>
                </c:pt>
                <c:pt idx="729">
                  <c:v>35.790700000000001</c:v>
                </c:pt>
                <c:pt idx="730">
                  <c:v>35.285800000000002</c:v>
                </c:pt>
                <c:pt idx="731">
                  <c:v>35.466299999999997</c:v>
                </c:pt>
                <c:pt idx="732">
                  <c:v>35.467799999999997</c:v>
                </c:pt>
                <c:pt idx="733">
                  <c:v>35.729599999999998</c:v>
                </c:pt>
                <c:pt idx="734">
                  <c:v>35.147399999999998</c:v>
                </c:pt>
                <c:pt idx="735">
                  <c:v>34.939</c:v>
                </c:pt>
                <c:pt idx="736">
                  <c:v>33.008000000000003</c:v>
                </c:pt>
                <c:pt idx="737">
                  <c:v>31.7486</c:v>
                </c:pt>
                <c:pt idx="738">
                  <c:v>32.944499999999998</c:v>
                </c:pt>
                <c:pt idx="739">
                  <c:v>32.195399999999999</c:v>
                </c:pt>
                <c:pt idx="740">
                  <c:v>32.549199999999999</c:v>
                </c:pt>
                <c:pt idx="741">
                  <c:v>32.170699999999997</c:v>
                </c:pt>
                <c:pt idx="742">
                  <c:v>31.856000000000002</c:v>
                </c:pt>
                <c:pt idx="743">
                  <c:v>31.593</c:v>
                </c:pt>
                <c:pt idx="744">
                  <c:v>31.020099999999999</c:v>
                </c:pt>
                <c:pt idx="745">
                  <c:v>30.682600000000001</c:v>
                </c:pt>
                <c:pt idx="746">
                  <c:v>29.262699999999999</c:v>
                </c:pt>
                <c:pt idx="747">
                  <c:v>28.822800000000001</c:v>
                </c:pt>
                <c:pt idx="748">
                  <c:v>28.859300000000001</c:v>
                </c:pt>
                <c:pt idx="749">
                  <c:v>26.574100000000001</c:v>
                </c:pt>
                <c:pt idx="750">
                  <c:v>26.696200000000001</c:v>
                </c:pt>
                <c:pt idx="751">
                  <c:v>26.866800000000001</c:v>
                </c:pt>
                <c:pt idx="752">
                  <c:v>27.145</c:v>
                </c:pt>
                <c:pt idx="753">
                  <c:v>25.934100000000001</c:v>
                </c:pt>
                <c:pt idx="754">
                  <c:v>26.8706</c:v>
                </c:pt>
                <c:pt idx="755">
                  <c:v>26.758600000000001</c:v>
                </c:pt>
                <c:pt idx="756">
                  <c:v>25.968499999999999</c:v>
                </c:pt>
                <c:pt idx="757">
                  <c:v>27.518000000000001</c:v>
                </c:pt>
                <c:pt idx="758">
                  <c:v>28.060700000000001</c:v>
                </c:pt>
                <c:pt idx="759">
                  <c:v>28.8782</c:v>
                </c:pt>
                <c:pt idx="760">
                  <c:v>27.638000000000002</c:v>
                </c:pt>
                <c:pt idx="761">
                  <c:v>26.2395</c:v>
                </c:pt>
                <c:pt idx="762">
                  <c:v>25.1587</c:v>
                </c:pt>
                <c:pt idx="763">
                  <c:v>25.550799999999999</c:v>
                </c:pt>
                <c:pt idx="764">
                  <c:v>27.498899999999999</c:v>
                </c:pt>
                <c:pt idx="765">
                  <c:v>27.849</c:v>
                </c:pt>
                <c:pt idx="766">
                  <c:v>27.9497</c:v>
                </c:pt>
                <c:pt idx="767">
                  <c:v>27.476600000000001</c:v>
                </c:pt>
                <c:pt idx="768">
                  <c:v>28.123200000000001</c:v>
                </c:pt>
                <c:pt idx="769">
                  <c:v>26.7318</c:v>
                </c:pt>
                <c:pt idx="770">
                  <c:v>26.411300000000001</c:v>
                </c:pt>
                <c:pt idx="771">
                  <c:v>26.1374</c:v>
                </c:pt>
                <c:pt idx="772">
                  <c:v>26.501999999999999</c:v>
                </c:pt>
                <c:pt idx="773">
                  <c:v>26.842500000000001</c:v>
                </c:pt>
                <c:pt idx="774">
                  <c:v>26.6966</c:v>
                </c:pt>
                <c:pt idx="775">
                  <c:v>26.115300000000001</c:v>
                </c:pt>
                <c:pt idx="776">
                  <c:v>24.331299999999999</c:v>
                </c:pt>
                <c:pt idx="777">
                  <c:v>22.916599999999999</c:v>
                </c:pt>
                <c:pt idx="778">
                  <c:v>23.3063</c:v>
                </c:pt>
                <c:pt idx="779">
                  <c:v>22.699000000000002</c:v>
                </c:pt>
                <c:pt idx="780">
                  <c:v>21.811299999999999</c:v>
                </c:pt>
                <c:pt idx="781">
                  <c:v>21.418800000000001</c:v>
                </c:pt>
                <c:pt idx="782">
                  <c:v>20.6554</c:v>
                </c:pt>
                <c:pt idx="783">
                  <c:v>21.497800000000002</c:v>
                </c:pt>
                <c:pt idx="784">
                  <c:v>22.428599999999999</c:v>
                </c:pt>
                <c:pt idx="785">
                  <c:v>20.796500000000002</c:v>
                </c:pt>
                <c:pt idx="786">
                  <c:v>21.1708</c:v>
                </c:pt>
                <c:pt idx="787">
                  <c:v>19.2395</c:v>
                </c:pt>
                <c:pt idx="788">
                  <c:v>19.2898</c:v>
                </c:pt>
                <c:pt idx="789">
                  <c:v>20.0349</c:v>
                </c:pt>
                <c:pt idx="790">
                  <c:v>21.174600000000002</c:v>
                </c:pt>
                <c:pt idx="791">
                  <c:v>21.069500000000001</c:v>
                </c:pt>
                <c:pt idx="792">
                  <c:v>20.846399999999999</c:v>
                </c:pt>
                <c:pt idx="793">
                  <c:v>20.2407</c:v>
                </c:pt>
                <c:pt idx="794">
                  <c:v>20.501100000000001</c:v>
                </c:pt>
                <c:pt idx="795">
                  <c:v>20.196300000000001</c:v>
                </c:pt>
                <c:pt idx="796">
                  <c:v>19.717500000000001</c:v>
                </c:pt>
                <c:pt idx="797">
                  <c:v>22.677</c:v>
                </c:pt>
                <c:pt idx="798">
                  <c:v>21.929099999999998</c:v>
                </c:pt>
                <c:pt idx="799">
                  <c:v>22.5336</c:v>
                </c:pt>
                <c:pt idx="800">
                  <c:v>22.997599999999998</c:v>
                </c:pt>
                <c:pt idx="801">
                  <c:v>22.482199999999999</c:v>
                </c:pt>
                <c:pt idx="802">
                  <c:v>23.759599999999999</c:v>
                </c:pt>
                <c:pt idx="803">
                  <c:v>23.567599999999999</c:v>
                </c:pt>
                <c:pt idx="804">
                  <c:v>23.226600000000001</c:v>
                </c:pt>
                <c:pt idx="805">
                  <c:v>22.981000000000002</c:v>
                </c:pt>
                <c:pt idx="806">
                  <c:v>22.810400000000001</c:v>
                </c:pt>
                <c:pt idx="807">
                  <c:v>21.9894</c:v>
                </c:pt>
                <c:pt idx="808">
                  <c:v>21.574000000000002</c:v>
                </c:pt>
                <c:pt idx="809">
                  <c:v>23.0075</c:v>
                </c:pt>
                <c:pt idx="810">
                  <c:v>22.6754</c:v>
                </c:pt>
                <c:pt idx="811">
                  <c:v>22.929400000000001</c:v>
                </c:pt>
                <c:pt idx="812">
                  <c:v>24.359000000000002</c:v>
                </c:pt>
                <c:pt idx="813">
                  <c:v>25.511500000000002</c:v>
                </c:pt>
                <c:pt idx="814">
                  <c:v>25.366299999999999</c:v>
                </c:pt>
                <c:pt idx="815">
                  <c:v>25.244199999999999</c:v>
                </c:pt>
                <c:pt idx="816">
                  <c:v>25.2439</c:v>
                </c:pt>
                <c:pt idx="817">
                  <c:v>27.252199999999998</c:v>
                </c:pt>
                <c:pt idx="818">
                  <c:v>25.996099999999998</c:v>
                </c:pt>
                <c:pt idx="819">
                  <c:v>25.7849</c:v>
                </c:pt>
                <c:pt idx="820">
                  <c:v>26.586200000000002</c:v>
                </c:pt>
                <c:pt idx="821">
                  <c:v>25.998799999999999</c:v>
                </c:pt>
                <c:pt idx="822">
                  <c:v>25.198</c:v>
                </c:pt>
                <c:pt idx="823">
                  <c:v>25.517299999999999</c:v>
                </c:pt>
                <c:pt idx="824">
                  <c:v>26.3477</c:v>
                </c:pt>
                <c:pt idx="825">
                  <c:v>26.390999999999998</c:v>
                </c:pt>
                <c:pt idx="826">
                  <c:v>26.8064</c:v>
                </c:pt>
                <c:pt idx="827">
                  <c:v>25.5197</c:v>
                </c:pt>
                <c:pt idx="828">
                  <c:v>23.757000000000001</c:v>
                </c:pt>
                <c:pt idx="829">
                  <c:v>22.0108</c:v>
                </c:pt>
                <c:pt idx="830">
                  <c:v>21.2821</c:v>
                </c:pt>
                <c:pt idx="831">
                  <c:v>21.984200000000001</c:v>
                </c:pt>
                <c:pt idx="832">
                  <c:v>22.4819</c:v>
                </c:pt>
                <c:pt idx="833">
                  <c:v>23.946899999999999</c:v>
                </c:pt>
                <c:pt idx="834">
                  <c:v>23.6785</c:v>
                </c:pt>
                <c:pt idx="835">
                  <c:v>23.984999999999999</c:v>
                </c:pt>
                <c:pt idx="836">
                  <c:v>24.580300000000001</c:v>
                </c:pt>
                <c:pt idx="837">
                  <c:v>24.952500000000001</c:v>
                </c:pt>
                <c:pt idx="838">
                  <c:v>24.383199999999999</c:v>
                </c:pt>
                <c:pt idx="839">
                  <c:v>23.8614</c:v>
                </c:pt>
                <c:pt idx="840">
                  <c:v>22.714700000000001</c:v>
                </c:pt>
                <c:pt idx="841">
                  <c:v>21.812799999999999</c:v>
                </c:pt>
                <c:pt idx="842">
                  <c:v>21.7317</c:v>
                </c:pt>
                <c:pt idx="843">
                  <c:v>21.843900000000001</c:v>
                </c:pt>
                <c:pt idx="844">
                  <c:v>22.023900000000001</c:v>
                </c:pt>
                <c:pt idx="845">
                  <c:v>21.520299999999999</c:v>
                </c:pt>
                <c:pt idx="846">
                  <c:v>21.755800000000001</c:v>
                </c:pt>
                <c:pt idx="847">
                  <c:v>22.284400000000002</c:v>
                </c:pt>
                <c:pt idx="848">
                  <c:v>21.9147</c:v>
                </c:pt>
                <c:pt idx="849">
                  <c:v>21.406400000000001</c:v>
                </c:pt>
                <c:pt idx="850">
                  <c:v>21.361499999999999</c:v>
                </c:pt>
                <c:pt idx="851">
                  <c:v>21.154599999999999</c:v>
                </c:pt>
                <c:pt idx="852">
                  <c:v>20.024000000000001</c:v>
                </c:pt>
                <c:pt idx="853">
                  <c:v>20.667899999999999</c:v>
                </c:pt>
                <c:pt idx="854">
                  <c:v>19.850000000000001</c:v>
                </c:pt>
                <c:pt idx="855">
                  <c:v>18.445499999999999</c:v>
                </c:pt>
                <c:pt idx="856">
                  <c:v>17.754899999999999</c:v>
                </c:pt>
                <c:pt idx="857">
                  <c:v>15.625500000000001</c:v>
                </c:pt>
                <c:pt idx="858">
                  <c:v>14.5496</c:v>
                </c:pt>
                <c:pt idx="859">
                  <c:v>15.839700000000001</c:v>
                </c:pt>
                <c:pt idx="860">
                  <c:v>15.8597</c:v>
                </c:pt>
                <c:pt idx="861">
                  <c:v>16.585899999999999</c:v>
                </c:pt>
                <c:pt idx="862">
                  <c:v>17.5825</c:v>
                </c:pt>
                <c:pt idx="863">
                  <c:v>16.670100000000001</c:v>
                </c:pt>
                <c:pt idx="864">
                  <c:v>16.793800000000001</c:v>
                </c:pt>
                <c:pt idx="865">
                  <c:v>16.362100000000002</c:v>
                </c:pt>
                <c:pt idx="866">
                  <c:v>17.069500000000001</c:v>
                </c:pt>
                <c:pt idx="867">
                  <c:v>18.6159</c:v>
                </c:pt>
                <c:pt idx="868">
                  <c:v>19.7057</c:v>
                </c:pt>
                <c:pt idx="869">
                  <c:v>20.521100000000001</c:v>
                </c:pt>
                <c:pt idx="870">
                  <c:v>20.262599999999999</c:v>
                </c:pt>
                <c:pt idx="871">
                  <c:v>21.344200000000001</c:v>
                </c:pt>
                <c:pt idx="872">
                  <c:v>19.8522</c:v>
                </c:pt>
                <c:pt idx="873">
                  <c:v>18.8687</c:v>
                </c:pt>
                <c:pt idx="874">
                  <c:v>19.165800000000001</c:v>
                </c:pt>
                <c:pt idx="875">
                  <c:v>19.7712</c:v>
                </c:pt>
                <c:pt idx="876">
                  <c:v>22.417899999999999</c:v>
                </c:pt>
                <c:pt idx="877">
                  <c:v>22.485499999999998</c:v>
                </c:pt>
                <c:pt idx="878">
                  <c:v>23.264800000000001</c:v>
                </c:pt>
                <c:pt idx="879">
                  <c:v>25.086400000000001</c:v>
                </c:pt>
                <c:pt idx="880">
                  <c:v>26.351400000000002</c:v>
                </c:pt>
                <c:pt idx="881">
                  <c:v>26.851800000000001</c:v>
                </c:pt>
                <c:pt idx="882">
                  <c:v>25.944600000000001</c:v>
                </c:pt>
                <c:pt idx="883">
                  <c:v>25.156400000000001</c:v>
                </c:pt>
                <c:pt idx="884">
                  <c:v>26.5716</c:v>
                </c:pt>
                <c:pt idx="885">
                  <c:v>27.400200000000002</c:v>
                </c:pt>
                <c:pt idx="886">
                  <c:v>26.256900000000002</c:v>
                </c:pt>
                <c:pt idx="887">
                  <c:v>26.437200000000001</c:v>
                </c:pt>
                <c:pt idx="888">
                  <c:v>27.260100000000001</c:v>
                </c:pt>
                <c:pt idx="889">
                  <c:v>26.9544</c:v>
                </c:pt>
                <c:pt idx="890">
                  <c:v>25.307300000000001</c:v>
                </c:pt>
                <c:pt idx="891">
                  <c:v>24.938500000000001</c:v>
                </c:pt>
                <c:pt idx="892">
                  <c:v>23.975999999999999</c:v>
                </c:pt>
                <c:pt idx="893">
                  <c:v>24.226199999999999</c:v>
                </c:pt>
                <c:pt idx="894">
                  <c:v>24.786899999999999</c:v>
                </c:pt>
                <c:pt idx="895">
                  <c:v>24.117000000000001</c:v>
                </c:pt>
                <c:pt idx="896">
                  <c:v>23.693899999999999</c:v>
                </c:pt>
                <c:pt idx="897">
                  <c:v>23.417899999999999</c:v>
                </c:pt>
                <c:pt idx="898">
                  <c:v>25.654499999999999</c:v>
                </c:pt>
                <c:pt idx="899">
                  <c:v>28.068200000000001</c:v>
                </c:pt>
                <c:pt idx="900">
                  <c:v>27.938800000000001</c:v>
                </c:pt>
                <c:pt idx="901">
                  <c:v>27.459700000000002</c:v>
                </c:pt>
                <c:pt idx="902">
                  <c:v>26.704799999999999</c:v>
                </c:pt>
                <c:pt idx="903">
                  <c:v>27.4465</c:v>
                </c:pt>
                <c:pt idx="904">
                  <c:v>28.390799999999999</c:v>
                </c:pt>
                <c:pt idx="905">
                  <c:v>29.675999999999998</c:v>
                </c:pt>
                <c:pt idx="906">
                  <c:v>30.124400000000001</c:v>
                </c:pt>
                <c:pt idx="907">
                  <c:v>30.287700000000001</c:v>
                </c:pt>
                <c:pt idx="908">
                  <c:v>27.3444</c:v>
                </c:pt>
                <c:pt idx="909">
                  <c:v>26.898399999999999</c:v>
                </c:pt>
                <c:pt idx="910">
                  <c:v>22.2987</c:v>
                </c:pt>
                <c:pt idx="911">
                  <c:v>20.177600000000002</c:v>
                </c:pt>
                <c:pt idx="912">
                  <c:v>23.748100000000001</c:v>
                </c:pt>
                <c:pt idx="913">
                  <c:v>21.987500000000001</c:v>
                </c:pt>
                <c:pt idx="914">
                  <c:v>20.830500000000001</c:v>
                </c:pt>
                <c:pt idx="915">
                  <c:v>20.881900000000002</c:v>
                </c:pt>
                <c:pt idx="916">
                  <c:v>22.358599999999999</c:v>
                </c:pt>
                <c:pt idx="917">
                  <c:v>23.853000000000002</c:v>
                </c:pt>
                <c:pt idx="918">
                  <c:v>23.03</c:v>
                </c:pt>
                <c:pt idx="919">
                  <c:v>23.6448</c:v>
                </c:pt>
                <c:pt idx="920">
                  <c:v>20.590900000000001</c:v>
                </c:pt>
                <c:pt idx="921">
                  <c:v>20.267399999999999</c:v>
                </c:pt>
                <c:pt idx="922">
                  <c:v>18.316199999999998</c:v>
                </c:pt>
                <c:pt idx="923">
                  <c:v>17.952400000000001</c:v>
                </c:pt>
                <c:pt idx="924">
                  <c:v>16.1388</c:v>
                </c:pt>
                <c:pt idx="925">
                  <c:v>16.8459</c:v>
                </c:pt>
                <c:pt idx="926">
                  <c:v>17.496500000000001</c:v>
                </c:pt>
                <c:pt idx="927">
                  <c:v>15.2126</c:v>
                </c:pt>
                <c:pt idx="928">
                  <c:v>14.5084</c:v>
                </c:pt>
                <c:pt idx="929">
                  <c:v>14.401400000000001</c:v>
                </c:pt>
                <c:pt idx="930">
                  <c:v>15.032</c:v>
                </c:pt>
                <c:pt idx="931">
                  <c:v>14.645300000000001</c:v>
                </c:pt>
                <c:pt idx="932">
                  <c:v>13.609500000000001</c:v>
                </c:pt>
                <c:pt idx="933">
                  <c:v>13.408300000000001</c:v>
                </c:pt>
                <c:pt idx="934">
                  <c:v>12.3811</c:v>
                </c:pt>
                <c:pt idx="935">
                  <c:v>12.577400000000001</c:v>
                </c:pt>
                <c:pt idx="936">
                  <c:v>14.6058</c:v>
                </c:pt>
                <c:pt idx="937">
                  <c:v>16.090699999999998</c:v>
                </c:pt>
                <c:pt idx="938">
                  <c:v>16.3216</c:v>
                </c:pt>
                <c:pt idx="939">
                  <c:v>17.271999999999998</c:v>
                </c:pt>
                <c:pt idx="940">
                  <c:v>18.512899999999998</c:v>
                </c:pt>
                <c:pt idx="941">
                  <c:v>18.383900000000001</c:v>
                </c:pt>
                <c:pt idx="942">
                  <c:v>18.608699999999999</c:v>
                </c:pt>
                <c:pt idx="943">
                  <c:v>19.156199999999998</c:v>
                </c:pt>
                <c:pt idx="944">
                  <c:v>18.632400000000001</c:v>
                </c:pt>
                <c:pt idx="945">
                  <c:v>16.357600000000001</c:v>
                </c:pt>
                <c:pt idx="946">
                  <c:v>15.1821</c:v>
                </c:pt>
                <c:pt idx="947">
                  <c:v>15.861499999999999</c:v>
                </c:pt>
                <c:pt idx="948">
                  <c:v>15.0319</c:v>
                </c:pt>
                <c:pt idx="949">
                  <c:v>15.876200000000001</c:v>
                </c:pt>
                <c:pt idx="950">
                  <c:v>15.6409</c:v>
                </c:pt>
                <c:pt idx="951">
                  <c:v>15.497199999999999</c:v>
                </c:pt>
                <c:pt idx="952">
                  <c:v>14.984400000000001</c:v>
                </c:pt>
                <c:pt idx="953">
                  <c:v>14.8864</c:v>
                </c:pt>
                <c:pt idx="954">
                  <c:v>16.1586</c:v>
                </c:pt>
                <c:pt idx="955">
                  <c:v>16.125399999999999</c:v>
                </c:pt>
                <c:pt idx="956">
                  <c:v>16.0093</c:v>
                </c:pt>
                <c:pt idx="957">
                  <c:v>16.040900000000001</c:v>
                </c:pt>
                <c:pt idx="958">
                  <c:v>16.2454</c:v>
                </c:pt>
                <c:pt idx="959">
                  <c:v>16.086400000000001</c:v>
                </c:pt>
                <c:pt idx="960">
                  <c:v>15.974500000000001</c:v>
                </c:pt>
                <c:pt idx="961">
                  <c:v>15.8856</c:v>
                </c:pt>
                <c:pt idx="962">
                  <c:v>15.7956</c:v>
                </c:pt>
                <c:pt idx="963">
                  <c:v>15.1319</c:v>
                </c:pt>
                <c:pt idx="964">
                  <c:v>14.8734</c:v>
                </c:pt>
                <c:pt idx="965">
                  <c:v>14.8489</c:v>
                </c:pt>
                <c:pt idx="966">
                  <c:v>15.507099999999999</c:v>
                </c:pt>
                <c:pt idx="967">
                  <c:v>16.256699999999999</c:v>
                </c:pt>
                <c:pt idx="968">
                  <c:v>15.731</c:v>
                </c:pt>
                <c:pt idx="969">
                  <c:v>15.434799999999999</c:v>
                </c:pt>
                <c:pt idx="970">
                  <c:v>16.767199999999999</c:v>
                </c:pt>
                <c:pt idx="971">
                  <c:v>16.571200000000001</c:v>
                </c:pt>
                <c:pt idx="972">
                  <c:v>16.515000000000001</c:v>
                </c:pt>
                <c:pt idx="973">
                  <c:v>16.2014</c:v>
                </c:pt>
                <c:pt idx="974">
                  <c:v>16.859500000000001</c:v>
                </c:pt>
                <c:pt idx="975">
                  <c:v>16.590900000000001</c:v>
                </c:pt>
                <c:pt idx="976">
                  <c:v>16.804400000000001</c:v>
                </c:pt>
                <c:pt idx="977">
                  <c:v>17.730399999999999</c:v>
                </c:pt>
                <c:pt idx="978">
                  <c:v>18.209700000000002</c:v>
                </c:pt>
                <c:pt idx="979">
                  <c:v>18.132100000000001</c:v>
                </c:pt>
                <c:pt idx="980">
                  <c:v>16.996700000000001</c:v>
                </c:pt>
                <c:pt idx="981">
                  <c:v>18.518599999999999</c:v>
                </c:pt>
                <c:pt idx="982">
                  <c:v>18.823399999999999</c:v>
                </c:pt>
                <c:pt idx="983">
                  <c:v>18.723400000000002</c:v>
                </c:pt>
                <c:pt idx="984">
                  <c:v>18.624199999999998</c:v>
                </c:pt>
                <c:pt idx="985">
                  <c:v>18.977499999999999</c:v>
                </c:pt>
                <c:pt idx="986">
                  <c:v>18.587499999999999</c:v>
                </c:pt>
                <c:pt idx="987">
                  <c:v>16.733699999999999</c:v>
                </c:pt>
                <c:pt idx="988">
                  <c:v>16.0459</c:v>
                </c:pt>
                <c:pt idx="989">
                  <c:v>16.528700000000001</c:v>
                </c:pt>
                <c:pt idx="990">
                  <c:v>15.4422</c:v>
                </c:pt>
                <c:pt idx="991">
                  <c:v>16.414300000000001</c:v>
                </c:pt>
                <c:pt idx="992">
                  <c:v>17.025099999999998</c:v>
                </c:pt>
                <c:pt idx="993">
                  <c:v>17.4468</c:v>
                </c:pt>
                <c:pt idx="994">
                  <c:v>16.374199999999998</c:v>
                </c:pt>
                <c:pt idx="995">
                  <c:v>15.6373</c:v>
                </c:pt>
                <c:pt idx="996">
                  <c:v>15.686299999999999</c:v>
                </c:pt>
                <c:pt idx="997">
                  <c:v>16.2075</c:v>
                </c:pt>
                <c:pt idx="998">
                  <c:v>16.386800000000001</c:v>
                </c:pt>
                <c:pt idx="999">
                  <c:v>16.339700000000001</c:v>
                </c:pt>
                <c:pt idx="1000">
                  <c:v>16.565999999999999</c:v>
                </c:pt>
                <c:pt idx="1001">
                  <c:v>17.822500000000002</c:v>
                </c:pt>
                <c:pt idx="1002">
                  <c:v>16.8476</c:v>
                </c:pt>
                <c:pt idx="1003">
                  <c:v>16.1173</c:v>
                </c:pt>
                <c:pt idx="1004">
                  <c:v>16.277799999999999</c:v>
                </c:pt>
                <c:pt idx="1005">
                  <c:v>16.6723</c:v>
                </c:pt>
                <c:pt idx="1006">
                  <c:v>15.1835</c:v>
                </c:pt>
                <c:pt idx="1007">
                  <c:v>14.3507</c:v>
                </c:pt>
                <c:pt idx="1008">
                  <c:v>15.031000000000001</c:v>
                </c:pt>
                <c:pt idx="1009">
                  <c:v>13.9964</c:v>
                </c:pt>
                <c:pt idx="1010">
                  <c:v>14.147600000000001</c:v>
                </c:pt>
                <c:pt idx="1011">
                  <c:v>14.406499999999999</c:v>
                </c:pt>
                <c:pt idx="1012">
                  <c:v>14.002800000000001</c:v>
                </c:pt>
                <c:pt idx="1013">
                  <c:v>14.147399999999999</c:v>
                </c:pt>
                <c:pt idx="1014">
                  <c:v>13.803000000000001</c:v>
                </c:pt>
                <c:pt idx="1015">
                  <c:v>12.97</c:v>
                </c:pt>
                <c:pt idx="1016">
                  <c:v>12.806699999999999</c:v>
                </c:pt>
                <c:pt idx="1017">
                  <c:v>13.802899999999999</c:v>
                </c:pt>
                <c:pt idx="1018">
                  <c:v>12.872199999999999</c:v>
                </c:pt>
                <c:pt idx="1019">
                  <c:v>12.766</c:v>
                </c:pt>
                <c:pt idx="1020">
                  <c:v>12.989800000000001</c:v>
                </c:pt>
                <c:pt idx="1021">
                  <c:v>13.428800000000001</c:v>
                </c:pt>
                <c:pt idx="1022">
                  <c:v>13.432700000000001</c:v>
                </c:pt>
                <c:pt idx="1023">
                  <c:v>13.543699999999999</c:v>
                </c:pt>
                <c:pt idx="1024">
                  <c:v>14.196199999999999</c:v>
                </c:pt>
                <c:pt idx="1025">
                  <c:v>14.7662</c:v>
                </c:pt>
                <c:pt idx="1026">
                  <c:v>14.5892</c:v>
                </c:pt>
                <c:pt idx="1027">
                  <c:v>15.318300000000001</c:v>
                </c:pt>
                <c:pt idx="1028">
                  <c:v>14.308400000000001</c:v>
                </c:pt>
                <c:pt idx="1029">
                  <c:v>14.7874</c:v>
                </c:pt>
                <c:pt idx="1030">
                  <c:v>15.488099999999999</c:v>
                </c:pt>
                <c:pt idx="1031">
                  <c:v>16.549299999999999</c:v>
                </c:pt>
                <c:pt idx="1032">
                  <c:v>16.0092</c:v>
                </c:pt>
                <c:pt idx="1033">
                  <c:v>15.981999999999999</c:v>
                </c:pt>
                <c:pt idx="1034">
                  <c:v>16.115500000000001</c:v>
                </c:pt>
                <c:pt idx="1035">
                  <c:v>15.9979</c:v>
                </c:pt>
                <c:pt idx="1036">
                  <c:v>16.6633</c:v>
                </c:pt>
                <c:pt idx="1037">
                  <c:v>17.727799999999998</c:v>
                </c:pt>
                <c:pt idx="1038">
                  <c:v>18.839099999999998</c:v>
                </c:pt>
                <c:pt idx="1039">
                  <c:v>19.4146</c:v>
                </c:pt>
                <c:pt idx="1040">
                  <c:v>19.9696</c:v>
                </c:pt>
                <c:pt idx="1041">
                  <c:v>20.112300000000001</c:v>
                </c:pt>
                <c:pt idx="1042">
                  <c:v>20.160799999999998</c:v>
                </c:pt>
                <c:pt idx="1043">
                  <c:v>21.3873</c:v>
                </c:pt>
                <c:pt idx="1044">
                  <c:v>21.927800000000001</c:v>
                </c:pt>
                <c:pt idx="1045">
                  <c:v>22.078700000000001</c:v>
                </c:pt>
                <c:pt idx="1046">
                  <c:v>21.282900000000001</c:v>
                </c:pt>
                <c:pt idx="1047">
                  <c:v>21.847899999999999</c:v>
                </c:pt>
                <c:pt idx="1048">
                  <c:v>21.4831</c:v>
                </c:pt>
                <c:pt idx="1049">
                  <c:v>20.0212</c:v>
                </c:pt>
                <c:pt idx="1050">
                  <c:v>19.790600000000001</c:v>
                </c:pt>
                <c:pt idx="1051">
                  <c:v>19.990100000000002</c:v>
                </c:pt>
                <c:pt idx="1052">
                  <c:v>20.283999999999999</c:v>
                </c:pt>
                <c:pt idx="1053">
                  <c:v>20.118400000000001</c:v>
                </c:pt>
                <c:pt idx="1054">
                  <c:v>20.150300000000001</c:v>
                </c:pt>
                <c:pt idx="1055">
                  <c:v>21.112300000000001</c:v>
                </c:pt>
                <c:pt idx="1056">
                  <c:v>21.366499999999998</c:v>
                </c:pt>
                <c:pt idx="1057">
                  <c:v>21.9344</c:v>
                </c:pt>
                <c:pt idx="1058">
                  <c:v>22.858799999999999</c:v>
                </c:pt>
                <c:pt idx="1059">
                  <c:v>23.123200000000001</c:v>
                </c:pt>
                <c:pt idx="1060">
                  <c:v>23.5108</c:v>
                </c:pt>
                <c:pt idx="1061">
                  <c:v>23.930499999999999</c:v>
                </c:pt>
                <c:pt idx="1062">
                  <c:v>23.8338</c:v>
                </c:pt>
                <c:pt idx="1063">
                  <c:v>23.409300000000002</c:v>
                </c:pt>
                <c:pt idx="1064">
                  <c:v>25.148399999999999</c:v>
                </c:pt>
                <c:pt idx="1065">
                  <c:v>24.209199999999999</c:v>
                </c:pt>
                <c:pt idx="1066">
                  <c:v>25.000800000000002</c:v>
                </c:pt>
                <c:pt idx="1067">
                  <c:v>24.733699999999999</c:v>
                </c:pt>
                <c:pt idx="1068">
                  <c:v>25.4114</c:v>
                </c:pt>
                <c:pt idx="1069">
                  <c:v>25.053799999999999</c:v>
                </c:pt>
                <c:pt idx="1070">
                  <c:v>22.820599999999999</c:v>
                </c:pt>
                <c:pt idx="1071">
                  <c:v>23.506799999999998</c:v>
                </c:pt>
                <c:pt idx="1072">
                  <c:v>23.213699999999999</c:v>
                </c:pt>
                <c:pt idx="1073">
                  <c:v>23.461400000000001</c:v>
                </c:pt>
                <c:pt idx="1074">
                  <c:v>23.204699999999999</c:v>
                </c:pt>
                <c:pt idx="1075">
                  <c:v>23.394100000000002</c:v>
                </c:pt>
                <c:pt idx="1076">
                  <c:v>23.853100000000001</c:v>
                </c:pt>
                <c:pt idx="1077">
                  <c:v>24.6616</c:v>
                </c:pt>
                <c:pt idx="1078">
                  <c:v>25.5152</c:v>
                </c:pt>
                <c:pt idx="1079">
                  <c:v>24.2088</c:v>
                </c:pt>
                <c:pt idx="1080">
                  <c:v>24.8413</c:v>
                </c:pt>
                <c:pt idx="1081">
                  <c:v>24.3767</c:v>
                </c:pt>
                <c:pt idx="1082">
                  <c:v>24.473700000000001</c:v>
                </c:pt>
                <c:pt idx="1083">
                  <c:v>24.777100000000001</c:v>
                </c:pt>
                <c:pt idx="1084">
                  <c:v>24.541899999999998</c:v>
                </c:pt>
                <c:pt idx="1085">
                  <c:v>25.2011</c:v>
                </c:pt>
                <c:pt idx="1086">
                  <c:v>25.423400000000001</c:v>
                </c:pt>
                <c:pt idx="1087">
                  <c:v>25.202400000000001</c:v>
                </c:pt>
                <c:pt idx="1088">
                  <c:v>25.164400000000001</c:v>
                </c:pt>
                <c:pt idx="1089">
                  <c:v>25.455200000000001</c:v>
                </c:pt>
                <c:pt idx="1090">
                  <c:v>25.701699999999999</c:v>
                </c:pt>
                <c:pt idx="1091">
                  <c:v>26.345800000000001</c:v>
                </c:pt>
                <c:pt idx="1092">
                  <c:v>26.3064</c:v>
                </c:pt>
                <c:pt idx="1093">
                  <c:v>27.978999999999999</c:v>
                </c:pt>
                <c:pt idx="1094">
                  <c:v>28.359400000000001</c:v>
                </c:pt>
                <c:pt idx="1095">
                  <c:v>28.730699999999999</c:v>
                </c:pt>
                <c:pt idx="1096">
                  <c:v>28.905999999999999</c:v>
                </c:pt>
                <c:pt idx="1097">
                  <c:v>31.651299999999999</c:v>
                </c:pt>
                <c:pt idx="1098">
                  <c:v>33.040199999999999</c:v>
                </c:pt>
                <c:pt idx="1099">
                  <c:v>32.976399999999998</c:v>
                </c:pt>
                <c:pt idx="1100">
                  <c:v>31.671099999999999</c:v>
                </c:pt>
                <c:pt idx="1101">
                  <c:v>30.8292</c:v>
                </c:pt>
                <c:pt idx="1102">
                  <c:v>30.953099999999999</c:v>
                </c:pt>
                <c:pt idx="1103">
                  <c:v>30.176500000000001</c:v>
                </c:pt>
                <c:pt idx="1104">
                  <c:v>30.576799999999999</c:v>
                </c:pt>
                <c:pt idx="1105">
                  <c:v>30.4937</c:v>
                </c:pt>
                <c:pt idx="1106">
                  <c:v>30.323599999999999</c:v>
                </c:pt>
                <c:pt idx="1107">
                  <c:v>30.2667</c:v>
                </c:pt>
                <c:pt idx="1108">
                  <c:v>30.434000000000001</c:v>
                </c:pt>
                <c:pt idx="1109">
                  <c:v>30.804099999999998</c:v>
                </c:pt>
                <c:pt idx="1110">
                  <c:v>30.679300000000001</c:v>
                </c:pt>
                <c:pt idx="1111">
                  <c:v>30.576000000000001</c:v>
                </c:pt>
                <c:pt idx="1112">
                  <c:v>30.6906</c:v>
                </c:pt>
                <c:pt idx="1113">
                  <c:v>30.779</c:v>
                </c:pt>
                <c:pt idx="1114">
                  <c:v>31.4131</c:v>
                </c:pt>
                <c:pt idx="1115">
                  <c:v>31.588200000000001</c:v>
                </c:pt>
                <c:pt idx="1116">
                  <c:v>31.9543</c:v>
                </c:pt>
                <c:pt idx="1117">
                  <c:v>31.4908</c:v>
                </c:pt>
                <c:pt idx="1118">
                  <c:v>32.159700000000001</c:v>
                </c:pt>
                <c:pt idx="1119">
                  <c:v>32.36</c:v>
                </c:pt>
                <c:pt idx="1120">
                  <c:v>33.186599999999999</c:v>
                </c:pt>
                <c:pt idx="1121">
                  <c:v>33.098999999999997</c:v>
                </c:pt>
                <c:pt idx="1122">
                  <c:v>36.058799999999998</c:v>
                </c:pt>
                <c:pt idx="1123">
                  <c:v>37.812899999999999</c:v>
                </c:pt>
                <c:pt idx="1124">
                  <c:v>37.472999999999999</c:v>
                </c:pt>
                <c:pt idx="1125">
                  <c:v>38.055399999999999</c:v>
                </c:pt>
                <c:pt idx="1126">
                  <c:v>35.846600000000002</c:v>
                </c:pt>
                <c:pt idx="1127">
                  <c:v>35.877000000000002</c:v>
                </c:pt>
                <c:pt idx="1128">
                  <c:v>37.188499999999998</c:v>
                </c:pt>
                <c:pt idx="1129">
                  <c:v>36.906799999999997</c:v>
                </c:pt>
                <c:pt idx="1130">
                  <c:v>37.648899999999998</c:v>
                </c:pt>
                <c:pt idx="1131">
                  <c:v>38.263800000000003</c:v>
                </c:pt>
                <c:pt idx="1132">
                  <c:v>39.115900000000003</c:v>
                </c:pt>
                <c:pt idx="1133">
                  <c:v>39.4908</c:v>
                </c:pt>
                <c:pt idx="1134">
                  <c:v>39.3887</c:v>
                </c:pt>
                <c:pt idx="1135">
                  <c:v>41.411200000000001</c:v>
                </c:pt>
                <c:pt idx="1136">
                  <c:v>40.479500000000002</c:v>
                </c:pt>
                <c:pt idx="1137">
                  <c:v>39.170400000000001</c:v>
                </c:pt>
                <c:pt idx="1138">
                  <c:v>40.091500000000003</c:v>
                </c:pt>
                <c:pt idx="1139">
                  <c:v>40.290999999999997</c:v>
                </c:pt>
                <c:pt idx="1140">
                  <c:v>40.351300000000002</c:v>
                </c:pt>
                <c:pt idx="1141">
                  <c:v>38.930700000000002</c:v>
                </c:pt>
                <c:pt idx="1142">
                  <c:v>37.681899999999999</c:v>
                </c:pt>
                <c:pt idx="1143">
                  <c:v>36.588500000000003</c:v>
                </c:pt>
                <c:pt idx="1144">
                  <c:v>37.256500000000003</c:v>
                </c:pt>
                <c:pt idx="1145">
                  <c:v>37.264499999999998</c:v>
                </c:pt>
                <c:pt idx="1146">
                  <c:v>39.125300000000003</c:v>
                </c:pt>
                <c:pt idx="1147">
                  <c:v>41.307699999999997</c:v>
                </c:pt>
                <c:pt idx="1148">
                  <c:v>42.873600000000003</c:v>
                </c:pt>
                <c:pt idx="1149">
                  <c:v>44.872199999999999</c:v>
                </c:pt>
                <c:pt idx="1150">
                  <c:v>44.971699999999998</c:v>
                </c:pt>
                <c:pt idx="1151">
                  <c:v>47.689</c:v>
                </c:pt>
                <c:pt idx="1152">
                  <c:v>47.773699999999998</c:v>
                </c:pt>
                <c:pt idx="1153">
                  <c:v>49.945599999999999</c:v>
                </c:pt>
                <c:pt idx="1154">
                  <c:v>52.295499999999997</c:v>
                </c:pt>
                <c:pt idx="1155">
                  <c:v>51.865600000000001</c:v>
                </c:pt>
                <c:pt idx="1156">
                  <c:v>51.593400000000003</c:v>
                </c:pt>
                <c:pt idx="1157">
                  <c:v>49.827500000000001</c:v>
                </c:pt>
                <c:pt idx="1158">
                  <c:v>51.405500000000004</c:v>
                </c:pt>
                <c:pt idx="1159">
                  <c:v>51.182600000000001</c:v>
                </c:pt>
                <c:pt idx="1160">
                  <c:v>49.980699999999999</c:v>
                </c:pt>
                <c:pt idx="1161">
                  <c:v>48.752400000000002</c:v>
                </c:pt>
                <c:pt idx="1162">
                  <c:v>49.530299999999997</c:v>
                </c:pt>
                <c:pt idx="1163">
                  <c:v>50.52</c:v>
                </c:pt>
                <c:pt idx="1164">
                  <c:v>50.436799999999998</c:v>
                </c:pt>
                <c:pt idx="1165">
                  <c:v>50.213999999999999</c:v>
                </c:pt>
                <c:pt idx="1166">
                  <c:v>50.628</c:v>
                </c:pt>
                <c:pt idx="1167">
                  <c:v>49.729100000000003</c:v>
                </c:pt>
                <c:pt idx="1168">
                  <c:v>49.660499999999999</c:v>
                </c:pt>
                <c:pt idx="1169">
                  <c:v>51.910699999999999</c:v>
                </c:pt>
                <c:pt idx="1170">
                  <c:v>52.831699999999998</c:v>
                </c:pt>
                <c:pt idx="1171">
                  <c:v>51.408099999999997</c:v>
                </c:pt>
                <c:pt idx="1172">
                  <c:v>52.3887</c:v>
                </c:pt>
                <c:pt idx="1173">
                  <c:v>57.304600000000001</c:v>
                </c:pt>
                <c:pt idx="1174">
                  <c:v>57.703200000000002</c:v>
                </c:pt>
                <c:pt idx="1175">
                  <c:v>57.049900000000001</c:v>
                </c:pt>
                <c:pt idx="1176">
                  <c:v>57.131399999999999</c:v>
                </c:pt>
                <c:pt idx="1177">
                  <c:v>56.686799999999998</c:v>
                </c:pt>
                <c:pt idx="1178">
                  <c:v>56.9392</c:v>
                </c:pt>
                <c:pt idx="1179">
                  <c:v>55.3767</c:v>
                </c:pt>
                <c:pt idx="1180">
                  <c:v>53.661799999999999</c:v>
                </c:pt>
                <c:pt idx="1181">
                  <c:v>51.109400000000001</c:v>
                </c:pt>
                <c:pt idx="1182">
                  <c:v>49.155299999999997</c:v>
                </c:pt>
                <c:pt idx="1183">
                  <c:v>51.376399999999997</c:v>
                </c:pt>
                <c:pt idx="1184">
                  <c:v>53.437899999999999</c:v>
                </c:pt>
                <c:pt idx="1185">
                  <c:v>53.907800000000002</c:v>
                </c:pt>
                <c:pt idx="1186">
                  <c:v>54.350200000000001</c:v>
                </c:pt>
                <c:pt idx="1187">
                  <c:v>54.962899999999998</c:v>
                </c:pt>
                <c:pt idx="1188">
                  <c:v>54.2958</c:v>
                </c:pt>
                <c:pt idx="1189">
                  <c:v>56.494500000000002</c:v>
                </c:pt>
                <c:pt idx="1190">
                  <c:v>56.290700000000001</c:v>
                </c:pt>
                <c:pt idx="1191">
                  <c:v>57.011299999999999</c:v>
                </c:pt>
                <c:pt idx="1192">
                  <c:v>56.677500000000002</c:v>
                </c:pt>
                <c:pt idx="1193">
                  <c:v>53.996499999999997</c:v>
                </c:pt>
                <c:pt idx="1194">
                  <c:v>54.695099999999996</c:v>
                </c:pt>
                <c:pt idx="1195">
                  <c:v>52.173400000000001</c:v>
                </c:pt>
                <c:pt idx="1196">
                  <c:v>51.374699999999997</c:v>
                </c:pt>
                <c:pt idx="1197">
                  <c:v>52.476700000000001</c:v>
                </c:pt>
                <c:pt idx="1198">
                  <c:v>52.906399999999998</c:v>
                </c:pt>
                <c:pt idx="1199">
                  <c:v>53.914900000000003</c:v>
                </c:pt>
                <c:pt idx="1200">
                  <c:v>54.5124</c:v>
                </c:pt>
                <c:pt idx="1201">
                  <c:v>57.873100000000001</c:v>
                </c:pt>
                <c:pt idx="1202">
                  <c:v>62.872900000000001</c:v>
                </c:pt>
                <c:pt idx="1203">
                  <c:v>66.134299999999996</c:v>
                </c:pt>
                <c:pt idx="1204">
                  <c:v>64.095100000000002</c:v>
                </c:pt>
                <c:pt idx="1205">
                  <c:v>65.537400000000005</c:v>
                </c:pt>
                <c:pt idx="1206">
                  <c:v>65.477000000000004</c:v>
                </c:pt>
                <c:pt idx="1207">
                  <c:v>64.850700000000003</c:v>
                </c:pt>
                <c:pt idx="1208">
                  <c:v>64.402100000000004</c:v>
                </c:pt>
                <c:pt idx="1209">
                  <c:v>65.104600000000005</c:v>
                </c:pt>
                <c:pt idx="1210">
                  <c:v>64.58</c:v>
                </c:pt>
                <c:pt idx="1211">
                  <c:v>63.852400000000003</c:v>
                </c:pt>
                <c:pt idx="1212">
                  <c:v>64.244200000000006</c:v>
                </c:pt>
                <c:pt idx="1213">
                  <c:v>64.8827</c:v>
                </c:pt>
                <c:pt idx="1214">
                  <c:v>66.695400000000006</c:v>
                </c:pt>
                <c:pt idx="1215">
                  <c:v>66.476799999999997</c:v>
                </c:pt>
                <c:pt idx="1216">
                  <c:v>66.078699999999998</c:v>
                </c:pt>
                <c:pt idx="1217">
                  <c:v>65.430700000000002</c:v>
                </c:pt>
                <c:pt idx="1218">
                  <c:v>66.695899999999995</c:v>
                </c:pt>
                <c:pt idx="1219">
                  <c:v>67.063000000000002</c:v>
                </c:pt>
                <c:pt idx="1220">
                  <c:v>67.901300000000006</c:v>
                </c:pt>
                <c:pt idx="1221">
                  <c:v>68.8703</c:v>
                </c:pt>
                <c:pt idx="1222">
                  <c:v>68.864400000000003</c:v>
                </c:pt>
                <c:pt idx="1223">
                  <c:v>67.255200000000002</c:v>
                </c:pt>
                <c:pt idx="1224">
                  <c:v>66.234099999999998</c:v>
                </c:pt>
                <c:pt idx="1225">
                  <c:v>65.359499999999997</c:v>
                </c:pt>
                <c:pt idx="1226">
                  <c:v>64.997200000000007</c:v>
                </c:pt>
                <c:pt idx="1227">
                  <c:v>64.900099999999995</c:v>
                </c:pt>
                <c:pt idx="1228">
                  <c:v>66.947100000000006</c:v>
                </c:pt>
                <c:pt idx="1229">
                  <c:v>67.619100000000003</c:v>
                </c:pt>
                <c:pt idx="1230">
                  <c:v>67.116900000000001</c:v>
                </c:pt>
                <c:pt idx="1231">
                  <c:v>66.574399999999997</c:v>
                </c:pt>
                <c:pt idx="1232">
                  <c:v>67.431399999999996</c:v>
                </c:pt>
                <c:pt idx="1233">
                  <c:v>66.196899999999999</c:v>
                </c:pt>
                <c:pt idx="1234">
                  <c:v>65.683899999999994</c:v>
                </c:pt>
                <c:pt idx="1235">
                  <c:v>65.429599999999994</c:v>
                </c:pt>
                <c:pt idx="1236">
                  <c:v>66.897099999999995</c:v>
                </c:pt>
                <c:pt idx="1237">
                  <c:v>66.743600000000001</c:v>
                </c:pt>
                <c:pt idx="1238">
                  <c:v>66.868700000000004</c:v>
                </c:pt>
                <c:pt idx="1239">
                  <c:v>66.328500000000005</c:v>
                </c:pt>
                <c:pt idx="1240">
                  <c:v>67.466300000000004</c:v>
                </c:pt>
                <c:pt idx="1241">
                  <c:v>65.295299999999997</c:v>
                </c:pt>
                <c:pt idx="1242">
                  <c:v>66.009200000000007</c:v>
                </c:pt>
                <c:pt idx="1243">
                  <c:v>67.736999999999995</c:v>
                </c:pt>
                <c:pt idx="1244">
                  <c:v>64.408699999999996</c:v>
                </c:pt>
                <c:pt idx="1245">
                  <c:v>60.7834</c:v>
                </c:pt>
                <c:pt idx="1246">
                  <c:v>61.9846</c:v>
                </c:pt>
                <c:pt idx="1247">
                  <c:v>61.700800000000001</c:v>
                </c:pt>
                <c:pt idx="1248">
                  <c:v>62.0246</c:v>
                </c:pt>
                <c:pt idx="1249">
                  <c:v>60.9651</c:v>
                </c:pt>
                <c:pt idx="1250">
                  <c:v>63.2042</c:v>
                </c:pt>
                <c:pt idx="1251">
                  <c:v>62.937899999999999</c:v>
                </c:pt>
                <c:pt idx="1252">
                  <c:v>61.287500000000001</c:v>
                </c:pt>
                <c:pt idx="1253">
                  <c:v>64.009</c:v>
                </c:pt>
                <c:pt idx="1254">
                  <c:v>62.603299999999997</c:v>
                </c:pt>
                <c:pt idx="1255">
                  <c:v>61.128100000000003</c:v>
                </c:pt>
                <c:pt idx="1256">
                  <c:v>58.128999999999998</c:v>
                </c:pt>
                <c:pt idx="1257">
                  <c:v>55.256100000000004</c:v>
                </c:pt>
                <c:pt idx="1258">
                  <c:v>55.200499999999998</c:v>
                </c:pt>
                <c:pt idx="1259">
                  <c:v>58.130200000000002</c:v>
                </c:pt>
                <c:pt idx="1260">
                  <c:v>58.238500000000002</c:v>
                </c:pt>
                <c:pt idx="1261">
                  <c:v>58.391199999999998</c:v>
                </c:pt>
                <c:pt idx="1262">
                  <c:v>58.945300000000003</c:v>
                </c:pt>
                <c:pt idx="1263">
                  <c:v>60.501600000000003</c:v>
                </c:pt>
                <c:pt idx="1264">
                  <c:v>61.9176</c:v>
                </c:pt>
                <c:pt idx="1265">
                  <c:v>61.3476</c:v>
                </c:pt>
                <c:pt idx="1266">
                  <c:v>61.593400000000003</c:v>
                </c:pt>
                <c:pt idx="1267">
                  <c:v>61.6145</c:v>
                </c:pt>
                <c:pt idx="1268">
                  <c:v>62.726599999999998</c:v>
                </c:pt>
                <c:pt idx="1269">
                  <c:v>61.381799999999998</c:v>
                </c:pt>
                <c:pt idx="1270">
                  <c:v>61.267000000000003</c:v>
                </c:pt>
                <c:pt idx="1271">
                  <c:v>62.121899999999997</c:v>
                </c:pt>
                <c:pt idx="1272">
                  <c:v>60.187399999999997</c:v>
                </c:pt>
                <c:pt idx="1273">
                  <c:v>60.930999999999997</c:v>
                </c:pt>
                <c:pt idx="1274">
                  <c:v>60.708300000000001</c:v>
                </c:pt>
                <c:pt idx="1275">
                  <c:v>59.880200000000002</c:v>
                </c:pt>
                <c:pt idx="1276">
                  <c:v>60.182899999999997</c:v>
                </c:pt>
                <c:pt idx="1277">
                  <c:v>61.9953</c:v>
                </c:pt>
                <c:pt idx="1278">
                  <c:v>59.924100000000003</c:v>
                </c:pt>
                <c:pt idx="1279">
                  <c:v>60.480800000000002</c:v>
                </c:pt>
                <c:pt idx="1280">
                  <c:v>60.758600000000001</c:v>
                </c:pt>
                <c:pt idx="1281">
                  <c:v>60.775500000000001</c:v>
                </c:pt>
                <c:pt idx="1282">
                  <c:v>60.181699999999999</c:v>
                </c:pt>
                <c:pt idx="1283">
                  <c:v>61.834400000000002</c:v>
                </c:pt>
                <c:pt idx="1284">
                  <c:v>60.665799999999997</c:v>
                </c:pt>
                <c:pt idx="1285">
                  <c:v>58.837200000000003</c:v>
                </c:pt>
                <c:pt idx="1286">
                  <c:v>57.842599999999997</c:v>
                </c:pt>
                <c:pt idx="1287">
                  <c:v>57.6616</c:v>
                </c:pt>
                <c:pt idx="1288">
                  <c:v>56.5411</c:v>
                </c:pt>
                <c:pt idx="1289">
                  <c:v>57.133899999999997</c:v>
                </c:pt>
                <c:pt idx="1290">
                  <c:v>57.248399999999997</c:v>
                </c:pt>
                <c:pt idx="1291">
                  <c:v>58.3431</c:v>
                </c:pt>
                <c:pt idx="1292">
                  <c:v>59.760599999999997</c:v>
                </c:pt>
                <c:pt idx="1293">
                  <c:v>58.524500000000003</c:v>
                </c:pt>
                <c:pt idx="1294">
                  <c:v>57.702599999999997</c:v>
                </c:pt>
                <c:pt idx="1295">
                  <c:v>57.289700000000003</c:v>
                </c:pt>
                <c:pt idx="1296">
                  <c:v>57.376300000000001</c:v>
                </c:pt>
                <c:pt idx="1297">
                  <c:v>56.826799999999999</c:v>
                </c:pt>
                <c:pt idx="1298">
                  <c:v>57.599600000000002</c:v>
                </c:pt>
                <c:pt idx="1299">
                  <c:v>55.576599999999999</c:v>
                </c:pt>
                <c:pt idx="1300">
                  <c:v>55.607900000000001</c:v>
                </c:pt>
                <c:pt idx="1301">
                  <c:v>56.063699999999997</c:v>
                </c:pt>
                <c:pt idx="1302">
                  <c:v>55.254199999999997</c:v>
                </c:pt>
                <c:pt idx="1303">
                  <c:v>54.618400000000001</c:v>
                </c:pt>
                <c:pt idx="1304">
                  <c:v>53.728000000000002</c:v>
                </c:pt>
                <c:pt idx="1305">
                  <c:v>51.8444</c:v>
                </c:pt>
                <c:pt idx="1306">
                  <c:v>47.890099999999997</c:v>
                </c:pt>
                <c:pt idx="1307">
                  <c:v>45.298499999999997</c:v>
                </c:pt>
                <c:pt idx="1308">
                  <c:v>49.985500000000002</c:v>
                </c:pt>
                <c:pt idx="1309">
                  <c:v>49.5916</c:v>
                </c:pt>
                <c:pt idx="1310">
                  <c:v>50.646500000000003</c:v>
                </c:pt>
                <c:pt idx="1311">
                  <c:v>50.4193</c:v>
                </c:pt>
                <c:pt idx="1312">
                  <c:v>48.331299999999999</c:v>
                </c:pt>
                <c:pt idx="1313">
                  <c:v>46.677500000000002</c:v>
                </c:pt>
                <c:pt idx="1314">
                  <c:v>45.562899999999999</c:v>
                </c:pt>
                <c:pt idx="1315">
                  <c:v>46.216000000000001</c:v>
                </c:pt>
                <c:pt idx="1316">
                  <c:v>43.272500000000001</c:v>
                </c:pt>
                <c:pt idx="1317">
                  <c:v>43.224800000000002</c:v>
                </c:pt>
                <c:pt idx="1318">
                  <c:v>43.626300000000001</c:v>
                </c:pt>
                <c:pt idx="1319">
                  <c:v>42.1327</c:v>
                </c:pt>
                <c:pt idx="1320">
                  <c:v>43.0563</c:v>
                </c:pt>
                <c:pt idx="1321">
                  <c:v>44.934399999999997</c:v>
                </c:pt>
                <c:pt idx="1322">
                  <c:v>45.730200000000004</c:v>
                </c:pt>
                <c:pt idx="1323">
                  <c:v>44.380400000000002</c:v>
                </c:pt>
                <c:pt idx="1324">
                  <c:v>45.072800000000001</c:v>
                </c:pt>
                <c:pt idx="1325">
                  <c:v>46.5608</c:v>
                </c:pt>
                <c:pt idx="1326">
                  <c:v>43.390500000000003</c:v>
                </c:pt>
                <c:pt idx="1327">
                  <c:v>42.433700000000002</c:v>
                </c:pt>
                <c:pt idx="1328">
                  <c:v>43.502200000000002</c:v>
                </c:pt>
                <c:pt idx="1329">
                  <c:v>44.697400000000002</c:v>
                </c:pt>
                <c:pt idx="1330">
                  <c:v>45.643700000000003</c:v>
                </c:pt>
                <c:pt idx="1331">
                  <c:v>45.411900000000003</c:v>
                </c:pt>
                <c:pt idx="1332">
                  <c:v>47.506500000000003</c:v>
                </c:pt>
                <c:pt idx="1333">
                  <c:v>49.295299999999997</c:v>
                </c:pt>
                <c:pt idx="1334">
                  <c:v>49.136899999999997</c:v>
                </c:pt>
                <c:pt idx="1335">
                  <c:v>48.855200000000004</c:v>
                </c:pt>
                <c:pt idx="1336">
                  <c:v>48.4908</c:v>
                </c:pt>
                <c:pt idx="1337">
                  <c:v>48.818600000000004</c:v>
                </c:pt>
                <c:pt idx="1338">
                  <c:v>47.3812</c:v>
                </c:pt>
                <c:pt idx="1339">
                  <c:v>46.309899999999999</c:v>
                </c:pt>
                <c:pt idx="1340">
                  <c:v>45.740299999999998</c:v>
                </c:pt>
                <c:pt idx="1341">
                  <c:v>44.983499999999999</c:v>
                </c:pt>
                <c:pt idx="1342">
                  <c:v>45.819499999999998</c:v>
                </c:pt>
                <c:pt idx="1343">
                  <c:v>44.740099999999998</c:v>
                </c:pt>
                <c:pt idx="1344">
                  <c:v>44.862699999999997</c:v>
                </c:pt>
                <c:pt idx="1345">
                  <c:v>45.952599999999997</c:v>
                </c:pt>
                <c:pt idx="1346">
                  <c:v>48.771900000000002</c:v>
                </c:pt>
                <c:pt idx="1347">
                  <c:v>50.530900000000003</c:v>
                </c:pt>
                <c:pt idx="1348">
                  <c:v>49.9636</c:v>
                </c:pt>
                <c:pt idx="1349">
                  <c:v>50.944600000000001</c:v>
                </c:pt>
                <c:pt idx="1350">
                  <c:v>49.970500000000001</c:v>
                </c:pt>
                <c:pt idx="1351">
                  <c:v>50.365099999999998</c:v>
                </c:pt>
                <c:pt idx="1352">
                  <c:v>50.587400000000002</c:v>
                </c:pt>
                <c:pt idx="1353">
                  <c:v>51.254899999999999</c:v>
                </c:pt>
                <c:pt idx="1354">
                  <c:v>52.151600000000002</c:v>
                </c:pt>
                <c:pt idx="1355">
                  <c:v>53.254800000000003</c:v>
                </c:pt>
                <c:pt idx="1356">
                  <c:v>54.363599999999998</c:v>
                </c:pt>
                <c:pt idx="1357">
                  <c:v>55.231900000000003</c:v>
                </c:pt>
                <c:pt idx="1358">
                  <c:v>55.580599999999997</c:v>
                </c:pt>
                <c:pt idx="1359">
                  <c:v>55.431699999999999</c:v>
                </c:pt>
                <c:pt idx="1360">
                  <c:v>55.435899999999997</c:v>
                </c:pt>
                <c:pt idx="1361">
                  <c:v>55.935899999999997</c:v>
                </c:pt>
                <c:pt idx="1362">
                  <c:v>58.569899999999997</c:v>
                </c:pt>
                <c:pt idx="1363">
                  <c:v>57.853299999999997</c:v>
                </c:pt>
                <c:pt idx="1364">
                  <c:v>56.976599999999998</c:v>
                </c:pt>
                <c:pt idx="1365">
                  <c:v>55.262500000000003</c:v>
                </c:pt>
                <c:pt idx="1366">
                  <c:v>55.637900000000002</c:v>
                </c:pt>
                <c:pt idx="1367">
                  <c:v>56.359400000000001</c:v>
                </c:pt>
                <c:pt idx="1368">
                  <c:v>55.704900000000002</c:v>
                </c:pt>
                <c:pt idx="1369">
                  <c:v>56.329099999999997</c:v>
                </c:pt>
                <c:pt idx="1370">
                  <c:v>55.688299999999998</c:v>
                </c:pt>
                <c:pt idx="1371">
                  <c:v>56.829300000000003</c:v>
                </c:pt>
                <c:pt idx="1372">
                  <c:v>56.6372</c:v>
                </c:pt>
                <c:pt idx="1373">
                  <c:v>55.838299999999997</c:v>
                </c:pt>
                <c:pt idx="1374">
                  <c:v>55.049100000000003</c:v>
                </c:pt>
                <c:pt idx="1375">
                  <c:v>55.503</c:v>
                </c:pt>
                <c:pt idx="1376">
                  <c:v>55.648400000000002</c:v>
                </c:pt>
                <c:pt idx="1377">
                  <c:v>56.0473</c:v>
                </c:pt>
                <c:pt idx="1378">
                  <c:v>57.847799999999999</c:v>
                </c:pt>
                <c:pt idx="1379">
                  <c:v>58.035499999999999</c:v>
                </c:pt>
                <c:pt idx="1380">
                  <c:v>58.212000000000003</c:v>
                </c:pt>
                <c:pt idx="1381">
                  <c:v>55.815300000000001</c:v>
                </c:pt>
                <c:pt idx="1382">
                  <c:v>56.524500000000003</c:v>
                </c:pt>
                <c:pt idx="1383">
                  <c:v>55.785699999999999</c:v>
                </c:pt>
                <c:pt idx="1384">
                  <c:v>56.945500000000003</c:v>
                </c:pt>
                <c:pt idx="1385">
                  <c:v>56.835299999999997</c:v>
                </c:pt>
                <c:pt idx="1386">
                  <c:v>57.352400000000003</c:v>
                </c:pt>
                <c:pt idx="1387">
                  <c:v>56.897799999999997</c:v>
                </c:pt>
                <c:pt idx="1388">
                  <c:v>58.119100000000003</c:v>
                </c:pt>
                <c:pt idx="1389">
                  <c:v>58.052599999999998</c:v>
                </c:pt>
                <c:pt idx="1390">
                  <c:v>58.344499999999996</c:v>
                </c:pt>
                <c:pt idx="1391">
                  <c:v>58.058100000000003</c:v>
                </c:pt>
                <c:pt idx="1392">
                  <c:v>57.6145</c:v>
                </c:pt>
                <c:pt idx="1393">
                  <c:v>57.927399999999999</c:v>
                </c:pt>
                <c:pt idx="1394">
                  <c:v>58.347999999999999</c:v>
                </c:pt>
                <c:pt idx="1395">
                  <c:v>59.672800000000002</c:v>
                </c:pt>
                <c:pt idx="1396">
                  <c:v>60.354999999999997</c:v>
                </c:pt>
                <c:pt idx="1397">
                  <c:v>62.114100000000001</c:v>
                </c:pt>
                <c:pt idx="1398">
                  <c:v>61.935000000000002</c:v>
                </c:pt>
                <c:pt idx="1399">
                  <c:v>61.5032</c:v>
                </c:pt>
                <c:pt idx="1400">
                  <c:v>62.628300000000003</c:v>
                </c:pt>
                <c:pt idx="1401">
                  <c:v>63.075800000000001</c:v>
                </c:pt>
                <c:pt idx="1402">
                  <c:v>62.318600000000004</c:v>
                </c:pt>
                <c:pt idx="1403">
                  <c:v>61.651299999999999</c:v>
                </c:pt>
                <c:pt idx="1404">
                  <c:v>61.483400000000003</c:v>
                </c:pt>
                <c:pt idx="1405">
                  <c:v>62.464500000000001</c:v>
                </c:pt>
                <c:pt idx="1406">
                  <c:v>65.158299999999997</c:v>
                </c:pt>
                <c:pt idx="1407">
                  <c:v>67.114500000000007</c:v>
                </c:pt>
                <c:pt idx="1408">
                  <c:v>70.100800000000007</c:v>
                </c:pt>
                <c:pt idx="1409">
                  <c:v>68.700699999999998</c:v>
                </c:pt>
                <c:pt idx="1410">
                  <c:v>70.096900000000005</c:v>
                </c:pt>
                <c:pt idx="1411">
                  <c:v>71.736599999999996</c:v>
                </c:pt>
                <c:pt idx="1412">
                  <c:v>71.573599999999999</c:v>
                </c:pt>
                <c:pt idx="1413">
                  <c:v>71.5869</c:v>
                </c:pt>
                <c:pt idx="1414">
                  <c:v>70.584800000000001</c:v>
                </c:pt>
                <c:pt idx="1415">
                  <c:v>72.077699999999993</c:v>
                </c:pt>
                <c:pt idx="1416">
                  <c:v>72.810299999999998</c:v>
                </c:pt>
                <c:pt idx="1417">
                  <c:v>70.0227</c:v>
                </c:pt>
                <c:pt idx="1418">
                  <c:v>67.5886</c:v>
                </c:pt>
                <c:pt idx="1419">
                  <c:v>68.367000000000004</c:v>
                </c:pt>
                <c:pt idx="1420">
                  <c:v>68.1875</c:v>
                </c:pt>
                <c:pt idx="1421">
                  <c:v>69.9221</c:v>
                </c:pt>
                <c:pt idx="1422">
                  <c:v>69.458699999999993</c:v>
                </c:pt>
                <c:pt idx="1423">
                  <c:v>71.221900000000005</c:v>
                </c:pt>
                <c:pt idx="1424">
                  <c:v>72.226900000000001</c:v>
                </c:pt>
                <c:pt idx="1425">
                  <c:v>72.249899999999997</c:v>
                </c:pt>
                <c:pt idx="1426">
                  <c:v>73.162000000000006</c:v>
                </c:pt>
                <c:pt idx="1427">
                  <c:v>71.171300000000002</c:v>
                </c:pt>
                <c:pt idx="1428">
                  <c:v>69.275000000000006</c:v>
                </c:pt>
                <c:pt idx="1429">
                  <c:v>69.137200000000007</c:v>
                </c:pt>
                <c:pt idx="1430">
                  <c:v>68.7911</c:v>
                </c:pt>
                <c:pt idx="1431">
                  <c:v>68.341700000000003</c:v>
                </c:pt>
                <c:pt idx="1432">
                  <c:v>70.798299999999998</c:v>
                </c:pt>
                <c:pt idx="1433">
                  <c:v>71.377399999999994</c:v>
                </c:pt>
                <c:pt idx="1434">
                  <c:v>70.408299999999997</c:v>
                </c:pt>
                <c:pt idx="1435">
                  <c:v>70.211799999999997</c:v>
                </c:pt>
                <c:pt idx="1436">
                  <c:v>70.081500000000005</c:v>
                </c:pt>
                <c:pt idx="1437">
                  <c:v>69.476699999999994</c:v>
                </c:pt>
                <c:pt idx="1438">
                  <c:v>69.273700000000005</c:v>
                </c:pt>
                <c:pt idx="1439">
                  <c:v>67.685900000000004</c:v>
                </c:pt>
                <c:pt idx="1440">
                  <c:v>68.051100000000005</c:v>
                </c:pt>
                <c:pt idx="1441">
                  <c:v>69.254099999999994</c:v>
                </c:pt>
                <c:pt idx="1442">
                  <c:v>68.506600000000006</c:v>
                </c:pt>
                <c:pt idx="1443">
                  <c:v>68.138800000000003</c:v>
                </c:pt>
                <c:pt idx="1444">
                  <c:v>68.713499999999996</c:v>
                </c:pt>
                <c:pt idx="1445">
                  <c:v>66.989500000000007</c:v>
                </c:pt>
                <c:pt idx="1446">
                  <c:v>62.389600000000002</c:v>
                </c:pt>
                <c:pt idx="1447">
                  <c:v>61.607700000000001</c:v>
                </c:pt>
                <c:pt idx="1448">
                  <c:v>63.2136</c:v>
                </c:pt>
                <c:pt idx="1449">
                  <c:v>59.0946</c:v>
                </c:pt>
                <c:pt idx="1450">
                  <c:v>59.128999999999998</c:v>
                </c:pt>
                <c:pt idx="1451">
                  <c:v>59.9039</c:v>
                </c:pt>
                <c:pt idx="1452">
                  <c:v>61.077599999999997</c:v>
                </c:pt>
                <c:pt idx="1453">
                  <c:v>58.502499999999998</c:v>
                </c:pt>
                <c:pt idx="1454">
                  <c:v>57.461599999999997</c:v>
                </c:pt>
                <c:pt idx="1455">
                  <c:v>56.764899999999997</c:v>
                </c:pt>
                <c:pt idx="1456">
                  <c:v>57.877499999999998</c:v>
                </c:pt>
                <c:pt idx="1457">
                  <c:v>55.324300000000001</c:v>
                </c:pt>
                <c:pt idx="1458">
                  <c:v>54.020299999999999</c:v>
                </c:pt>
                <c:pt idx="1459">
                  <c:v>54.304000000000002</c:v>
                </c:pt>
                <c:pt idx="1460">
                  <c:v>55.8904</c:v>
                </c:pt>
                <c:pt idx="1461">
                  <c:v>55.407499999999999</c:v>
                </c:pt>
                <c:pt idx="1462">
                  <c:v>54.606999999999999</c:v>
                </c:pt>
                <c:pt idx="1463">
                  <c:v>52.752699999999997</c:v>
                </c:pt>
                <c:pt idx="1464">
                  <c:v>51.539700000000003</c:v>
                </c:pt>
                <c:pt idx="1465">
                  <c:v>52.549700000000001</c:v>
                </c:pt>
                <c:pt idx="1466">
                  <c:v>54.596400000000003</c:v>
                </c:pt>
                <c:pt idx="1467">
                  <c:v>55.317900000000002</c:v>
                </c:pt>
                <c:pt idx="1468">
                  <c:v>55.543700000000001</c:v>
                </c:pt>
                <c:pt idx="1469">
                  <c:v>55.122300000000003</c:v>
                </c:pt>
                <c:pt idx="1470">
                  <c:v>55.038400000000003</c:v>
                </c:pt>
                <c:pt idx="1471">
                  <c:v>56.313899999999997</c:v>
                </c:pt>
                <c:pt idx="1472">
                  <c:v>55.172600000000003</c:v>
                </c:pt>
                <c:pt idx="1473">
                  <c:v>57.141300000000001</c:v>
                </c:pt>
                <c:pt idx="1474">
                  <c:v>58.273400000000002</c:v>
                </c:pt>
                <c:pt idx="1475">
                  <c:v>58.0276</c:v>
                </c:pt>
                <c:pt idx="1476">
                  <c:v>57.939</c:v>
                </c:pt>
                <c:pt idx="1477">
                  <c:v>57.538800000000002</c:v>
                </c:pt>
                <c:pt idx="1478">
                  <c:v>53.900700000000001</c:v>
                </c:pt>
                <c:pt idx="1479">
                  <c:v>52.929900000000004</c:v>
                </c:pt>
                <c:pt idx="1480">
                  <c:v>53.4709</c:v>
                </c:pt>
                <c:pt idx="1481">
                  <c:v>54.191400000000002</c:v>
                </c:pt>
                <c:pt idx="1482">
                  <c:v>55.315199999999997</c:v>
                </c:pt>
                <c:pt idx="1483">
                  <c:v>53.495600000000003</c:v>
                </c:pt>
                <c:pt idx="1484">
                  <c:v>54.256500000000003</c:v>
                </c:pt>
                <c:pt idx="1485">
                  <c:v>53.444699999999997</c:v>
                </c:pt>
                <c:pt idx="1486">
                  <c:v>52.958599999999997</c:v>
                </c:pt>
                <c:pt idx="1487">
                  <c:v>52.767000000000003</c:v>
                </c:pt>
                <c:pt idx="1488">
                  <c:v>56.365299999999998</c:v>
                </c:pt>
                <c:pt idx="1489">
                  <c:v>57.213799999999999</c:v>
                </c:pt>
                <c:pt idx="1490">
                  <c:v>57.354500000000002</c:v>
                </c:pt>
                <c:pt idx="1491">
                  <c:v>55.209499999999998</c:v>
                </c:pt>
                <c:pt idx="1492">
                  <c:v>54.368000000000002</c:v>
                </c:pt>
                <c:pt idx="1493">
                  <c:v>55.373699999999999</c:v>
                </c:pt>
                <c:pt idx="1494">
                  <c:v>55.597999999999999</c:v>
                </c:pt>
                <c:pt idx="1495">
                  <c:v>53.518799999999999</c:v>
                </c:pt>
                <c:pt idx="1496">
                  <c:v>53.7074</c:v>
                </c:pt>
                <c:pt idx="1497">
                  <c:v>54.078000000000003</c:v>
                </c:pt>
                <c:pt idx="1498">
                  <c:v>53.502699999999997</c:v>
                </c:pt>
                <c:pt idx="1499">
                  <c:v>54.561599999999999</c:v>
                </c:pt>
                <c:pt idx="1500">
                  <c:v>53.556899999999999</c:v>
                </c:pt>
                <c:pt idx="1501">
                  <c:v>54.7637</c:v>
                </c:pt>
                <c:pt idx="1502">
                  <c:v>53.528500000000001</c:v>
                </c:pt>
                <c:pt idx="1503">
                  <c:v>52.103700000000003</c:v>
                </c:pt>
                <c:pt idx="1504">
                  <c:v>52.244799999999998</c:v>
                </c:pt>
                <c:pt idx="1505">
                  <c:v>52.081499999999998</c:v>
                </c:pt>
                <c:pt idx="1506">
                  <c:v>52.197699999999998</c:v>
                </c:pt>
                <c:pt idx="1507">
                  <c:v>47.598500000000001</c:v>
                </c:pt>
                <c:pt idx="1508">
                  <c:v>44.292999999999999</c:v>
                </c:pt>
                <c:pt idx="1509">
                  <c:v>42.912199999999999</c:v>
                </c:pt>
                <c:pt idx="1510">
                  <c:v>46.070300000000003</c:v>
                </c:pt>
                <c:pt idx="1511">
                  <c:v>45.044699999999999</c:v>
                </c:pt>
                <c:pt idx="1512">
                  <c:v>41.555700000000002</c:v>
                </c:pt>
                <c:pt idx="1513">
                  <c:v>40.799100000000003</c:v>
                </c:pt>
                <c:pt idx="1514">
                  <c:v>43.932600000000001</c:v>
                </c:pt>
                <c:pt idx="1515">
                  <c:v>43.773600000000002</c:v>
                </c:pt>
                <c:pt idx="1516">
                  <c:v>42.883200000000002</c:v>
                </c:pt>
                <c:pt idx="1517">
                  <c:v>44.209099999999999</c:v>
                </c:pt>
                <c:pt idx="1518">
                  <c:v>44.677300000000002</c:v>
                </c:pt>
                <c:pt idx="1519">
                  <c:v>45.475900000000003</c:v>
                </c:pt>
                <c:pt idx="1520">
                  <c:v>46.017899999999997</c:v>
                </c:pt>
                <c:pt idx="1521">
                  <c:v>46.688499999999998</c:v>
                </c:pt>
                <c:pt idx="1522">
                  <c:v>47.601999999999997</c:v>
                </c:pt>
                <c:pt idx="1523">
                  <c:v>45.7607</c:v>
                </c:pt>
                <c:pt idx="1524">
                  <c:v>45.9009</c:v>
                </c:pt>
                <c:pt idx="1525">
                  <c:v>46.083300000000001</c:v>
                </c:pt>
                <c:pt idx="1526">
                  <c:v>45.710999999999999</c:v>
                </c:pt>
                <c:pt idx="1527">
                  <c:v>45.7303</c:v>
                </c:pt>
                <c:pt idx="1528">
                  <c:v>45.246600000000001</c:v>
                </c:pt>
                <c:pt idx="1529">
                  <c:v>43.941000000000003</c:v>
                </c:pt>
                <c:pt idx="1530">
                  <c:v>43.387999999999998</c:v>
                </c:pt>
                <c:pt idx="1531">
                  <c:v>43.552100000000003</c:v>
                </c:pt>
                <c:pt idx="1532">
                  <c:v>43.287100000000002</c:v>
                </c:pt>
                <c:pt idx="1533">
                  <c:v>44.091000000000001</c:v>
                </c:pt>
                <c:pt idx="1534">
                  <c:v>43.4238</c:v>
                </c:pt>
                <c:pt idx="1535">
                  <c:v>44.563800000000001</c:v>
                </c:pt>
                <c:pt idx="1536">
                  <c:v>45.594000000000001</c:v>
                </c:pt>
                <c:pt idx="1537">
                  <c:v>45.359499999999997</c:v>
                </c:pt>
                <c:pt idx="1538">
                  <c:v>45.5565</c:v>
                </c:pt>
                <c:pt idx="1539">
                  <c:v>45.946599999999997</c:v>
                </c:pt>
                <c:pt idx="1540">
                  <c:v>44.473100000000002</c:v>
                </c:pt>
                <c:pt idx="1541">
                  <c:v>45.049599999999998</c:v>
                </c:pt>
                <c:pt idx="1542">
                  <c:v>45.9666</c:v>
                </c:pt>
                <c:pt idx="1543">
                  <c:v>45.512700000000002</c:v>
                </c:pt>
                <c:pt idx="1544">
                  <c:v>44.735300000000002</c:v>
                </c:pt>
                <c:pt idx="1545">
                  <c:v>42.838700000000003</c:v>
                </c:pt>
                <c:pt idx="1546">
                  <c:v>43.391199999999998</c:v>
                </c:pt>
                <c:pt idx="1547">
                  <c:v>43.626800000000003</c:v>
                </c:pt>
                <c:pt idx="1548">
                  <c:v>43.872900000000001</c:v>
                </c:pt>
                <c:pt idx="1549">
                  <c:v>44.487099999999998</c:v>
                </c:pt>
                <c:pt idx="1550">
                  <c:v>44.061999999999998</c:v>
                </c:pt>
                <c:pt idx="1551">
                  <c:v>43.233400000000003</c:v>
                </c:pt>
                <c:pt idx="1552">
                  <c:v>43.404400000000003</c:v>
                </c:pt>
                <c:pt idx="1553">
                  <c:v>42.787700000000001</c:v>
                </c:pt>
                <c:pt idx="1554">
                  <c:v>42.754800000000003</c:v>
                </c:pt>
                <c:pt idx="1555">
                  <c:v>43.504399999999997</c:v>
                </c:pt>
                <c:pt idx="1556">
                  <c:v>44.9497</c:v>
                </c:pt>
                <c:pt idx="1557">
                  <c:v>45.777099999999997</c:v>
                </c:pt>
                <c:pt idx="1558">
                  <c:v>45.777900000000002</c:v>
                </c:pt>
                <c:pt idx="1559">
                  <c:v>45.194699999999997</c:v>
                </c:pt>
                <c:pt idx="1560">
                  <c:v>43.9617</c:v>
                </c:pt>
                <c:pt idx="1561">
                  <c:v>42.9739</c:v>
                </c:pt>
                <c:pt idx="1562">
                  <c:v>43.139400000000002</c:v>
                </c:pt>
                <c:pt idx="1563">
                  <c:v>42.396099999999997</c:v>
                </c:pt>
                <c:pt idx="1564">
                  <c:v>41.694099999999999</c:v>
                </c:pt>
                <c:pt idx="1565">
                  <c:v>43.202300000000001</c:v>
                </c:pt>
                <c:pt idx="1566">
                  <c:v>41.007599999999996</c:v>
                </c:pt>
                <c:pt idx="1567">
                  <c:v>42.114199999999997</c:v>
                </c:pt>
                <c:pt idx="1568">
                  <c:v>40.756100000000004</c:v>
                </c:pt>
                <c:pt idx="1569">
                  <c:v>40.147199999999998</c:v>
                </c:pt>
                <c:pt idx="1570">
                  <c:v>40.1265</c:v>
                </c:pt>
                <c:pt idx="1571">
                  <c:v>39.582799999999999</c:v>
                </c:pt>
                <c:pt idx="1572">
                  <c:v>39.471400000000003</c:v>
                </c:pt>
                <c:pt idx="1573">
                  <c:v>38.096499999999999</c:v>
                </c:pt>
                <c:pt idx="1574">
                  <c:v>38.972200000000001</c:v>
                </c:pt>
                <c:pt idx="1575">
                  <c:v>39.285600000000002</c:v>
                </c:pt>
                <c:pt idx="1576">
                  <c:v>39.144799999999996</c:v>
                </c:pt>
                <c:pt idx="1577">
                  <c:v>39.174799999999998</c:v>
                </c:pt>
                <c:pt idx="1578">
                  <c:v>39.436999999999998</c:v>
                </c:pt>
                <c:pt idx="1579">
                  <c:v>39.894300000000001</c:v>
                </c:pt>
                <c:pt idx="1580">
                  <c:v>39.601900000000001</c:v>
                </c:pt>
                <c:pt idx="1581">
                  <c:v>39.104399999999998</c:v>
                </c:pt>
                <c:pt idx="1582">
                  <c:v>39.599499999999999</c:v>
                </c:pt>
                <c:pt idx="1583">
                  <c:v>40.1111</c:v>
                </c:pt>
                <c:pt idx="1584">
                  <c:v>39.023099999999999</c:v>
                </c:pt>
                <c:pt idx="1585">
                  <c:v>38.163600000000002</c:v>
                </c:pt>
                <c:pt idx="1586">
                  <c:v>37.516800000000003</c:v>
                </c:pt>
                <c:pt idx="1587">
                  <c:v>37.720100000000002</c:v>
                </c:pt>
                <c:pt idx="1588">
                  <c:v>38.111400000000003</c:v>
                </c:pt>
                <c:pt idx="1589">
                  <c:v>38.178100000000001</c:v>
                </c:pt>
                <c:pt idx="1590">
                  <c:v>37.460099999999997</c:v>
                </c:pt>
                <c:pt idx="1591">
                  <c:v>38.686700000000002</c:v>
                </c:pt>
                <c:pt idx="1592">
                  <c:v>39.409500000000001</c:v>
                </c:pt>
                <c:pt idx="1593">
                  <c:v>39.6111</c:v>
                </c:pt>
                <c:pt idx="1594">
                  <c:v>39.418999999999997</c:v>
                </c:pt>
                <c:pt idx="1595">
                  <c:v>38.655299999999997</c:v>
                </c:pt>
                <c:pt idx="1596">
                  <c:v>39.537199999999999</c:v>
                </c:pt>
                <c:pt idx="1597">
                  <c:v>40.137300000000003</c:v>
                </c:pt>
                <c:pt idx="1598">
                  <c:v>38.687899999999999</c:v>
                </c:pt>
                <c:pt idx="1599">
                  <c:v>37.909100000000002</c:v>
                </c:pt>
                <c:pt idx="1600">
                  <c:v>37.482599999999998</c:v>
                </c:pt>
                <c:pt idx="1601">
                  <c:v>37.349499999999999</c:v>
                </c:pt>
                <c:pt idx="1602">
                  <c:v>37.198399999999999</c:v>
                </c:pt>
                <c:pt idx="1603">
                  <c:v>36.209600000000002</c:v>
                </c:pt>
                <c:pt idx="1604">
                  <c:v>35.771799999999999</c:v>
                </c:pt>
                <c:pt idx="1605">
                  <c:v>35.434699999999999</c:v>
                </c:pt>
                <c:pt idx="1606">
                  <c:v>34.685600000000001</c:v>
                </c:pt>
                <c:pt idx="1607">
                  <c:v>33.336399999999998</c:v>
                </c:pt>
                <c:pt idx="1608">
                  <c:v>32.607100000000003</c:v>
                </c:pt>
                <c:pt idx="1609">
                  <c:v>32.3232</c:v>
                </c:pt>
                <c:pt idx="1610">
                  <c:v>31.585100000000001</c:v>
                </c:pt>
                <c:pt idx="1611">
                  <c:v>31.344200000000001</c:v>
                </c:pt>
                <c:pt idx="1612">
                  <c:v>30.9831</c:v>
                </c:pt>
                <c:pt idx="1613">
                  <c:v>30.8432</c:v>
                </c:pt>
                <c:pt idx="1614">
                  <c:v>31.184899999999999</c:v>
                </c:pt>
                <c:pt idx="1615">
                  <c:v>31.5547</c:v>
                </c:pt>
                <c:pt idx="1616">
                  <c:v>31.383299999999998</c:v>
                </c:pt>
                <c:pt idx="1617">
                  <c:v>30.903500000000001</c:v>
                </c:pt>
                <c:pt idx="1618">
                  <c:v>30.290400000000002</c:v>
                </c:pt>
                <c:pt idx="1619">
                  <c:v>29.166</c:v>
                </c:pt>
                <c:pt idx="1620">
                  <c:v>28.839500000000001</c:v>
                </c:pt>
                <c:pt idx="1621">
                  <c:v>26.5717</c:v>
                </c:pt>
                <c:pt idx="1622">
                  <c:v>23.319800000000001</c:v>
                </c:pt>
                <c:pt idx="1623">
                  <c:v>22.955400000000001</c:v>
                </c:pt>
                <c:pt idx="1624">
                  <c:v>21.736599999999999</c:v>
                </c:pt>
                <c:pt idx="1625">
                  <c:v>22.2209</c:v>
                </c:pt>
                <c:pt idx="1626">
                  <c:v>22.203099999999999</c:v>
                </c:pt>
                <c:pt idx="1627">
                  <c:v>22.0381</c:v>
                </c:pt>
                <c:pt idx="1628">
                  <c:v>21.5091</c:v>
                </c:pt>
                <c:pt idx="1629">
                  <c:v>21.527200000000001</c:v>
                </c:pt>
                <c:pt idx="1630">
                  <c:v>20.265799999999999</c:v>
                </c:pt>
                <c:pt idx="1631">
                  <c:v>19.693899999999999</c:v>
                </c:pt>
                <c:pt idx="1632">
                  <c:v>19.6068</c:v>
                </c:pt>
                <c:pt idx="1633">
                  <c:v>19.573399999999999</c:v>
                </c:pt>
                <c:pt idx="1634">
                  <c:v>20.924900000000001</c:v>
                </c:pt>
                <c:pt idx="1635">
                  <c:v>20.541599999999999</c:v>
                </c:pt>
                <c:pt idx="1636">
                  <c:v>20.555599999999998</c:v>
                </c:pt>
                <c:pt idx="1637">
                  <c:v>20.689599999999999</c:v>
                </c:pt>
                <c:pt idx="1638">
                  <c:v>20.464300000000001</c:v>
                </c:pt>
                <c:pt idx="1639">
                  <c:v>20.421700000000001</c:v>
                </c:pt>
                <c:pt idx="1640">
                  <c:v>20.648900000000001</c:v>
                </c:pt>
                <c:pt idx="1641">
                  <c:v>20.501100000000001</c:v>
                </c:pt>
                <c:pt idx="1642">
                  <c:v>19.8856</c:v>
                </c:pt>
                <c:pt idx="1643">
                  <c:v>21.446400000000001</c:v>
                </c:pt>
                <c:pt idx="1644">
                  <c:v>21.673300000000001</c:v>
                </c:pt>
                <c:pt idx="1645">
                  <c:v>21.703399999999998</c:v>
                </c:pt>
                <c:pt idx="1646">
                  <c:v>22.8993</c:v>
                </c:pt>
                <c:pt idx="1647">
                  <c:v>23.3032</c:v>
                </c:pt>
                <c:pt idx="1648">
                  <c:v>23.122800000000002</c:v>
                </c:pt>
                <c:pt idx="1649">
                  <c:v>23.6479</c:v>
                </c:pt>
                <c:pt idx="1650">
                  <c:v>23.399699999999999</c:v>
                </c:pt>
                <c:pt idx="1651">
                  <c:v>24.019500000000001</c:v>
                </c:pt>
                <c:pt idx="1652">
                  <c:v>23.808</c:v>
                </c:pt>
                <c:pt idx="1653">
                  <c:v>24.104500000000002</c:v>
                </c:pt>
                <c:pt idx="1654">
                  <c:v>23.3659</c:v>
                </c:pt>
                <c:pt idx="1655">
                  <c:v>23.441700000000001</c:v>
                </c:pt>
                <c:pt idx="1656">
                  <c:v>24.119299999999999</c:v>
                </c:pt>
                <c:pt idx="1657">
                  <c:v>23.3856</c:v>
                </c:pt>
                <c:pt idx="1658">
                  <c:v>24.707100000000001</c:v>
                </c:pt>
                <c:pt idx="1659">
                  <c:v>24.844100000000001</c:v>
                </c:pt>
                <c:pt idx="1660">
                  <c:v>24.542000000000002</c:v>
                </c:pt>
                <c:pt idx="1661">
                  <c:v>24.131</c:v>
                </c:pt>
                <c:pt idx="1662">
                  <c:v>23.250599999999999</c:v>
                </c:pt>
                <c:pt idx="1663">
                  <c:v>23.101600000000001</c:v>
                </c:pt>
                <c:pt idx="1664">
                  <c:v>22.785299999999999</c:v>
                </c:pt>
                <c:pt idx="1665">
                  <c:v>23.541399999999999</c:v>
                </c:pt>
                <c:pt idx="1666">
                  <c:v>22.787700000000001</c:v>
                </c:pt>
                <c:pt idx="1667">
                  <c:v>23.384599999999999</c:v>
                </c:pt>
                <c:pt idx="1668">
                  <c:v>23.111000000000001</c:v>
                </c:pt>
                <c:pt idx="1669">
                  <c:v>23.3933</c:v>
                </c:pt>
                <c:pt idx="1670">
                  <c:v>22.972899999999999</c:v>
                </c:pt>
                <c:pt idx="1671">
                  <c:v>22.8002</c:v>
                </c:pt>
                <c:pt idx="1672">
                  <c:v>22.561299999999999</c:v>
                </c:pt>
                <c:pt idx="1673">
                  <c:v>22.323499999999999</c:v>
                </c:pt>
                <c:pt idx="1674">
                  <c:v>22.3916</c:v>
                </c:pt>
                <c:pt idx="1675">
                  <c:v>22.623799999999999</c:v>
                </c:pt>
                <c:pt idx="1676">
                  <c:v>22.553799999999999</c:v>
                </c:pt>
                <c:pt idx="1677">
                  <c:v>22.4894</c:v>
                </c:pt>
                <c:pt idx="1678">
                  <c:v>22.102799999999998</c:v>
                </c:pt>
                <c:pt idx="1679">
                  <c:v>22.833300000000001</c:v>
                </c:pt>
                <c:pt idx="1680">
                  <c:v>23.3401</c:v>
                </c:pt>
                <c:pt idx="1681">
                  <c:v>22.9663</c:v>
                </c:pt>
                <c:pt idx="1682">
                  <c:v>22.175799999999999</c:v>
                </c:pt>
                <c:pt idx="1683">
                  <c:v>21.73</c:v>
                </c:pt>
                <c:pt idx="1684">
                  <c:v>21.6205</c:v>
                </c:pt>
                <c:pt idx="1685">
                  <c:v>21.8123</c:v>
                </c:pt>
                <c:pt idx="1686">
                  <c:v>21.2621</c:v>
                </c:pt>
                <c:pt idx="1687">
                  <c:v>21.010200000000001</c:v>
                </c:pt>
                <c:pt idx="1688">
                  <c:v>21.1829</c:v>
                </c:pt>
                <c:pt idx="1689">
                  <c:v>20.765799999999999</c:v>
                </c:pt>
                <c:pt idx="1690">
                  <c:v>20.6173</c:v>
                </c:pt>
                <c:pt idx="1691">
                  <c:v>21.5776</c:v>
                </c:pt>
                <c:pt idx="1692">
                  <c:v>22.0077</c:v>
                </c:pt>
                <c:pt idx="1693">
                  <c:v>22.0503</c:v>
                </c:pt>
                <c:pt idx="1694">
                  <c:v>22.538599999999999</c:v>
                </c:pt>
                <c:pt idx="1695">
                  <c:v>21.837700000000002</c:v>
                </c:pt>
                <c:pt idx="1696">
                  <c:v>21.1859</c:v>
                </c:pt>
                <c:pt idx="1697">
                  <c:v>20.528600000000001</c:v>
                </c:pt>
                <c:pt idx="1698">
                  <c:v>20.349299999999999</c:v>
                </c:pt>
                <c:pt idx="1699">
                  <c:v>19.839200000000002</c:v>
                </c:pt>
                <c:pt idx="1700">
                  <c:v>19.8111</c:v>
                </c:pt>
                <c:pt idx="1701">
                  <c:v>19.546800000000001</c:v>
                </c:pt>
                <c:pt idx="1702">
                  <c:v>19.850300000000001</c:v>
                </c:pt>
                <c:pt idx="1703">
                  <c:v>20.241700000000002</c:v>
                </c:pt>
                <c:pt idx="1704">
                  <c:v>20.008099999999999</c:v>
                </c:pt>
                <c:pt idx="1705">
                  <c:v>20.39</c:v>
                </c:pt>
                <c:pt idx="1706">
                  <c:v>20.074300000000001</c:v>
                </c:pt>
                <c:pt idx="1707">
                  <c:v>19.997199999999999</c:v>
                </c:pt>
                <c:pt idx="1708">
                  <c:v>19.8034</c:v>
                </c:pt>
                <c:pt idx="1709">
                  <c:v>19.654800000000002</c:v>
                </c:pt>
                <c:pt idx="1710">
                  <c:v>19.782699999999998</c:v>
                </c:pt>
                <c:pt idx="1711">
                  <c:v>19.7303</c:v>
                </c:pt>
                <c:pt idx="1712">
                  <c:v>19.430499999999999</c:v>
                </c:pt>
                <c:pt idx="1713">
                  <c:v>19.967700000000001</c:v>
                </c:pt>
                <c:pt idx="1714">
                  <c:v>20.234200000000001</c:v>
                </c:pt>
                <c:pt idx="1715">
                  <c:v>19.808700000000002</c:v>
                </c:pt>
                <c:pt idx="1716">
                  <c:v>19.909700000000001</c:v>
                </c:pt>
                <c:pt idx="1717">
                  <c:v>19.783300000000001</c:v>
                </c:pt>
                <c:pt idx="1718">
                  <c:v>19.8139</c:v>
                </c:pt>
                <c:pt idx="1719">
                  <c:v>19.823599999999999</c:v>
                </c:pt>
                <c:pt idx="1720">
                  <c:v>19.750399999999999</c:v>
                </c:pt>
                <c:pt idx="1721">
                  <c:v>19.707699999999999</c:v>
                </c:pt>
                <c:pt idx="1722">
                  <c:v>19.596699999999998</c:v>
                </c:pt>
                <c:pt idx="1723">
                  <c:v>19.208600000000001</c:v>
                </c:pt>
                <c:pt idx="1724">
                  <c:v>19.795000000000002</c:v>
                </c:pt>
                <c:pt idx="1725">
                  <c:v>19.27</c:v>
                </c:pt>
                <c:pt idx="1726">
                  <c:v>18.761800000000001</c:v>
                </c:pt>
                <c:pt idx="1727">
                  <c:v>18.344899999999999</c:v>
                </c:pt>
                <c:pt idx="1728">
                  <c:v>17.9039</c:v>
                </c:pt>
                <c:pt idx="1729">
                  <c:v>18.021899999999999</c:v>
                </c:pt>
                <c:pt idx="1730">
                  <c:v>18.198699999999999</c:v>
                </c:pt>
                <c:pt idx="1731">
                  <c:v>18.784500000000001</c:v>
                </c:pt>
                <c:pt idx="1732">
                  <c:v>18.454000000000001</c:v>
                </c:pt>
                <c:pt idx="1733">
                  <c:v>18.813500000000001</c:v>
                </c:pt>
                <c:pt idx="1734">
                  <c:v>19.311699999999998</c:v>
                </c:pt>
                <c:pt idx="1735">
                  <c:v>19.388100000000001</c:v>
                </c:pt>
                <c:pt idx="1736">
                  <c:v>19.501799999999999</c:v>
                </c:pt>
                <c:pt idx="1737">
                  <c:v>19.975200000000001</c:v>
                </c:pt>
                <c:pt idx="1738">
                  <c:v>19.7758</c:v>
                </c:pt>
                <c:pt idx="1739">
                  <c:v>19.243300000000001</c:v>
                </c:pt>
                <c:pt idx="1740">
                  <c:v>20.144200000000001</c:v>
                </c:pt>
                <c:pt idx="1741">
                  <c:v>20.300699999999999</c:v>
                </c:pt>
                <c:pt idx="1742">
                  <c:v>20.889500000000002</c:v>
                </c:pt>
                <c:pt idx="1743">
                  <c:v>20.4773</c:v>
                </c:pt>
                <c:pt idx="1744">
                  <c:v>21.811299999999999</c:v>
                </c:pt>
                <c:pt idx="1745">
                  <c:v>23.164100000000001</c:v>
                </c:pt>
                <c:pt idx="1746">
                  <c:v>23.9209</c:v>
                </c:pt>
                <c:pt idx="1747">
                  <c:v>24.907900000000001</c:v>
                </c:pt>
                <c:pt idx="1748">
                  <c:v>24.2425</c:v>
                </c:pt>
                <c:pt idx="1749">
                  <c:v>24.802900000000001</c:v>
                </c:pt>
                <c:pt idx="1750">
                  <c:v>23.632300000000001</c:v>
                </c:pt>
                <c:pt idx="1751">
                  <c:v>23.658899999999999</c:v>
                </c:pt>
                <c:pt idx="1752">
                  <c:v>24.366700000000002</c:v>
                </c:pt>
                <c:pt idx="1753">
                  <c:v>23.906600000000001</c:v>
                </c:pt>
                <c:pt idx="1754">
                  <c:v>24.111799999999999</c:v>
                </c:pt>
                <c:pt idx="1755">
                  <c:v>23.987300000000001</c:v>
                </c:pt>
                <c:pt idx="1756">
                  <c:v>24.585100000000001</c:v>
                </c:pt>
                <c:pt idx="1757">
                  <c:v>25.427900000000001</c:v>
                </c:pt>
                <c:pt idx="1758">
                  <c:v>24.349</c:v>
                </c:pt>
                <c:pt idx="1759">
                  <c:v>23.4649</c:v>
                </c:pt>
                <c:pt idx="1760">
                  <c:v>23.6005</c:v>
                </c:pt>
                <c:pt idx="1761">
                  <c:v>22.247499999999999</c:v>
                </c:pt>
                <c:pt idx="1762">
                  <c:v>22.5642</c:v>
                </c:pt>
                <c:pt idx="1763">
                  <c:v>24.035900000000002</c:v>
                </c:pt>
                <c:pt idx="1764">
                  <c:v>23.6372</c:v>
                </c:pt>
                <c:pt idx="1765">
                  <c:v>23.6721</c:v>
                </c:pt>
                <c:pt idx="1766">
                  <c:v>22.921800000000001</c:v>
                </c:pt>
                <c:pt idx="1767">
                  <c:v>23.2163</c:v>
                </c:pt>
                <c:pt idx="1768">
                  <c:v>22.962599999999998</c:v>
                </c:pt>
                <c:pt idx="1769">
                  <c:v>22.729299999999999</c:v>
                </c:pt>
                <c:pt idx="1770">
                  <c:v>22.454799999999999</c:v>
                </c:pt>
                <c:pt idx="1771">
                  <c:v>22.118400000000001</c:v>
                </c:pt>
                <c:pt idx="1772">
                  <c:v>22.0838</c:v>
                </c:pt>
                <c:pt idx="1773">
                  <c:v>23.4224</c:v>
                </c:pt>
                <c:pt idx="1774">
                  <c:v>23.478100000000001</c:v>
                </c:pt>
                <c:pt idx="1775">
                  <c:v>24.112500000000001</c:v>
                </c:pt>
                <c:pt idx="1776">
                  <c:v>23.792100000000001</c:v>
                </c:pt>
                <c:pt idx="1777">
                  <c:v>23.59</c:v>
                </c:pt>
                <c:pt idx="1778">
                  <c:v>23.681899999999999</c:v>
                </c:pt>
                <c:pt idx="1779">
                  <c:v>24.170500000000001</c:v>
                </c:pt>
                <c:pt idx="1780">
                  <c:v>23.230799999999999</c:v>
                </c:pt>
                <c:pt idx="1781">
                  <c:v>23.461500000000001</c:v>
                </c:pt>
                <c:pt idx="1782">
                  <c:v>23.746600000000001</c:v>
                </c:pt>
                <c:pt idx="1783">
                  <c:v>23.637799999999999</c:v>
                </c:pt>
                <c:pt idx="1784">
                  <c:v>23.544699999999999</c:v>
                </c:pt>
                <c:pt idx="1785">
                  <c:v>23.6159</c:v>
                </c:pt>
                <c:pt idx="1786">
                  <c:v>24.008900000000001</c:v>
                </c:pt>
                <c:pt idx="1787">
                  <c:v>24.6327</c:v>
                </c:pt>
                <c:pt idx="1788">
                  <c:v>24.956</c:v>
                </c:pt>
                <c:pt idx="1789">
                  <c:v>24.557400000000001</c:v>
                </c:pt>
                <c:pt idx="1790">
                  <c:v>24.2454</c:v>
                </c:pt>
                <c:pt idx="1791">
                  <c:v>23.6663</c:v>
                </c:pt>
                <c:pt idx="1792">
                  <c:v>23.835999999999999</c:v>
                </c:pt>
                <c:pt idx="1793">
                  <c:v>24.514700000000001</c:v>
                </c:pt>
                <c:pt idx="1794">
                  <c:v>25.917899999999999</c:v>
                </c:pt>
                <c:pt idx="1795">
                  <c:v>25.755099999999999</c:v>
                </c:pt>
                <c:pt idx="1796">
                  <c:v>25.457899999999999</c:v>
                </c:pt>
                <c:pt idx="1797">
                  <c:v>25.2087</c:v>
                </c:pt>
                <c:pt idx="1798">
                  <c:v>24.742000000000001</c:v>
                </c:pt>
                <c:pt idx="1799">
                  <c:v>24.819099999999999</c:v>
                </c:pt>
                <c:pt idx="1800">
                  <c:v>24.997900000000001</c:v>
                </c:pt>
                <c:pt idx="1801">
                  <c:v>24.124700000000001</c:v>
                </c:pt>
                <c:pt idx="1802">
                  <c:v>24.53</c:v>
                </c:pt>
                <c:pt idx="1803">
                  <c:v>25.053899999999999</c:v>
                </c:pt>
                <c:pt idx="1804">
                  <c:v>24.777899999999999</c:v>
                </c:pt>
                <c:pt idx="1805">
                  <c:v>24.8643</c:v>
                </c:pt>
                <c:pt idx="1806">
                  <c:v>24.932300000000001</c:v>
                </c:pt>
                <c:pt idx="1807">
                  <c:v>24.345500000000001</c:v>
                </c:pt>
                <c:pt idx="1808">
                  <c:v>24.8325</c:v>
                </c:pt>
                <c:pt idx="1809">
                  <c:v>25.122699999999998</c:v>
                </c:pt>
                <c:pt idx="1810">
                  <c:v>25.679500000000001</c:v>
                </c:pt>
                <c:pt idx="1811">
                  <c:v>26.539899999999999</c:v>
                </c:pt>
                <c:pt idx="1812">
                  <c:v>25.781500000000001</c:v>
                </c:pt>
                <c:pt idx="1813">
                  <c:v>25.993099999999998</c:v>
                </c:pt>
                <c:pt idx="1814">
                  <c:v>26.583100000000002</c:v>
                </c:pt>
                <c:pt idx="1815">
                  <c:v>26.983899999999998</c:v>
                </c:pt>
                <c:pt idx="1816">
                  <c:v>26.200800000000001</c:v>
                </c:pt>
                <c:pt idx="1817">
                  <c:v>26.564699999999998</c:v>
                </c:pt>
                <c:pt idx="1818">
                  <c:v>25.5457</c:v>
                </c:pt>
                <c:pt idx="1819">
                  <c:v>24.910799999999998</c:v>
                </c:pt>
                <c:pt idx="1820">
                  <c:v>25.539000000000001</c:v>
                </c:pt>
                <c:pt idx="1821">
                  <c:v>25.9603</c:v>
                </c:pt>
                <c:pt idx="1822">
                  <c:v>25.5809</c:v>
                </c:pt>
                <c:pt idx="1823">
                  <c:v>24.412400000000002</c:v>
                </c:pt>
                <c:pt idx="1824">
                  <c:v>23.625800000000002</c:v>
                </c:pt>
                <c:pt idx="1825">
                  <c:v>24.354900000000001</c:v>
                </c:pt>
                <c:pt idx="1826">
                  <c:v>23.824000000000002</c:v>
                </c:pt>
                <c:pt idx="1827">
                  <c:v>23.5137</c:v>
                </c:pt>
                <c:pt idx="1828">
                  <c:v>23.187100000000001</c:v>
                </c:pt>
                <c:pt idx="1829">
                  <c:v>23.552099999999999</c:v>
                </c:pt>
                <c:pt idx="1830">
                  <c:v>23.691500000000001</c:v>
                </c:pt>
                <c:pt idx="1831">
                  <c:v>24.235499999999998</c:v>
                </c:pt>
                <c:pt idx="1832">
                  <c:v>25.0853</c:v>
                </c:pt>
                <c:pt idx="1833">
                  <c:v>25.438500000000001</c:v>
                </c:pt>
                <c:pt idx="1834">
                  <c:v>25.6035</c:v>
                </c:pt>
                <c:pt idx="1835">
                  <c:v>25.221499999999999</c:v>
                </c:pt>
                <c:pt idx="1836">
                  <c:v>25.297999999999998</c:v>
                </c:pt>
                <c:pt idx="1837">
                  <c:v>25.826499999999999</c:v>
                </c:pt>
                <c:pt idx="1838">
                  <c:v>25.396999999999998</c:v>
                </c:pt>
                <c:pt idx="1839">
                  <c:v>26.019600000000001</c:v>
                </c:pt>
                <c:pt idx="1840">
                  <c:v>26.616700000000002</c:v>
                </c:pt>
                <c:pt idx="1841">
                  <c:v>26.806100000000001</c:v>
                </c:pt>
                <c:pt idx="1842">
                  <c:v>29.1998</c:v>
                </c:pt>
                <c:pt idx="1843">
                  <c:v>29.0166</c:v>
                </c:pt>
                <c:pt idx="1844">
                  <c:v>27.536899999999999</c:v>
                </c:pt>
                <c:pt idx="1845">
                  <c:v>28.528600000000001</c:v>
                </c:pt>
                <c:pt idx="1846">
                  <c:v>29.966100000000001</c:v>
                </c:pt>
                <c:pt idx="1847">
                  <c:v>30.8063</c:v>
                </c:pt>
                <c:pt idx="1848">
                  <c:v>29.363099999999999</c:v>
                </c:pt>
                <c:pt idx="1849">
                  <c:v>30.1265</c:v>
                </c:pt>
                <c:pt idx="1850">
                  <c:v>29.407800000000002</c:v>
                </c:pt>
                <c:pt idx="1851">
                  <c:v>29.2471</c:v>
                </c:pt>
                <c:pt idx="1852">
                  <c:v>30.204999999999998</c:v>
                </c:pt>
                <c:pt idx="1853">
                  <c:v>29.770499999999998</c:v>
                </c:pt>
                <c:pt idx="1854">
                  <c:v>30.7241</c:v>
                </c:pt>
                <c:pt idx="1855">
                  <c:v>31.889600000000002</c:v>
                </c:pt>
                <c:pt idx="1856">
                  <c:v>32.066200000000002</c:v>
                </c:pt>
                <c:pt idx="1857">
                  <c:v>30.837399999999999</c:v>
                </c:pt>
                <c:pt idx="1858">
                  <c:v>30.3461</c:v>
                </c:pt>
                <c:pt idx="1859">
                  <c:v>29.7639</c:v>
                </c:pt>
                <c:pt idx="1860">
                  <c:v>30.942399999999999</c:v>
                </c:pt>
                <c:pt idx="1861">
                  <c:v>30.698399999999999</c:v>
                </c:pt>
                <c:pt idx="1862">
                  <c:v>30.160599999999999</c:v>
                </c:pt>
                <c:pt idx="1863">
                  <c:v>29.969100000000001</c:v>
                </c:pt>
                <c:pt idx="1864">
                  <c:v>30.200600000000001</c:v>
                </c:pt>
                <c:pt idx="1865">
                  <c:v>29.8383</c:v>
                </c:pt>
                <c:pt idx="1866">
                  <c:v>30.6248</c:v>
                </c:pt>
                <c:pt idx="1867">
                  <c:v>30.851400000000002</c:v>
                </c:pt>
                <c:pt idx="1868">
                  <c:v>31.0425</c:v>
                </c:pt>
                <c:pt idx="1869">
                  <c:v>31.987400000000001</c:v>
                </c:pt>
                <c:pt idx="1870">
                  <c:v>31.977</c:v>
                </c:pt>
                <c:pt idx="1871">
                  <c:v>31.912500000000001</c:v>
                </c:pt>
                <c:pt idx="1872">
                  <c:v>32.101999999999997</c:v>
                </c:pt>
                <c:pt idx="1873">
                  <c:v>32.536200000000001</c:v>
                </c:pt>
                <c:pt idx="1874">
                  <c:v>32.080800000000004</c:v>
                </c:pt>
                <c:pt idx="1875">
                  <c:v>30.531600000000001</c:v>
                </c:pt>
                <c:pt idx="1876">
                  <c:v>30.842199999999998</c:v>
                </c:pt>
                <c:pt idx="1877">
                  <c:v>31.013300000000001</c:v>
                </c:pt>
                <c:pt idx="1878">
                  <c:v>30.613</c:v>
                </c:pt>
                <c:pt idx="1879">
                  <c:v>30.9297</c:v>
                </c:pt>
                <c:pt idx="1880">
                  <c:v>31.3825</c:v>
                </c:pt>
                <c:pt idx="1881">
                  <c:v>32.135599999999997</c:v>
                </c:pt>
                <c:pt idx="1882">
                  <c:v>32.845700000000001</c:v>
                </c:pt>
                <c:pt idx="1883">
                  <c:v>32.635800000000003</c:v>
                </c:pt>
                <c:pt idx="1884">
                  <c:v>32.236400000000003</c:v>
                </c:pt>
                <c:pt idx="1885">
                  <c:v>32.687899999999999</c:v>
                </c:pt>
                <c:pt idx="1886">
                  <c:v>31.6218</c:v>
                </c:pt>
                <c:pt idx="1887">
                  <c:v>31.715399999999999</c:v>
                </c:pt>
                <c:pt idx="1888">
                  <c:v>32.297800000000002</c:v>
                </c:pt>
                <c:pt idx="1889">
                  <c:v>32.332999999999998</c:v>
                </c:pt>
                <c:pt idx="1890">
                  <c:v>31.8062</c:v>
                </c:pt>
                <c:pt idx="1891">
                  <c:v>31.698499999999999</c:v>
                </c:pt>
                <c:pt idx="1892">
                  <c:v>31.644400000000001</c:v>
                </c:pt>
                <c:pt idx="1893">
                  <c:v>31.9801</c:v>
                </c:pt>
                <c:pt idx="1894">
                  <c:v>33.415700000000001</c:v>
                </c:pt>
                <c:pt idx="1895">
                  <c:v>33.293799999999997</c:v>
                </c:pt>
                <c:pt idx="1896">
                  <c:v>33.556100000000001</c:v>
                </c:pt>
                <c:pt idx="1897">
                  <c:v>33.714599999999997</c:v>
                </c:pt>
                <c:pt idx="1898">
                  <c:v>33.365499999999997</c:v>
                </c:pt>
                <c:pt idx="1899">
                  <c:v>33.784599999999998</c:v>
                </c:pt>
                <c:pt idx="1900">
                  <c:v>32.663699999999999</c:v>
                </c:pt>
                <c:pt idx="1901">
                  <c:v>32.542700000000004</c:v>
                </c:pt>
                <c:pt idx="1902">
                  <c:v>33.300400000000003</c:v>
                </c:pt>
                <c:pt idx="1903">
                  <c:v>33.3735</c:v>
                </c:pt>
                <c:pt idx="1904">
                  <c:v>33.537399999999998</c:v>
                </c:pt>
                <c:pt idx="1905">
                  <c:v>33.467799999999997</c:v>
                </c:pt>
                <c:pt idx="1906">
                  <c:v>33.489600000000003</c:v>
                </c:pt>
                <c:pt idx="1907">
                  <c:v>33.779400000000003</c:v>
                </c:pt>
                <c:pt idx="1908">
                  <c:v>34.217500000000001</c:v>
                </c:pt>
                <c:pt idx="1909">
                  <c:v>35.029400000000003</c:v>
                </c:pt>
                <c:pt idx="1910">
                  <c:v>32.785299999999999</c:v>
                </c:pt>
                <c:pt idx="1911">
                  <c:v>32.121499999999997</c:v>
                </c:pt>
                <c:pt idx="1912">
                  <c:v>32.637</c:v>
                </c:pt>
                <c:pt idx="1913">
                  <c:v>33.478299999999997</c:v>
                </c:pt>
                <c:pt idx="1914">
                  <c:v>33.152700000000003</c:v>
                </c:pt>
                <c:pt idx="1915">
                  <c:v>32.929299999999998</c:v>
                </c:pt>
                <c:pt idx="1916">
                  <c:v>33.612299999999998</c:v>
                </c:pt>
                <c:pt idx="1917">
                  <c:v>33.627000000000002</c:v>
                </c:pt>
                <c:pt idx="1918">
                  <c:v>33.696800000000003</c:v>
                </c:pt>
                <c:pt idx="1919">
                  <c:v>33.607300000000002</c:v>
                </c:pt>
                <c:pt idx="1920">
                  <c:v>33.630699999999997</c:v>
                </c:pt>
                <c:pt idx="1921">
                  <c:v>34.406100000000002</c:v>
                </c:pt>
                <c:pt idx="1922">
                  <c:v>35.189799999999998</c:v>
                </c:pt>
                <c:pt idx="1923">
                  <c:v>34.950000000000003</c:v>
                </c:pt>
                <c:pt idx="1924">
                  <c:v>34.994700000000002</c:v>
                </c:pt>
                <c:pt idx="1925">
                  <c:v>34.768999999999998</c:v>
                </c:pt>
                <c:pt idx="1926">
                  <c:v>35.202300000000001</c:v>
                </c:pt>
                <c:pt idx="1927">
                  <c:v>35.388500000000001</c:v>
                </c:pt>
                <c:pt idx="1928">
                  <c:v>35.944600000000001</c:v>
                </c:pt>
                <c:pt idx="1929">
                  <c:v>35.941099999999999</c:v>
                </c:pt>
                <c:pt idx="1930">
                  <c:v>35.676499999999997</c:v>
                </c:pt>
                <c:pt idx="1931">
                  <c:v>35.758800000000001</c:v>
                </c:pt>
                <c:pt idx="1932">
                  <c:v>36.377099999999999</c:v>
                </c:pt>
                <c:pt idx="1933">
                  <c:v>36.9831</c:v>
                </c:pt>
                <c:pt idx="1934">
                  <c:v>37.791899999999998</c:v>
                </c:pt>
                <c:pt idx="1935">
                  <c:v>38.503799999999998</c:v>
                </c:pt>
                <c:pt idx="1936">
                  <c:v>38.197499999999998</c:v>
                </c:pt>
                <c:pt idx="1937">
                  <c:v>37.850299999999997</c:v>
                </c:pt>
                <c:pt idx="1938">
                  <c:v>38.302399999999999</c:v>
                </c:pt>
                <c:pt idx="1939">
                  <c:v>36.773899999999998</c:v>
                </c:pt>
                <c:pt idx="1940">
                  <c:v>37.109299999999998</c:v>
                </c:pt>
                <c:pt idx="1941">
                  <c:v>37.982700000000001</c:v>
                </c:pt>
                <c:pt idx="1942">
                  <c:v>38.246099999999998</c:v>
                </c:pt>
                <c:pt idx="1943">
                  <c:v>39.6935</c:v>
                </c:pt>
                <c:pt idx="1944">
                  <c:v>38.639299999999999</c:v>
                </c:pt>
                <c:pt idx="1945">
                  <c:v>41.761899999999997</c:v>
                </c:pt>
                <c:pt idx="1946">
                  <c:v>41.437800000000003</c:v>
                </c:pt>
                <c:pt idx="1947">
                  <c:v>41.394599999999997</c:v>
                </c:pt>
                <c:pt idx="1948">
                  <c:v>41.340600000000002</c:v>
                </c:pt>
                <c:pt idx="1949">
                  <c:v>42.735700000000001</c:v>
                </c:pt>
                <c:pt idx="1950">
                  <c:v>43.613999999999997</c:v>
                </c:pt>
                <c:pt idx="1951">
                  <c:v>45.2286</c:v>
                </c:pt>
                <c:pt idx="1952">
                  <c:v>44.613500000000002</c:v>
                </c:pt>
                <c:pt idx="1953">
                  <c:v>46.581600000000002</c:v>
                </c:pt>
                <c:pt idx="1954">
                  <c:v>49.3279</c:v>
                </c:pt>
                <c:pt idx="1955">
                  <c:v>52.5764</c:v>
                </c:pt>
                <c:pt idx="1956">
                  <c:v>51.4178</c:v>
                </c:pt>
                <c:pt idx="1957">
                  <c:v>52.904299999999999</c:v>
                </c:pt>
                <c:pt idx="1958">
                  <c:v>51.811300000000003</c:v>
                </c:pt>
                <c:pt idx="1959">
                  <c:v>51.892699999999998</c:v>
                </c:pt>
                <c:pt idx="1960">
                  <c:v>52.07</c:v>
                </c:pt>
                <c:pt idx="1961">
                  <c:v>51.838999999999999</c:v>
                </c:pt>
                <c:pt idx="1962">
                  <c:v>52.445</c:v>
                </c:pt>
                <c:pt idx="1963">
                  <c:v>52.489600000000003</c:v>
                </c:pt>
                <c:pt idx="1964">
                  <c:v>55.382399999999997</c:v>
                </c:pt>
                <c:pt idx="1965">
                  <c:v>56.4938</c:v>
                </c:pt>
                <c:pt idx="1966">
                  <c:v>55.844000000000001</c:v>
                </c:pt>
                <c:pt idx="1967">
                  <c:v>57.713900000000002</c:v>
                </c:pt>
                <c:pt idx="1968">
                  <c:v>57.501100000000001</c:v>
                </c:pt>
                <c:pt idx="1969">
                  <c:v>58.378700000000002</c:v>
                </c:pt>
                <c:pt idx="1970">
                  <c:v>58.378500000000003</c:v>
                </c:pt>
                <c:pt idx="1971">
                  <c:v>56.601300000000002</c:v>
                </c:pt>
                <c:pt idx="1972">
                  <c:v>56.668799999999997</c:v>
                </c:pt>
                <c:pt idx="1973">
                  <c:v>56.5184</c:v>
                </c:pt>
                <c:pt idx="1974">
                  <c:v>57.208500000000001</c:v>
                </c:pt>
                <c:pt idx="1975">
                  <c:v>57.084099999999999</c:v>
                </c:pt>
                <c:pt idx="1976">
                  <c:v>58.130099999999999</c:v>
                </c:pt>
                <c:pt idx="1977">
                  <c:v>59.4514</c:v>
                </c:pt>
                <c:pt idx="1978">
                  <c:v>59.104900000000001</c:v>
                </c:pt>
                <c:pt idx="1979">
                  <c:v>61.614800000000002</c:v>
                </c:pt>
                <c:pt idx="1980">
                  <c:v>60.308300000000003</c:v>
                </c:pt>
                <c:pt idx="1981">
                  <c:v>62.169699999999999</c:v>
                </c:pt>
                <c:pt idx="1982">
                  <c:v>60.817399999999999</c:v>
                </c:pt>
                <c:pt idx="1983">
                  <c:v>60.883099999999999</c:v>
                </c:pt>
                <c:pt idx="1984">
                  <c:v>60.713200000000001</c:v>
                </c:pt>
                <c:pt idx="1985">
                  <c:v>61.508400000000002</c:v>
                </c:pt>
                <c:pt idx="1986">
                  <c:v>62.012599999999999</c:v>
                </c:pt>
                <c:pt idx="1987">
                  <c:v>61.945099999999996</c:v>
                </c:pt>
                <c:pt idx="1988">
                  <c:v>62.963000000000001</c:v>
                </c:pt>
                <c:pt idx="1989">
                  <c:v>66.420100000000005</c:v>
                </c:pt>
                <c:pt idx="1990">
                  <c:v>68.148099999999999</c:v>
                </c:pt>
                <c:pt idx="1991">
                  <c:v>64.294799999999995</c:v>
                </c:pt>
                <c:pt idx="1992">
                  <c:v>65.766900000000007</c:v>
                </c:pt>
                <c:pt idx="1993">
                  <c:v>61.948999999999998</c:v>
                </c:pt>
                <c:pt idx="1994">
                  <c:v>60.237000000000002</c:v>
                </c:pt>
                <c:pt idx="1995">
                  <c:v>60.348399999999998</c:v>
                </c:pt>
                <c:pt idx="1996">
                  <c:v>62.236499999999999</c:v>
                </c:pt>
                <c:pt idx="1997">
                  <c:v>62.241</c:v>
                </c:pt>
                <c:pt idx="1998">
                  <c:v>62.819200000000002</c:v>
                </c:pt>
                <c:pt idx="1999">
                  <c:v>61.146500000000003</c:v>
                </c:pt>
                <c:pt idx="2000">
                  <c:v>60.433700000000002</c:v>
                </c:pt>
                <c:pt idx="2001">
                  <c:v>60.249099999999999</c:v>
                </c:pt>
                <c:pt idx="2002">
                  <c:v>60.447899999999997</c:v>
                </c:pt>
                <c:pt idx="2003">
                  <c:v>60.715899999999998</c:v>
                </c:pt>
                <c:pt idx="2004">
                  <c:v>63.802700000000002</c:v>
                </c:pt>
                <c:pt idx="2005">
                  <c:v>67.335800000000006</c:v>
                </c:pt>
                <c:pt idx="2006">
                  <c:v>65.141599999999997</c:v>
                </c:pt>
                <c:pt idx="2007">
                  <c:v>66.820499999999996</c:v>
                </c:pt>
                <c:pt idx="2008">
                  <c:v>66.646199999999993</c:v>
                </c:pt>
                <c:pt idx="2009">
                  <c:v>65.250100000000003</c:v>
                </c:pt>
                <c:pt idx="2010">
                  <c:v>65.965199999999996</c:v>
                </c:pt>
                <c:pt idx="2011">
                  <c:v>65.12</c:v>
                </c:pt>
                <c:pt idx="2012">
                  <c:v>66.141099999999994</c:v>
                </c:pt>
                <c:pt idx="2013">
                  <c:v>71.207700000000003</c:v>
                </c:pt>
                <c:pt idx="2014">
                  <c:v>70.222999999999999</c:v>
                </c:pt>
                <c:pt idx="2015">
                  <c:v>71.757400000000004</c:v>
                </c:pt>
                <c:pt idx="2016">
                  <c:v>72.0608</c:v>
                </c:pt>
                <c:pt idx="2017">
                  <c:v>73.865300000000005</c:v>
                </c:pt>
                <c:pt idx="2018">
                  <c:v>72.0428</c:v>
                </c:pt>
                <c:pt idx="2019">
                  <c:v>72.372100000000003</c:v>
                </c:pt>
                <c:pt idx="2020">
                  <c:v>71.262699999999995</c:v>
                </c:pt>
                <c:pt idx="2021">
                  <c:v>71.819400000000002</c:v>
                </c:pt>
                <c:pt idx="2022">
                  <c:v>71.058400000000006</c:v>
                </c:pt>
                <c:pt idx="2023">
                  <c:v>69.086399999999998</c:v>
                </c:pt>
                <c:pt idx="2024">
                  <c:v>68.525400000000005</c:v>
                </c:pt>
                <c:pt idx="2025">
                  <c:v>67.022599999999997</c:v>
                </c:pt>
                <c:pt idx="2026">
                  <c:v>67.613699999999994</c:v>
                </c:pt>
                <c:pt idx="2027">
                  <c:v>68.400800000000004</c:v>
                </c:pt>
                <c:pt idx="2028">
                  <c:v>68.098500000000001</c:v>
                </c:pt>
                <c:pt idx="2029">
                  <c:v>67.8309</c:v>
                </c:pt>
                <c:pt idx="2030">
                  <c:v>69.428200000000004</c:v>
                </c:pt>
                <c:pt idx="2031">
                  <c:v>68.702100000000002</c:v>
                </c:pt>
                <c:pt idx="2032">
                  <c:v>68.369</c:v>
                </c:pt>
                <c:pt idx="2033">
                  <c:v>69.268900000000002</c:v>
                </c:pt>
                <c:pt idx="2034">
                  <c:v>69.706800000000001</c:v>
                </c:pt>
                <c:pt idx="2035">
                  <c:v>70.630099999999999</c:v>
                </c:pt>
                <c:pt idx="2036">
                  <c:v>71.696100000000001</c:v>
                </c:pt>
                <c:pt idx="2037">
                  <c:v>71.193600000000004</c:v>
                </c:pt>
                <c:pt idx="2038">
                  <c:v>68.044300000000007</c:v>
                </c:pt>
                <c:pt idx="2039">
                  <c:v>68.374099999999999</c:v>
                </c:pt>
                <c:pt idx="2040">
                  <c:v>68.587400000000002</c:v>
                </c:pt>
                <c:pt idx="2041">
                  <c:v>68.725999999999999</c:v>
                </c:pt>
                <c:pt idx="2042">
                  <c:v>68.598299999999995</c:v>
                </c:pt>
                <c:pt idx="2043">
                  <c:v>69.69</c:v>
                </c:pt>
                <c:pt idx="2044">
                  <c:v>78.433700000000002</c:v>
                </c:pt>
                <c:pt idx="2045">
                  <c:v>78.0779</c:v>
                </c:pt>
                <c:pt idx="2046">
                  <c:v>79.498699999999999</c:v>
                </c:pt>
                <c:pt idx="2047">
                  <c:v>76.709900000000005</c:v>
                </c:pt>
                <c:pt idx="2048">
                  <c:v>76.444699999999997</c:v>
                </c:pt>
                <c:pt idx="2049">
                  <c:v>75.667500000000004</c:v>
                </c:pt>
                <c:pt idx="2050">
                  <c:v>76.211299999999994</c:v>
                </c:pt>
                <c:pt idx="2051">
                  <c:v>78.231700000000004</c:v>
                </c:pt>
                <c:pt idx="2052">
                  <c:v>76.591099999999997</c:v>
                </c:pt>
                <c:pt idx="2053">
                  <c:v>78.843599999999995</c:v>
                </c:pt>
                <c:pt idx="2054">
                  <c:v>76.1751</c:v>
                </c:pt>
                <c:pt idx="2055">
                  <c:v>76.410899999999998</c:v>
                </c:pt>
                <c:pt idx="2056">
                  <c:v>77.887799999999999</c:v>
                </c:pt>
                <c:pt idx="2057">
                  <c:v>78.569400000000002</c:v>
                </c:pt>
                <c:pt idx="2058">
                  <c:v>81.173699999999997</c:v>
                </c:pt>
                <c:pt idx="2059">
                  <c:v>83.627499999999998</c:v>
                </c:pt>
                <c:pt idx="2060">
                  <c:v>82.7196</c:v>
                </c:pt>
                <c:pt idx="2061">
                  <c:v>82.142700000000005</c:v>
                </c:pt>
                <c:pt idx="2062">
                  <c:v>82.333200000000005</c:v>
                </c:pt>
                <c:pt idx="2063">
                  <c:v>84.297499999999999</c:v>
                </c:pt>
                <c:pt idx="2064">
                  <c:v>83.675200000000004</c:v>
                </c:pt>
                <c:pt idx="2065">
                  <c:v>84.941100000000006</c:v>
                </c:pt>
                <c:pt idx="2066">
                  <c:v>89.219499999999996</c:v>
                </c:pt>
                <c:pt idx="2067">
                  <c:v>88.392200000000003</c:v>
                </c:pt>
                <c:pt idx="2068">
                  <c:v>90.881</c:v>
                </c:pt>
                <c:pt idx="2069">
                  <c:v>88.883099999999999</c:v>
                </c:pt>
                <c:pt idx="2070">
                  <c:v>92.156199999999998</c:v>
                </c:pt>
                <c:pt idx="2071">
                  <c:v>92.974500000000006</c:v>
                </c:pt>
                <c:pt idx="2072">
                  <c:v>91.903800000000004</c:v>
                </c:pt>
                <c:pt idx="2073">
                  <c:v>93.408000000000001</c:v>
                </c:pt>
                <c:pt idx="2074">
                  <c:v>95.564599999999999</c:v>
                </c:pt>
                <c:pt idx="2075">
                  <c:v>91.983400000000003</c:v>
                </c:pt>
                <c:pt idx="2076">
                  <c:v>90.001400000000004</c:v>
                </c:pt>
                <c:pt idx="2077">
                  <c:v>90.289100000000005</c:v>
                </c:pt>
                <c:pt idx="2078">
                  <c:v>75.181700000000006</c:v>
                </c:pt>
                <c:pt idx="2079">
                  <c:v>82.837699999999998</c:v>
                </c:pt>
                <c:pt idx="2080">
                  <c:v>84.337299999999999</c:v>
                </c:pt>
                <c:pt idx="2081">
                  <c:v>77.962299999999999</c:v>
                </c:pt>
                <c:pt idx="2082">
                  <c:v>83.508600000000001</c:v>
                </c:pt>
                <c:pt idx="2083">
                  <c:v>82.6982</c:v>
                </c:pt>
                <c:pt idx="2084">
                  <c:v>77.773499999999999</c:v>
                </c:pt>
                <c:pt idx="2085">
                  <c:v>78.135300000000001</c:v>
                </c:pt>
                <c:pt idx="2086">
                  <c:v>80.267600000000002</c:v>
                </c:pt>
                <c:pt idx="2087">
                  <c:v>84.063900000000004</c:v>
                </c:pt>
                <c:pt idx="2088">
                  <c:v>82.7346</c:v>
                </c:pt>
                <c:pt idx="2089">
                  <c:v>85.546499999999995</c:v>
                </c:pt>
                <c:pt idx="2090">
                  <c:v>85.225099999999998</c:v>
                </c:pt>
                <c:pt idx="2091">
                  <c:v>87.344700000000003</c:v>
                </c:pt>
                <c:pt idx="2092">
                  <c:v>82.521299999999997</c:v>
                </c:pt>
                <c:pt idx="2093">
                  <c:v>80.509799999999998</c:v>
                </c:pt>
                <c:pt idx="2094">
                  <c:v>87.302199999999999</c:v>
                </c:pt>
                <c:pt idx="2095">
                  <c:v>94.070400000000006</c:v>
                </c:pt>
                <c:pt idx="2096">
                  <c:v>101.7058</c:v>
                </c:pt>
                <c:pt idx="2097">
                  <c:v>99.4</c:v>
                </c:pt>
                <c:pt idx="2098">
                  <c:v>97.597099999999998</c:v>
                </c:pt>
                <c:pt idx="2099">
                  <c:v>97.792599999999993</c:v>
                </c:pt>
                <c:pt idx="2100">
                  <c:v>94.348100000000002</c:v>
                </c:pt>
                <c:pt idx="2101">
                  <c:v>98.823499999999996</c:v>
                </c:pt>
                <c:pt idx="2102">
                  <c:v>97.067400000000006</c:v>
                </c:pt>
                <c:pt idx="2103">
                  <c:v>102.10080000000001</c:v>
                </c:pt>
                <c:pt idx="2104">
                  <c:v>103.3417</c:v>
                </c:pt>
                <c:pt idx="2105">
                  <c:v>101.2684</c:v>
                </c:pt>
                <c:pt idx="2106">
                  <c:v>100.91119999999999</c:v>
                </c:pt>
                <c:pt idx="2107">
                  <c:v>100.04259999999999</c:v>
                </c:pt>
                <c:pt idx="2108">
                  <c:v>100.5312</c:v>
                </c:pt>
                <c:pt idx="2109">
                  <c:v>101.4295</c:v>
                </c:pt>
                <c:pt idx="2110">
                  <c:v>102.1639</c:v>
                </c:pt>
                <c:pt idx="2111">
                  <c:v>99.440100000000001</c:v>
                </c:pt>
                <c:pt idx="2112">
                  <c:v>97.947599999999994</c:v>
                </c:pt>
                <c:pt idx="2113">
                  <c:v>98.990899999999996</c:v>
                </c:pt>
                <c:pt idx="2114">
                  <c:v>100.4868</c:v>
                </c:pt>
                <c:pt idx="2115">
                  <c:v>97.905000000000001</c:v>
                </c:pt>
                <c:pt idx="2116">
                  <c:v>99.454300000000003</c:v>
                </c:pt>
                <c:pt idx="2117">
                  <c:v>98.546899999999994</c:v>
                </c:pt>
                <c:pt idx="2118">
                  <c:v>100.2257</c:v>
                </c:pt>
                <c:pt idx="2119">
                  <c:v>100.5954</c:v>
                </c:pt>
                <c:pt idx="2120">
                  <c:v>99.402900000000002</c:v>
                </c:pt>
                <c:pt idx="2121">
                  <c:v>100.045</c:v>
                </c:pt>
                <c:pt idx="2122">
                  <c:v>102.1477</c:v>
                </c:pt>
                <c:pt idx="2123">
                  <c:v>105.0772</c:v>
                </c:pt>
                <c:pt idx="2124">
                  <c:v>106.004</c:v>
                </c:pt>
                <c:pt idx="2125">
                  <c:v>102.7979</c:v>
                </c:pt>
                <c:pt idx="2126">
                  <c:v>103.07429999999999</c:v>
                </c:pt>
                <c:pt idx="2127">
                  <c:v>105.5852</c:v>
                </c:pt>
                <c:pt idx="2128">
                  <c:v>104.7256</c:v>
                </c:pt>
                <c:pt idx="2129">
                  <c:v>102.3631</c:v>
                </c:pt>
                <c:pt idx="2130">
                  <c:v>98.5702</c:v>
                </c:pt>
                <c:pt idx="2131">
                  <c:v>100.2323</c:v>
                </c:pt>
                <c:pt idx="2132">
                  <c:v>98.438299999999998</c:v>
                </c:pt>
                <c:pt idx="2133">
                  <c:v>93.247799999999998</c:v>
                </c:pt>
                <c:pt idx="2134">
                  <c:v>86.672700000000006</c:v>
                </c:pt>
                <c:pt idx="2135">
                  <c:v>83.859899999999996</c:v>
                </c:pt>
                <c:pt idx="2136">
                  <c:v>82.043899999999994</c:v>
                </c:pt>
                <c:pt idx="2137">
                  <c:v>83.719499999999996</c:v>
                </c:pt>
                <c:pt idx="2138">
                  <c:v>74.601399999999998</c:v>
                </c:pt>
                <c:pt idx="2139">
                  <c:v>68.958299999999994</c:v>
                </c:pt>
                <c:pt idx="2140">
                  <c:v>68.588399999999993</c:v>
                </c:pt>
                <c:pt idx="2141">
                  <c:v>69.395600000000002</c:v>
                </c:pt>
                <c:pt idx="2142">
                  <c:v>68.099100000000007</c:v>
                </c:pt>
                <c:pt idx="2143">
                  <c:v>67.690100000000001</c:v>
                </c:pt>
                <c:pt idx="2144">
                  <c:v>66.604699999999994</c:v>
                </c:pt>
                <c:pt idx="2145">
                  <c:v>64.642499999999998</c:v>
                </c:pt>
                <c:pt idx="2146">
                  <c:v>68.216200000000001</c:v>
                </c:pt>
                <c:pt idx="2147">
                  <c:v>77.952200000000005</c:v>
                </c:pt>
                <c:pt idx="2148">
                  <c:v>77.863100000000003</c:v>
                </c:pt>
                <c:pt idx="2149">
                  <c:v>81.138900000000007</c:v>
                </c:pt>
                <c:pt idx="2150">
                  <c:v>79.780199999999994</c:v>
                </c:pt>
                <c:pt idx="2151">
                  <c:v>83.699600000000004</c:v>
                </c:pt>
                <c:pt idx="2152">
                  <c:v>84.309700000000007</c:v>
                </c:pt>
                <c:pt idx="2153">
                  <c:v>85.570300000000003</c:v>
                </c:pt>
                <c:pt idx="2154">
                  <c:v>89.533799999999999</c:v>
                </c:pt>
                <c:pt idx="2155">
                  <c:v>93.123099999999994</c:v>
                </c:pt>
                <c:pt idx="2156">
                  <c:v>91.594499999999996</c:v>
                </c:pt>
                <c:pt idx="2157">
                  <c:v>93.621899999999997</c:v>
                </c:pt>
                <c:pt idx="2158">
                  <c:v>90.793000000000006</c:v>
                </c:pt>
                <c:pt idx="2159">
                  <c:v>89.389899999999997</c:v>
                </c:pt>
                <c:pt idx="2160">
                  <c:v>86.766199999999998</c:v>
                </c:pt>
                <c:pt idx="2161">
                  <c:v>88.585599999999999</c:v>
                </c:pt>
                <c:pt idx="2162">
                  <c:v>92.949799999999996</c:v>
                </c:pt>
                <c:pt idx="2163">
                  <c:v>90.054599999999994</c:v>
                </c:pt>
                <c:pt idx="2164">
                  <c:v>91.468500000000006</c:v>
                </c:pt>
                <c:pt idx="2165">
                  <c:v>92.517700000000005</c:v>
                </c:pt>
                <c:pt idx="2166">
                  <c:v>91.494799999999998</c:v>
                </c:pt>
                <c:pt idx="2167">
                  <c:v>89.590500000000006</c:v>
                </c:pt>
                <c:pt idx="2168">
                  <c:v>92.221599999999995</c:v>
                </c:pt>
                <c:pt idx="2169">
                  <c:v>96.628399999999999</c:v>
                </c:pt>
                <c:pt idx="2170">
                  <c:v>95.415099999999995</c:v>
                </c:pt>
                <c:pt idx="2171">
                  <c:v>95.947199999999995</c:v>
                </c:pt>
                <c:pt idx="2172">
                  <c:v>95.119</c:v>
                </c:pt>
                <c:pt idx="2173">
                  <c:v>92.693399999999997</c:v>
                </c:pt>
                <c:pt idx="2174">
                  <c:v>93.640199999999993</c:v>
                </c:pt>
                <c:pt idx="2175">
                  <c:v>98.9268</c:v>
                </c:pt>
                <c:pt idx="2176">
                  <c:v>97.871799999999993</c:v>
                </c:pt>
                <c:pt idx="2177">
                  <c:v>96.741200000000006</c:v>
                </c:pt>
                <c:pt idx="2178">
                  <c:v>97.337100000000007</c:v>
                </c:pt>
                <c:pt idx="2179">
                  <c:v>96.197400000000002</c:v>
                </c:pt>
                <c:pt idx="2180">
                  <c:v>95.898099999999999</c:v>
                </c:pt>
                <c:pt idx="2181">
                  <c:v>96.345399999999998</c:v>
                </c:pt>
                <c:pt idx="2182">
                  <c:v>92.685599999999994</c:v>
                </c:pt>
                <c:pt idx="2183">
                  <c:v>92.209599999999995</c:v>
                </c:pt>
                <c:pt idx="2184">
                  <c:v>93.9893</c:v>
                </c:pt>
                <c:pt idx="2185">
                  <c:v>92.278499999999994</c:v>
                </c:pt>
                <c:pt idx="2186">
                  <c:v>90.411199999999994</c:v>
                </c:pt>
                <c:pt idx="2187">
                  <c:v>90.280500000000004</c:v>
                </c:pt>
                <c:pt idx="2188">
                  <c:v>89.981399999999994</c:v>
                </c:pt>
                <c:pt idx="2189">
                  <c:v>89.732200000000006</c:v>
                </c:pt>
                <c:pt idx="2190">
                  <c:v>85.270899999999997</c:v>
                </c:pt>
                <c:pt idx="2191">
                  <c:v>86.5214</c:v>
                </c:pt>
                <c:pt idx="2192">
                  <c:v>85.050399999999996</c:v>
                </c:pt>
                <c:pt idx="2193">
                  <c:v>87.178600000000003</c:v>
                </c:pt>
                <c:pt idx="2194">
                  <c:v>88.837199999999996</c:v>
                </c:pt>
                <c:pt idx="2195">
                  <c:v>92.006200000000007</c:v>
                </c:pt>
                <c:pt idx="2196">
                  <c:v>89.465100000000007</c:v>
                </c:pt>
                <c:pt idx="2197">
                  <c:v>93.031800000000004</c:v>
                </c:pt>
                <c:pt idx="2198">
                  <c:v>92.868300000000005</c:v>
                </c:pt>
                <c:pt idx="2199">
                  <c:v>93.552400000000006</c:v>
                </c:pt>
                <c:pt idx="2200">
                  <c:v>95.635000000000005</c:v>
                </c:pt>
                <c:pt idx="2201">
                  <c:v>93.161900000000003</c:v>
                </c:pt>
                <c:pt idx="2202">
                  <c:v>92.715599999999995</c:v>
                </c:pt>
                <c:pt idx="2203">
                  <c:v>92.416300000000007</c:v>
                </c:pt>
                <c:pt idx="2204">
                  <c:v>94.278300000000002</c:v>
                </c:pt>
                <c:pt idx="2205">
                  <c:v>89.191999999999993</c:v>
                </c:pt>
                <c:pt idx="2206">
                  <c:v>86.393100000000004</c:v>
                </c:pt>
                <c:pt idx="2207">
                  <c:v>86.235100000000003</c:v>
                </c:pt>
                <c:pt idx="2208">
                  <c:v>89.442700000000002</c:v>
                </c:pt>
                <c:pt idx="2209">
                  <c:v>89.815799999999996</c:v>
                </c:pt>
                <c:pt idx="2210">
                  <c:v>87.090599999999995</c:v>
                </c:pt>
                <c:pt idx="2211">
                  <c:v>88.3279</c:v>
                </c:pt>
                <c:pt idx="2212">
                  <c:v>87.696200000000005</c:v>
                </c:pt>
                <c:pt idx="2213">
                  <c:v>88.747900000000001</c:v>
                </c:pt>
                <c:pt idx="2214">
                  <c:v>88.558300000000003</c:v>
                </c:pt>
                <c:pt idx="2215">
                  <c:v>84.774299999999997</c:v>
                </c:pt>
                <c:pt idx="2216">
                  <c:v>85.571100000000001</c:v>
                </c:pt>
                <c:pt idx="2217">
                  <c:v>83.581500000000005</c:v>
                </c:pt>
                <c:pt idx="2218">
                  <c:v>82.218100000000007</c:v>
                </c:pt>
                <c:pt idx="2219">
                  <c:v>78.728099999999998</c:v>
                </c:pt>
                <c:pt idx="2220">
                  <c:v>80.9786</c:v>
                </c:pt>
                <c:pt idx="2221">
                  <c:v>73.360399999999998</c:v>
                </c:pt>
                <c:pt idx="2222">
                  <c:v>69.906300000000002</c:v>
                </c:pt>
                <c:pt idx="2223">
                  <c:v>76.298699999999997</c:v>
                </c:pt>
                <c:pt idx="2224">
                  <c:v>78.5916</c:v>
                </c:pt>
                <c:pt idx="2225">
                  <c:v>75.234999999999999</c:v>
                </c:pt>
                <c:pt idx="2226">
                  <c:v>74.235699999999994</c:v>
                </c:pt>
                <c:pt idx="2227">
                  <c:v>77.525000000000006</c:v>
                </c:pt>
                <c:pt idx="2228">
                  <c:v>79.762100000000004</c:v>
                </c:pt>
                <c:pt idx="2229">
                  <c:v>79.576400000000007</c:v>
                </c:pt>
                <c:pt idx="2230">
                  <c:v>79.608800000000002</c:v>
                </c:pt>
                <c:pt idx="2231">
                  <c:v>81.482500000000002</c:v>
                </c:pt>
                <c:pt idx="2232">
                  <c:v>82.394599999999997</c:v>
                </c:pt>
                <c:pt idx="2233">
                  <c:v>82.787300000000002</c:v>
                </c:pt>
                <c:pt idx="2234">
                  <c:v>84.278300000000002</c:v>
                </c:pt>
                <c:pt idx="2235">
                  <c:v>82.272099999999995</c:v>
                </c:pt>
                <c:pt idx="2236">
                  <c:v>76.475099999999998</c:v>
                </c:pt>
                <c:pt idx="2237">
                  <c:v>79.741100000000003</c:v>
                </c:pt>
                <c:pt idx="2238">
                  <c:v>80.955600000000004</c:v>
                </c:pt>
                <c:pt idx="2239">
                  <c:v>76.250900000000001</c:v>
                </c:pt>
                <c:pt idx="2240">
                  <c:v>75.931700000000006</c:v>
                </c:pt>
                <c:pt idx="2241">
                  <c:v>74.697500000000005</c:v>
                </c:pt>
                <c:pt idx="2242">
                  <c:v>75.468699999999998</c:v>
                </c:pt>
                <c:pt idx="2243">
                  <c:v>79.143199999999993</c:v>
                </c:pt>
                <c:pt idx="2244">
                  <c:v>77.354900000000001</c:v>
                </c:pt>
                <c:pt idx="2245">
                  <c:v>74.676500000000004</c:v>
                </c:pt>
                <c:pt idx="2246">
                  <c:v>73.709100000000007</c:v>
                </c:pt>
                <c:pt idx="2247">
                  <c:v>75.752499999999998</c:v>
                </c:pt>
                <c:pt idx="2248">
                  <c:v>77.338399999999993</c:v>
                </c:pt>
                <c:pt idx="2249">
                  <c:v>78.845600000000005</c:v>
                </c:pt>
                <c:pt idx="2250">
                  <c:v>78.520099999999999</c:v>
                </c:pt>
                <c:pt idx="2251">
                  <c:v>77.434299999999993</c:v>
                </c:pt>
                <c:pt idx="2252">
                  <c:v>76.419300000000007</c:v>
                </c:pt>
                <c:pt idx="2253">
                  <c:v>77.340199999999996</c:v>
                </c:pt>
                <c:pt idx="2254">
                  <c:v>78.504499999999993</c:v>
                </c:pt>
                <c:pt idx="2255">
                  <c:v>76.803700000000006</c:v>
                </c:pt>
                <c:pt idx="2256">
                  <c:v>73.910399999999996</c:v>
                </c:pt>
                <c:pt idx="2257">
                  <c:v>73.345799999999997</c:v>
                </c:pt>
                <c:pt idx="2258">
                  <c:v>73.778599999999997</c:v>
                </c:pt>
                <c:pt idx="2259">
                  <c:v>73.181200000000004</c:v>
                </c:pt>
                <c:pt idx="2260">
                  <c:v>73.346900000000005</c:v>
                </c:pt>
                <c:pt idx="2261">
                  <c:v>70.108599999999996</c:v>
                </c:pt>
                <c:pt idx="2262">
                  <c:v>69.684100000000001</c:v>
                </c:pt>
                <c:pt idx="2263">
                  <c:v>68.412899999999993</c:v>
                </c:pt>
                <c:pt idx="2264">
                  <c:v>70.0548</c:v>
                </c:pt>
                <c:pt idx="2265">
                  <c:v>65.563800000000001</c:v>
                </c:pt>
                <c:pt idx="2266">
                  <c:v>68.364099999999993</c:v>
                </c:pt>
                <c:pt idx="2267">
                  <c:v>68.934600000000003</c:v>
                </c:pt>
                <c:pt idx="2268">
                  <c:v>69.815700000000007</c:v>
                </c:pt>
                <c:pt idx="2269">
                  <c:v>67.330299999999994</c:v>
                </c:pt>
                <c:pt idx="2270">
                  <c:v>63.366300000000003</c:v>
                </c:pt>
                <c:pt idx="2271">
                  <c:v>63.4313</c:v>
                </c:pt>
                <c:pt idx="2272">
                  <c:v>62.526400000000002</c:v>
                </c:pt>
                <c:pt idx="2273">
                  <c:v>63.7883</c:v>
                </c:pt>
                <c:pt idx="2274">
                  <c:v>62.920699999999997</c:v>
                </c:pt>
                <c:pt idx="2275">
                  <c:v>64.168099999999995</c:v>
                </c:pt>
                <c:pt idx="2276">
                  <c:v>66.023200000000003</c:v>
                </c:pt>
                <c:pt idx="2277">
                  <c:v>64.122500000000002</c:v>
                </c:pt>
                <c:pt idx="2278">
                  <c:v>64.6691</c:v>
                </c:pt>
                <c:pt idx="2279">
                  <c:v>64.090900000000005</c:v>
                </c:pt>
                <c:pt idx="2280">
                  <c:v>63.681600000000003</c:v>
                </c:pt>
                <c:pt idx="2281">
                  <c:v>64.593500000000006</c:v>
                </c:pt>
                <c:pt idx="2282">
                  <c:v>67.643100000000004</c:v>
                </c:pt>
                <c:pt idx="2283">
                  <c:v>67.996499999999997</c:v>
                </c:pt>
                <c:pt idx="2284">
                  <c:v>69.908299999999997</c:v>
                </c:pt>
                <c:pt idx="2285">
                  <c:v>73.403599999999997</c:v>
                </c:pt>
                <c:pt idx="2286">
                  <c:v>75.740700000000004</c:v>
                </c:pt>
                <c:pt idx="2287">
                  <c:v>77.159599999999998</c:v>
                </c:pt>
                <c:pt idx="2288">
                  <c:v>77.659300000000002</c:v>
                </c:pt>
                <c:pt idx="2289">
                  <c:v>76.439099999999996</c:v>
                </c:pt>
                <c:pt idx="2290">
                  <c:v>77.936999999999998</c:v>
                </c:pt>
                <c:pt idx="2291">
                  <c:v>77.807000000000002</c:v>
                </c:pt>
                <c:pt idx="2292">
                  <c:v>76.597700000000003</c:v>
                </c:pt>
                <c:pt idx="2293">
                  <c:v>75.682500000000005</c:v>
                </c:pt>
                <c:pt idx="2294">
                  <c:v>75.000900000000001</c:v>
                </c:pt>
                <c:pt idx="2295">
                  <c:v>75.076300000000003</c:v>
                </c:pt>
                <c:pt idx="2296">
                  <c:v>75.121600000000001</c:v>
                </c:pt>
                <c:pt idx="2297">
                  <c:v>74.884100000000004</c:v>
                </c:pt>
                <c:pt idx="2298">
                  <c:v>76.260900000000007</c:v>
                </c:pt>
                <c:pt idx="2299">
                  <c:v>78.231099999999998</c:v>
                </c:pt>
                <c:pt idx="2300">
                  <c:v>77.674599999999998</c:v>
                </c:pt>
                <c:pt idx="2301">
                  <c:v>77.138900000000007</c:v>
                </c:pt>
                <c:pt idx="2302">
                  <c:v>75.185699999999997</c:v>
                </c:pt>
                <c:pt idx="2303">
                  <c:v>73.286799999999999</c:v>
                </c:pt>
                <c:pt idx="2304">
                  <c:v>73.9054</c:v>
                </c:pt>
                <c:pt idx="2305">
                  <c:v>73.999099999999999</c:v>
                </c:pt>
                <c:pt idx="2306">
                  <c:v>76.401399999999995</c:v>
                </c:pt>
                <c:pt idx="2307">
                  <c:v>77.508200000000002</c:v>
                </c:pt>
                <c:pt idx="2308">
                  <c:v>76.537199999999999</c:v>
                </c:pt>
                <c:pt idx="2309">
                  <c:v>75.102000000000004</c:v>
                </c:pt>
                <c:pt idx="2310">
                  <c:v>75.766300000000001</c:v>
                </c:pt>
                <c:pt idx="2311">
                  <c:v>76.946200000000005</c:v>
                </c:pt>
                <c:pt idx="2312">
                  <c:v>78.497900000000001</c:v>
                </c:pt>
                <c:pt idx="2313">
                  <c:v>77.984099999999998</c:v>
                </c:pt>
                <c:pt idx="2314">
                  <c:v>78.663399999999996</c:v>
                </c:pt>
                <c:pt idx="2315">
                  <c:v>80.020600000000002</c:v>
                </c:pt>
                <c:pt idx="2316">
                  <c:v>81.578699999999998</c:v>
                </c:pt>
                <c:pt idx="2317">
                  <c:v>79.778599999999997</c:v>
                </c:pt>
                <c:pt idx="2318">
                  <c:v>78.974000000000004</c:v>
                </c:pt>
                <c:pt idx="2319">
                  <c:v>79.015900000000002</c:v>
                </c:pt>
                <c:pt idx="2320">
                  <c:v>78.791200000000003</c:v>
                </c:pt>
                <c:pt idx="2321">
                  <c:v>79.711399999999998</c:v>
                </c:pt>
                <c:pt idx="2322">
                  <c:v>80.909800000000004</c:v>
                </c:pt>
                <c:pt idx="2323">
                  <c:v>81.571799999999996</c:v>
                </c:pt>
                <c:pt idx="2324">
                  <c:v>83.450800000000001</c:v>
                </c:pt>
                <c:pt idx="2325">
                  <c:v>82.767899999999997</c:v>
                </c:pt>
                <c:pt idx="2326">
                  <c:v>84.050700000000006</c:v>
                </c:pt>
                <c:pt idx="2327">
                  <c:v>85.3018</c:v>
                </c:pt>
                <c:pt idx="2328">
                  <c:v>85.812700000000007</c:v>
                </c:pt>
                <c:pt idx="2329">
                  <c:v>84.587699999999998</c:v>
                </c:pt>
                <c:pt idx="2330">
                  <c:v>83.146299999999997</c:v>
                </c:pt>
                <c:pt idx="2331">
                  <c:v>83.7072</c:v>
                </c:pt>
                <c:pt idx="2332">
                  <c:v>85.394999999999996</c:v>
                </c:pt>
                <c:pt idx="2333">
                  <c:v>85.769099999999995</c:v>
                </c:pt>
                <c:pt idx="2334">
                  <c:v>85.103899999999996</c:v>
                </c:pt>
                <c:pt idx="2335">
                  <c:v>81.770099999999999</c:v>
                </c:pt>
                <c:pt idx="2336">
                  <c:v>79.513099999999994</c:v>
                </c:pt>
                <c:pt idx="2337">
                  <c:v>77.151600000000002</c:v>
                </c:pt>
                <c:pt idx="2338">
                  <c:v>76.069100000000006</c:v>
                </c:pt>
                <c:pt idx="2339">
                  <c:v>76.029799999999994</c:v>
                </c:pt>
                <c:pt idx="2340">
                  <c:v>76.097999999999999</c:v>
                </c:pt>
                <c:pt idx="2341">
                  <c:v>74.7089</c:v>
                </c:pt>
                <c:pt idx="2342">
                  <c:v>73.317400000000006</c:v>
                </c:pt>
                <c:pt idx="2343">
                  <c:v>73.124700000000004</c:v>
                </c:pt>
                <c:pt idx="2344">
                  <c:v>72.771500000000003</c:v>
                </c:pt>
                <c:pt idx="2345">
                  <c:v>72.833299999999994</c:v>
                </c:pt>
                <c:pt idx="2346">
                  <c:v>72.692300000000003</c:v>
                </c:pt>
                <c:pt idx="2347">
                  <c:v>72.790499999999994</c:v>
                </c:pt>
                <c:pt idx="2348">
                  <c:v>71.918099999999995</c:v>
                </c:pt>
                <c:pt idx="2349">
                  <c:v>70.216899999999995</c:v>
                </c:pt>
                <c:pt idx="2350">
                  <c:v>69.635800000000003</c:v>
                </c:pt>
                <c:pt idx="2351">
                  <c:v>71.796899999999994</c:v>
                </c:pt>
                <c:pt idx="2352">
                  <c:v>73.356499999999997</c:v>
                </c:pt>
                <c:pt idx="2353">
                  <c:v>72.2881</c:v>
                </c:pt>
                <c:pt idx="2354">
                  <c:v>73.897400000000005</c:v>
                </c:pt>
                <c:pt idx="2355">
                  <c:v>72.5077</c:v>
                </c:pt>
                <c:pt idx="2356">
                  <c:v>73.977099999999993</c:v>
                </c:pt>
                <c:pt idx="2357">
                  <c:v>76.183499999999995</c:v>
                </c:pt>
                <c:pt idx="2358">
                  <c:v>77.412599999999998</c:v>
                </c:pt>
                <c:pt idx="2359">
                  <c:v>76.869900000000001</c:v>
                </c:pt>
                <c:pt idx="2360">
                  <c:v>75.084100000000007</c:v>
                </c:pt>
                <c:pt idx="2361">
                  <c:v>73.610500000000002</c:v>
                </c:pt>
                <c:pt idx="2362">
                  <c:v>73.766099999999994</c:v>
                </c:pt>
                <c:pt idx="2363">
                  <c:v>74.781800000000004</c:v>
                </c:pt>
                <c:pt idx="2364">
                  <c:v>75.293099999999995</c:v>
                </c:pt>
                <c:pt idx="2365">
                  <c:v>76.770799999999994</c:v>
                </c:pt>
                <c:pt idx="2366">
                  <c:v>75.594999999999999</c:v>
                </c:pt>
                <c:pt idx="2367">
                  <c:v>75.480199999999996</c:v>
                </c:pt>
                <c:pt idx="2368">
                  <c:v>75.587400000000002</c:v>
                </c:pt>
                <c:pt idx="2369">
                  <c:v>75.282499999999999</c:v>
                </c:pt>
                <c:pt idx="2370">
                  <c:v>73.461399999999998</c:v>
                </c:pt>
                <c:pt idx="2371">
                  <c:v>72.017700000000005</c:v>
                </c:pt>
                <c:pt idx="2372">
                  <c:v>73.129900000000006</c:v>
                </c:pt>
                <c:pt idx="2373">
                  <c:v>73.478200000000001</c:v>
                </c:pt>
                <c:pt idx="2374">
                  <c:v>70.474100000000007</c:v>
                </c:pt>
                <c:pt idx="2375">
                  <c:v>69.365899999999996</c:v>
                </c:pt>
                <c:pt idx="2376">
                  <c:v>69.167000000000002</c:v>
                </c:pt>
                <c:pt idx="2377">
                  <c:v>68.622299999999996</c:v>
                </c:pt>
                <c:pt idx="2378">
                  <c:v>69.110699999999994</c:v>
                </c:pt>
                <c:pt idx="2379">
                  <c:v>69.211299999999994</c:v>
                </c:pt>
                <c:pt idx="2380">
                  <c:v>68.760300000000001</c:v>
                </c:pt>
                <c:pt idx="2381">
                  <c:v>67.3613</c:v>
                </c:pt>
                <c:pt idx="2382">
                  <c:v>69.72</c:v>
                </c:pt>
                <c:pt idx="2383">
                  <c:v>71.492599999999996</c:v>
                </c:pt>
                <c:pt idx="2384">
                  <c:v>75.726399999999998</c:v>
                </c:pt>
                <c:pt idx="2385">
                  <c:v>75.861900000000006</c:v>
                </c:pt>
                <c:pt idx="2386">
                  <c:v>75.995699999999999</c:v>
                </c:pt>
                <c:pt idx="2387">
                  <c:v>77.547700000000006</c:v>
                </c:pt>
                <c:pt idx="2388">
                  <c:v>77.508799999999994</c:v>
                </c:pt>
                <c:pt idx="2389">
                  <c:v>77.224000000000004</c:v>
                </c:pt>
                <c:pt idx="2390">
                  <c:v>77.000500000000002</c:v>
                </c:pt>
                <c:pt idx="2391">
                  <c:v>76.813900000000004</c:v>
                </c:pt>
                <c:pt idx="2392">
                  <c:v>78.905500000000004</c:v>
                </c:pt>
                <c:pt idx="2393">
                  <c:v>80.099999999999994</c:v>
                </c:pt>
                <c:pt idx="2394">
                  <c:v>80.784400000000005</c:v>
                </c:pt>
                <c:pt idx="2395">
                  <c:v>81.005300000000005</c:v>
                </c:pt>
                <c:pt idx="2396">
                  <c:v>82.167000000000002</c:v>
                </c:pt>
                <c:pt idx="2397">
                  <c:v>79.119200000000006</c:v>
                </c:pt>
                <c:pt idx="2398">
                  <c:v>77.907899999999998</c:v>
                </c:pt>
                <c:pt idx="2399">
                  <c:v>78.537300000000002</c:v>
                </c:pt>
                <c:pt idx="2400">
                  <c:v>77.872100000000003</c:v>
                </c:pt>
                <c:pt idx="2401">
                  <c:v>77.900000000000006</c:v>
                </c:pt>
                <c:pt idx="2402">
                  <c:v>77.382800000000003</c:v>
                </c:pt>
                <c:pt idx="2403">
                  <c:v>78.570599999999999</c:v>
                </c:pt>
                <c:pt idx="2404">
                  <c:v>76.9816</c:v>
                </c:pt>
                <c:pt idx="2405">
                  <c:v>76.403999999999996</c:v>
                </c:pt>
                <c:pt idx="2406">
                  <c:v>75.617900000000006</c:v>
                </c:pt>
                <c:pt idx="2407">
                  <c:v>74.712900000000005</c:v>
                </c:pt>
                <c:pt idx="2408">
                  <c:v>73.021100000000004</c:v>
                </c:pt>
                <c:pt idx="2409">
                  <c:v>71.958699999999993</c:v>
                </c:pt>
                <c:pt idx="2410">
                  <c:v>73.010300000000001</c:v>
                </c:pt>
                <c:pt idx="2411">
                  <c:v>74.024500000000003</c:v>
                </c:pt>
                <c:pt idx="2412">
                  <c:v>72.932699999999997</c:v>
                </c:pt>
                <c:pt idx="2413">
                  <c:v>72.514300000000006</c:v>
                </c:pt>
                <c:pt idx="2414">
                  <c:v>73.263000000000005</c:v>
                </c:pt>
                <c:pt idx="2415">
                  <c:v>75.600099999999998</c:v>
                </c:pt>
                <c:pt idx="2416">
                  <c:v>73.393699999999995</c:v>
                </c:pt>
                <c:pt idx="2417">
                  <c:v>73.953100000000006</c:v>
                </c:pt>
                <c:pt idx="2418">
                  <c:v>72.058300000000003</c:v>
                </c:pt>
                <c:pt idx="2419">
                  <c:v>73.211600000000004</c:v>
                </c:pt>
                <c:pt idx="2420">
                  <c:v>71.035200000000003</c:v>
                </c:pt>
                <c:pt idx="2421">
                  <c:v>70.554100000000005</c:v>
                </c:pt>
                <c:pt idx="2422">
                  <c:v>69.409700000000001</c:v>
                </c:pt>
                <c:pt idx="2423">
                  <c:v>69.944900000000004</c:v>
                </c:pt>
                <c:pt idx="2424">
                  <c:v>69.489599999999996</c:v>
                </c:pt>
                <c:pt idx="2425">
                  <c:v>70.325599999999994</c:v>
                </c:pt>
                <c:pt idx="2426">
                  <c:v>72.841899999999995</c:v>
                </c:pt>
                <c:pt idx="2427">
                  <c:v>76.8078</c:v>
                </c:pt>
                <c:pt idx="2428">
                  <c:v>77.170400000000001</c:v>
                </c:pt>
                <c:pt idx="2429">
                  <c:v>78.935000000000002</c:v>
                </c:pt>
                <c:pt idx="2430">
                  <c:v>79.007900000000006</c:v>
                </c:pt>
                <c:pt idx="2431">
                  <c:v>81.218100000000007</c:v>
                </c:pt>
                <c:pt idx="2432">
                  <c:v>82.0548</c:v>
                </c:pt>
                <c:pt idx="2433">
                  <c:v>83.262299999999996</c:v>
                </c:pt>
                <c:pt idx="2434">
                  <c:v>85.460999999999999</c:v>
                </c:pt>
                <c:pt idx="2435">
                  <c:v>88.066000000000003</c:v>
                </c:pt>
                <c:pt idx="2436">
                  <c:v>88.251000000000005</c:v>
                </c:pt>
                <c:pt idx="2437">
                  <c:v>90.920900000000003</c:v>
                </c:pt>
                <c:pt idx="2438">
                  <c:v>90.365499999999997</c:v>
                </c:pt>
                <c:pt idx="2439">
                  <c:v>91.378</c:v>
                </c:pt>
                <c:pt idx="2440">
                  <c:v>88.012100000000004</c:v>
                </c:pt>
                <c:pt idx="2441">
                  <c:v>87.626099999999994</c:v>
                </c:pt>
                <c:pt idx="2442">
                  <c:v>92.984700000000004</c:v>
                </c:pt>
                <c:pt idx="2443">
                  <c:v>95.194599999999994</c:v>
                </c:pt>
                <c:pt idx="2444">
                  <c:v>96.290599999999998</c:v>
                </c:pt>
                <c:pt idx="2445">
                  <c:v>94.809399999999997</c:v>
                </c:pt>
                <c:pt idx="2446">
                  <c:v>94.107399999999998</c:v>
                </c:pt>
                <c:pt idx="2447">
                  <c:v>95.107200000000006</c:v>
                </c:pt>
                <c:pt idx="2448">
                  <c:v>94.825000000000003</c:v>
                </c:pt>
                <c:pt idx="2449">
                  <c:v>97.533199999999994</c:v>
                </c:pt>
                <c:pt idx="2450">
                  <c:v>96.044600000000003</c:v>
                </c:pt>
                <c:pt idx="2451">
                  <c:v>95.822699999999998</c:v>
                </c:pt>
                <c:pt idx="2452">
                  <c:v>98.856099999999998</c:v>
                </c:pt>
                <c:pt idx="2453">
                  <c:v>99.831100000000006</c:v>
                </c:pt>
                <c:pt idx="2454">
                  <c:v>110.50830000000001</c:v>
                </c:pt>
                <c:pt idx="2455">
                  <c:v>102.7491</c:v>
                </c:pt>
                <c:pt idx="2456">
                  <c:v>107.2174</c:v>
                </c:pt>
                <c:pt idx="2457">
                  <c:v>103.6644</c:v>
                </c:pt>
                <c:pt idx="2458">
                  <c:v>108.5185</c:v>
                </c:pt>
                <c:pt idx="2459">
                  <c:v>111.1748</c:v>
                </c:pt>
                <c:pt idx="2460">
                  <c:v>111.4485</c:v>
                </c:pt>
                <c:pt idx="2461">
                  <c:v>103.47369999999999</c:v>
                </c:pt>
                <c:pt idx="2462">
                  <c:v>108.05840000000001</c:v>
                </c:pt>
                <c:pt idx="2463">
                  <c:v>108.85209999999999</c:v>
                </c:pt>
                <c:pt idx="2464">
                  <c:v>106.9498</c:v>
                </c:pt>
                <c:pt idx="2465">
                  <c:v>107.43300000000001</c:v>
                </c:pt>
                <c:pt idx="2466">
                  <c:v>102.5596</c:v>
                </c:pt>
                <c:pt idx="2467">
                  <c:v>102.53740000000001</c:v>
                </c:pt>
                <c:pt idx="2468">
                  <c:v>104.55159999999999</c:v>
                </c:pt>
                <c:pt idx="2469">
                  <c:v>105.97539999999999</c:v>
                </c:pt>
                <c:pt idx="2470">
                  <c:v>109.5598</c:v>
                </c:pt>
                <c:pt idx="2471">
                  <c:v>105.95650000000001</c:v>
                </c:pt>
                <c:pt idx="2472">
                  <c:v>107.1097</c:v>
                </c:pt>
                <c:pt idx="2473">
                  <c:v>105.0857</c:v>
                </c:pt>
                <c:pt idx="2474">
                  <c:v>105.8617</c:v>
                </c:pt>
                <c:pt idx="2475">
                  <c:v>107.3856</c:v>
                </c:pt>
                <c:pt idx="2476">
                  <c:v>108.9235</c:v>
                </c:pt>
                <c:pt idx="2477">
                  <c:v>109.3584</c:v>
                </c:pt>
                <c:pt idx="2478">
                  <c:v>112.5091</c:v>
                </c:pt>
                <c:pt idx="2479">
                  <c:v>111.6357</c:v>
                </c:pt>
                <c:pt idx="2480">
                  <c:v>111.1249</c:v>
                </c:pt>
                <c:pt idx="2481">
                  <c:v>112.17270000000001</c:v>
                </c:pt>
                <c:pt idx="2482">
                  <c:v>110.85290000000001</c:v>
                </c:pt>
                <c:pt idx="2483">
                  <c:v>109.0599</c:v>
                </c:pt>
                <c:pt idx="2484">
                  <c:v>108.88249999999999</c:v>
                </c:pt>
                <c:pt idx="2485">
                  <c:v>107.19799999999999</c:v>
                </c:pt>
                <c:pt idx="2486">
                  <c:v>100.5857</c:v>
                </c:pt>
                <c:pt idx="2487">
                  <c:v>98.266199999999998</c:v>
                </c:pt>
                <c:pt idx="2488">
                  <c:v>99.456400000000002</c:v>
                </c:pt>
                <c:pt idx="2489">
                  <c:v>96.867800000000003</c:v>
                </c:pt>
                <c:pt idx="2490">
                  <c:v>96.915099999999995</c:v>
                </c:pt>
                <c:pt idx="2491">
                  <c:v>96.819500000000005</c:v>
                </c:pt>
                <c:pt idx="2492">
                  <c:v>99.900099999999995</c:v>
                </c:pt>
                <c:pt idx="2493">
                  <c:v>97.912000000000006</c:v>
                </c:pt>
                <c:pt idx="2494">
                  <c:v>96.521600000000007</c:v>
                </c:pt>
                <c:pt idx="2495">
                  <c:v>98.5672</c:v>
                </c:pt>
                <c:pt idx="2496">
                  <c:v>94.472700000000003</c:v>
                </c:pt>
                <c:pt idx="2497">
                  <c:v>92.386099999999999</c:v>
                </c:pt>
                <c:pt idx="2498">
                  <c:v>90.302899999999994</c:v>
                </c:pt>
                <c:pt idx="2499">
                  <c:v>92.128</c:v>
                </c:pt>
                <c:pt idx="2500">
                  <c:v>90.171199999999999</c:v>
                </c:pt>
                <c:pt idx="2501">
                  <c:v>90.654600000000002</c:v>
                </c:pt>
                <c:pt idx="2502">
                  <c:v>88.433700000000002</c:v>
                </c:pt>
                <c:pt idx="2503">
                  <c:v>91.232399999999998</c:v>
                </c:pt>
                <c:pt idx="2504">
                  <c:v>91.861099999999993</c:v>
                </c:pt>
                <c:pt idx="2505">
                  <c:v>94.700100000000006</c:v>
                </c:pt>
                <c:pt idx="2506">
                  <c:v>93.524600000000007</c:v>
                </c:pt>
                <c:pt idx="2507">
                  <c:v>97.2209</c:v>
                </c:pt>
                <c:pt idx="2508">
                  <c:v>98.670299999999997</c:v>
                </c:pt>
                <c:pt idx="2509">
                  <c:v>100.08150000000001</c:v>
                </c:pt>
                <c:pt idx="2510">
                  <c:v>97.375</c:v>
                </c:pt>
                <c:pt idx="2511">
                  <c:v>99.848699999999994</c:v>
                </c:pt>
                <c:pt idx="2512">
                  <c:v>101.0318</c:v>
                </c:pt>
                <c:pt idx="2513">
                  <c:v>97.793800000000005</c:v>
                </c:pt>
                <c:pt idx="2514">
                  <c:v>93.046300000000002</c:v>
                </c:pt>
                <c:pt idx="2515">
                  <c:v>92.688199999999995</c:v>
                </c:pt>
                <c:pt idx="2516">
                  <c:v>92.695800000000006</c:v>
                </c:pt>
                <c:pt idx="2517">
                  <c:v>91.724000000000004</c:v>
                </c:pt>
                <c:pt idx="2518">
                  <c:v>88.584400000000002</c:v>
                </c:pt>
                <c:pt idx="2519">
                  <c:v>86.795699999999997</c:v>
                </c:pt>
                <c:pt idx="2520">
                  <c:v>86.748099999999994</c:v>
                </c:pt>
                <c:pt idx="2521">
                  <c:v>86.626900000000006</c:v>
                </c:pt>
                <c:pt idx="2522">
                  <c:v>84.971599999999995</c:v>
                </c:pt>
                <c:pt idx="2523">
                  <c:v>85.613100000000003</c:v>
                </c:pt>
                <c:pt idx="2524">
                  <c:v>86.536199999999994</c:v>
                </c:pt>
                <c:pt idx="2525">
                  <c:v>84.838800000000006</c:v>
                </c:pt>
                <c:pt idx="2526">
                  <c:v>86.346199999999996</c:v>
                </c:pt>
                <c:pt idx="2527">
                  <c:v>89.844800000000006</c:v>
                </c:pt>
                <c:pt idx="2528">
                  <c:v>89.295299999999997</c:v>
                </c:pt>
                <c:pt idx="2529">
                  <c:v>91.938299999999998</c:v>
                </c:pt>
                <c:pt idx="2530">
                  <c:v>90.187399999999997</c:v>
                </c:pt>
                <c:pt idx="2531">
                  <c:v>91.530600000000007</c:v>
                </c:pt>
                <c:pt idx="2532">
                  <c:v>89.686199999999999</c:v>
                </c:pt>
                <c:pt idx="2533">
                  <c:v>88.544300000000007</c:v>
                </c:pt>
                <c:pt idx="2534">
                  <c:v>84.536199999999994</c:v>
                </c:pt>
                <c:pt idx="2535">
                  <c:v>85.9482</c:v>
                </c:pt>
                <c:pt idx="2536">
                  <c:v>89.470699999999994</c:v>
                </c:pt>
                <c:pt idx="2537">
                  <c:v>89.902199999999993</c:v>
                </c:pt>
                <c:pt idx="2538">
                  <c:v>87.572800000000001</c:v>
                </c:pt>
                <c:pt idx="2539">
                  <c:v>89.064599999999999</c:v>
                </c:pt>
                <c:pt idx="2540">
                  <c:v>89.513400000000004</c:v>
                </c:pt>
                <c:pt idx="2541">
                  <c:v>88.254800000000003</c:v>
                </c:pt>
                <c:pt idx="2542">
                  <c:v>89.855699999999999</c:v>
                </c:pt>
                <c:pt idx="2543">
                  <c:v>91.2864</c:v>
                </c:pt>
                <c:pt idx="2544">
                  <c:v>88.541200000000003</c:v>
                </c:pt>
                <c:pt idx="2545">
                  <c:v>89.456599999999995</c:v>
                </c:pt>
                <c:pt idx="2546">
                  <c:v>88.249600000000001</c:v>
                </c:pt>
                <c:pt idx="2547">
                  <c:v>84.784499999999994</c:v>
                </c:pt>
                <c:pt idx="2548">
                  <c:v>85.562399999999997</c:v>
                </c:pt>
                <c:pt idx="2549">
                  <c:v>85.655900000000003</c:v>
                </c:pt>
                <c:pt idx="2550">
                  <c:v>87.487099999999998</c:v>
                </c:pt>
                <c:pt idx="2551">
                  <c:v>88.443600000000004</c:v>
                </c:pt>
                <c:pt idx="2552">
                  <c:v>89.419499999999999</c:v>
                </c:pt>
                <c:pt idx="2553">
                  <c:v>87.946200000000005</c:v>
                </c:pt>
                <c:pt idx="2554">
                  <c:v>90.850499999999997</c:v>
                </c:pt>
                <c:pt idx="2555">
                  <c:v>89.055400000000006</c:v>
                </c:pt>
                <c:pt idx="2556">
                  <c:v>88.422399999999996</c:v>
                </c:pt>
                <c:pt idx="2557">
                  <c:v>89.592699999999994</c:v>
                </c:pt>
                <c:pt idx="2558">
                  <c:v>87.923900000000003</c:v>
                </c:pt>
                <c:pt idx="2559">
                  <c:v>87.961399999999998</c:v>
                </c:pt>
                <c:pt idx="2560">
                  <c:v>87.576099999999997</c:v>
                </c:pt>
                <c:pt idx="2561">
                  <c:v>85.887100000000004</c:v>
                </c:pt>
                <c:pt idx="2562">
                  <c:v>84.427499999999995</c:v>
                </c:pt>
                <c:pt idx="2563">
                  <c:v>86.721400000000003</c:v>
                </c:pt>
                <c:pt idx="2564">
                  <c:v>87.296000000000006</c:v>
                </c:pt>
                <c:pt idx="2565">
                  <c:v>89.188400000000001</c:v>
                </c:pt>
                <c:pt idx="2566">
                  <c:v>90.858000000000004</c:v>
                </c:pt>
                <c:pt idx="2567">
                  <c:v>90.688699999999997</c:v>
                </c:pt>
                <c:pt idx="2568">
                  <c:v>92.371700000000004</c:v>
                </c:pt>
                <c:pt idx="2569">
                  <c:v>94.721400000000003</c:v>
                </c:pt>
                <c:pt idx="2570">
                  <c:v>96.369900000000001</c:v>
                </c:pt>
                <c:pt idx="2571">
                  <c:v>97.808000000000007</c:v>
                </c:pt>
                <c:pt idx="2572">
                  <c:v>95.327699999999993</c:v>
                </c:pt>
                <c:pt idx="2573">
                  <c:v>92.753299999999996</c:v>
                </c:pt>
                <c:pt idx="2574">
                  <c:v>92.905199999999994</c:v>
                </c:pt>
                <c:pt idx="2575">
                  <c:v>92.292100000000005</c:v>
                </c:pt>
                <c:pt idx="2576">
                  <c:v>93.291200000000003</c:v>
                </c:pt>
                <c:pt idx="2577">
                  <c:v>92.3827</c:v>
                </c:pt>
                <c:pt idx="2578">
                  <c:v>88.832700000000003</c:v>
                </c:pt>
                <c:pt idx="2579">
                  <c:v>86.311999999999998</c:v>
                </c:pt>
                <c:pt idx="2580">
                  <c:v>86.183599999999998</c:v>
                </c:pt>
                <c:pt idx="2581">
                  <c:v>88.819199999999995</c:v>
                </c:pt>
                <c:pt idx="2582">
                  <c:v>89.443200000000004</c:v>
                </c:pt>
                <c:pt idx="2583">
                  <c:v>89.818100000000001</c:v>
                </c:pt>
                <c:pt idx="2584">
                  <c:v>81.106399999999994</c:v>
                </c:pt>
                <c:pt idx="2585">
                  <c:v>80.693799999999996</c:v>
                </c:pt>
                <c:pt idx="2586">
                  <c:v>82.083799999999997</c:v>
                </c:pt>
                <c:pt idx="2587">
                  <c:v>84.415700000000001</c:v>
                </c:pt>
                <c:pt idx="2588">
                  <c:v>85.417299999999997</c:v>
                </c:pt>
                <c:pt idx="2589">
                  <c:v>82.892700000000005</c:v>
                </c:pt>
                <c:pt idx="2590">
                  <c:v>83.982100000000003</c:v>
                </c:pt>
                <c:pt idx="2591">
                  <c:v>85.605900000000005</c:v>
                </c:pt>
                <c:pt idx="2592">
                  <c:v>85.470399999999998</c:v>
                </c:pt>
                <c:pt idx="2593">
                  <c:v>86.209400000000002</c:v>
                </c:pt>
                <c:pt idx="2594">
                  <c:v>88.682000000000002</c:v>
                </c:pt>
                <c:pt idx="2595">
                  <c:v>88.735799999999998</c:v>
                </c:pt>
                <c:pt idx="2596">
                  <c:v>90.284599999999998</c:v>
                </c:pt>
                <c:pt idx="2597">
                  <c:v>90.831400000000002</c:v>
                </c:pt>
                <c:pt idx="2598">
                  <c:v>90.828599999999994</c:v>
                </c:pt>
                <c:pt idx="2599">
                  <c:v>86.454099999999997</c:v>
                </c:pt>
                <c:pt idx="2600">
                  <c:v>86.428200000000004</c:v>
                </c:pt>
                <c:pt idx="2601">
                  <c:v>88.2256</c:v>
                </c:pt>
                <c:pt idx="2602">
                  <c:v>89.325800000000001</c:v>
                </c:pt>
                <c:pt idx="2603">
                  <c:v>89.364400000000003</c:v>
                </c:pt>
                <c:pt idx="2604">
                  <c:v>92.475300000000004</c:v>
                </c:pt>
                <c:pt idx="2605">
                  <c:v>89.770200000000003</c:v>
                </c:pt>
                <c:pt idx="2606">
                  <c:v>92.871600000000001</c:v>
                </c:pt>
                <c:pt idx="2607">
                  <c:v>93.330500000000001</c:v>
                </c:pt>
                <c:pt idx="2608">
                  <c:v>94.643199999999993</c:v>
                </c:pt>
                <c:pt idx="2609">
                  <c:v>94.687899999999999</c:v>
                </c:pt>
                <c:pt idx="2610">
                  <c:v>95.206900000000005</c:v>
                </c:pt>
                <c:pt idx="2611">
                  <c:v>94.327500000000001</c:v>
                </c:pt>
                <c:pt idx="2612">
                  <c:v>94.947999999999993</c:v>
                </c:pt>
                <c:pt idx="2613">
                  <c:v>95.846599999999995</c:v>
                </c:pt>
                <c:pt idx="2614">
                  <c:v>96.379900000000006</c:v>
                </c:pt>
                <c:pt idx="2615">
                  <c:v>98.3249</c:v>
                </c:pt>
                <c:pt idx="2616">
                  <c:v>92.644999999999996</c:v>
                </c:pt>
                <c:pt idx="2617">
                  <c:v>92.775899999999993</c:v>
                </c:pt>
                <c:pt idx="2618">
                  <c:v>89.206699999999998</c:v>
                </c:pt>
                <c:pt idx="2619">
                  <c:v>91.626900000000006</c:v>
                </c:pt>
                <c:pt idx="2620">
                  <c:v>91.465699999999998</c:v>
                </c:pt>
                <c:pt idx="2621">
                  <c:v>91.236099999999993</c:v>
                </c:pt>
                <c:pt idx="2622">
                  <c:v>92.020099999999999</c:v>
                </c:pt>
                <c:pt idx="2623">
                  <c:v>91.625100000000003</c:v>
                </c:pt>
                <c:pt idx="2624">
                  <c:v>92.41</c:v>
                </c:pt>
                <c:pt idx="2625">
                  <c:v>91.735699999999994</c:v>
                </c:pt>
                <c:pt idx="2626">
                  <c:v>93.2209</c:v>
                </c:pt>
                <c:pt idx="2627">
                  <c:v>93.112799999999993</c:v>
                </c:pt>
                <c:pt idx="2628">
                  <c:v>89.480599999999995</c:v>
                </c:pt>
                <c:pt idx="2629">
                  <c:v>92.865399999999994</c:v>
                </c:pt>
                <c:pt idx="2630">
                  <c:v>90.094399999999993</c:v>
                </c:pt>
                <c:pt idx="2631">
                  <c:v>89.499700000000004</c:v>
                </c:pt>
                <c:pt idx="2632">
                  <c:v>89.891499999999994</c:v>
                </c:pt>
                <c:pt idx="2633">
                  <c:v>88.954800000000006</c:v>
                </c:pt>
                <c:pt idx="2634">
                  <c:v>84.924400000000006</c:v>
                </c:pt>
                <c:pt idx="2635">
                  <c:v>79.911500000000004</c:v>
                </c:pt>
                <c:pt idx="2636">
                  <c:v>77.899100000000004</c:v>
                </c:pt>
                <c:pt idx="2637">
                  <c:v>75.502499999999998</c:v>
                </c:pt>
                <c:pt idx="2638">
                  <c:v>70.9268</c:v>
                </c:pt>
                <c:pt idx="2639">
                  <c:v>74.739699999999999</c:v>
                </c:pt>
                <c:pt idx="2640">
                  <c:v>76.28</c:v>
                </c:pt>
                <c:pt idx="2641">
                  <c:v>76.770200000000003</c:v>
                </c:pt>
                <c:pt idx="2642">
                  <c:v>75.101900000000001</c:v>
                </c:pt>
                <c:pt idx="2643">
                  <c:v>75.8262</c:v>
                </c:pt>
                <c:pt idx="2644">
                  <c:v>72.784800000000004</c:v>
                </c:pt>
                <c:pt idx="2645">
                  <c:v>72.785399999999996</c:v>
                </c:pt>
                <c:pt idx="2646">
                  <c:v>72.639300000000006</c:v>
                </c:pt>
                <c:pt idx="2647">
                  <c:v>72.5137</c:v>
                </c:pt>
                <c:pt idx="2648">
                  <c:v>73.753699999999995</c:v>
                </c:pt>
                <c:pt idx="2649">
                  <c:v>74.555400000000006</c:v>
                </c:pt>
                <c:pt idx="2650">
                  <c:v>72.970399999999998</c:v>
                </c:pt>
                <c:pt idx="2651">
                  <c:v>72.490799999999993</c:v>
                </c:pt>
                <c:pt idx="2652">
                  <c:v>73.440299999999993</c:v>
                </c:pt>
                <c:pt idx="2653">
                  <c:v>74.294200000000004</c:v>
                </c:pt>
                <c:pt idx="2654">
                  <c:v>74.299700000000001</c:v>
                </c:pt>
                <c:pt idx="2655">
                  <c:v>75.8703</c:v>
                </c:pt>
                <c:pt idx="2656">
                  <c:v>74.704300000000003</c:v>
                </c:pt>
                <c:pt idx="2657">
                  <c:v>75.560699999999997</c:v>
                </c:pt>
                <c:pt idx="2658">
                  <c:v>75.573999999999998</c:v>
                </c:pt>
                <c:pt idx="2659">
                  <c:v>73.646199999999993</c:v>
                </c:pt>
                <c:pt idx="2660">
                  <c:v>71.984499999999997</c:v>
                </c:pt>
                <c:pt idx="2661">
                  <c:v>72.232299999999995</c:v>
                </c:pt>
                <c:pt idx="2662">
                  <c:v>71.6096</c:v>
                </c:pt>
                <c:pt idx="2663">
                  <c:v>72.404700000000005</c:v>
                </c:pt>
                <c:pt idx="2664">
                  <c:v>73.145899999999997</c:v>
                </c:pt>
                <c:pt idx="2665">
                  <c:v>73.8673</c:v>
                </c:pt>
                <c:pt idx="2666">
                  <c:v>73.072299999999998</c:v>
                </c:pt>
                <c:pt idx="2667">
                  <c:v>75.795699999999997</c:v>
                </c:pt>
                <c:pt idx="2668">
                  <c:v>76.674899999999994</c:v>
                </c:pt>
                <c:pt idx="2669">
                  <c:v>77.656999999999996</c:v>
                </c:pt>
                <c:pt idx="2670">
                  <c:v>78.981200000000001</c:v>
                </c:pt>
                <c:pt idx="2671">
                  <c:v>79.036699999999996</c:v>
                </c:pt>
                <c:pt idx="2672">
                  <c:v>78.016000000000005</c:v>
                </c:pt>
                <c:pt idx="2673">
                  <c:v>76.707400000000007</c:v>
                </c:pt>
                <c:pt idx="2674">
                  <c:v>76.463700000000003</c:v>
                </c:pt>
                <c:pt idx="2675">
                  <c:v>76.706699999999998</c:v>
                </c:pt>
                <c:pt idx="2676">
                  <c:v>76.683599999999998</c:v>
                </c:pt>
                <c:pt idx="2677">
                  <c:v>77.677599999999998</c:v>
                </c:pt>
                <c:pt idx="2678">
                  <c:v>78.799199999999999</c:v>
                </c:pt>
                <c:pt idx="2679">
                  <c:v>78.263900000000007</c:v>
                </c:pt>
                <c:pt idx="2680">
                  <c:v>78.5518</c:v>
                </c:pt>
                <c:pt idx="2681">
                  <c:v>79.228399999999993</c:v>
                </c:pt>
                <c:pt idx="2682">
                  <c:v>77.026499999999999</c:v>
                </c:pt>
                <c:pt idx="2683">
                  <c:v>76.608000000000004</c:v>
                </c:pt>
                <c:pt idx="2684">
                  <c:v>75.518799999999999</c:v>
                </c:pt>
                <c:pt idx="2685">
                  <c:v>77.073099999999997</c:v>
                </c:pt>
                <c:pt idx="2686">
                  <c:v>79.941599999999994</c:v>
                </c:pt>
                <c:pt idx="2687">
                  <c:v>88.492800000000003</c:v>
                </c:pt>
                <c:pt idx="2688">
                  <c:v>89.663300000000007</c:v>
                </c:pt>
                <c:pt idx="2689">
                  <c:v>91.441800000000001</c:v>
                </c:pt>
                <c:pt idx="2690">
                  <c:v>91.176000000000002</c:v>
                </c:pt>
                <c:pt idx="2691">
                  <c:v>92.026700000000005</c:v>
                </c:pt>
                <c:pt idx="2692">
                  <c:v>89.684899999999999</c:v>
                </c:pt>
                <c:pt idx="2693">
                  <c:v>88.983000000000004</c:v>
                </c:pt>
                <c:pt idx="2694">
                  <c:v>90.234099999999998</c:v>
                </c:pt>
                <c:pt idx="2695">
                  <c:v>92.948599999999999</c:v>
                </c:pt>
                <c:pt idx="2696">
                  <c:v>92.679900000000004</c:v>
                </c:pt>
                <c:pt idx="2697">
                  <c:v>89.556299999999993</c:v>
                </c:pt>
                <c:pt idx="2698">
                  <c:v>90.204300000000003</c:v>
                </c:pt>
                <c:pt idx="2699">
                  <c:v>88.347499999999997</c:v>
                </c:pt>
                <c:pt idx="2700">
                  <c:v>88.363699999999994</c:v>
                </c:pt>
                <c:pt idx="2701">
                  <c:v>89.019099999999995</c:v>
                </c:pt>
                <c:pt idx="2702">
                  <c:v>87.881600000000006</c:v>
                </c:pt>
                <c:pt idx="2703">
                  <c:v>80.469700000000003</c:v>
                </c:pt>
                <c:pt idx="2704">
                  <c:v>80.371700000000004</c:v>
                </c:pt>
                <c:pt idx="2705">
                  <c:v>78.748199999999997</c:v>
                </c:pt>
                <c:pt idx="2706">
                  <c:v>76.408199999999994</c:v>
                </c:pt>
                <c:pt idx="2707">
                  <c:v>77.253</c:v>
                </c:pt>
                <c:pt idx="2708">
                  <c:v>80.700699999999998</c:v>
                </c:pt>
                <c:pt idx="2709">
                  <c:v>78.106300000000005</c:v>
                </c:pt>
                <c:pt idx="2710">
                  <c:v>75.620699999999999</c:v>
                </c:pt>
                <c:pt idx="2711">
                  <c:v>76.310400000000001</c:v>
                </c:pt>
                <c:pt idx="2712">
                  <c:v>74.153000000000006</c:v>
                </c:pt>
                <c:pt idx="2713">
                  <c:v>75.783699999999996</c:v>
                </c:pt>
                <c:pt idx="2714">
                  <c:v>72.148300000000006</c:v>
                </c:pt>
                <c:pt idx="2715">
                  <c:v>67.950999999999993</c:v>
                </c:pt>
                <c:pt idx="2716">
                  <c:v>66.931200000000004</c:v>
                </c:pt>
                <c:pt idx="2717">
                  <c:v>70.901899999999998</c:v>
                </c:pt>
                <c:pt idx="2718">
                  <c:v>70.802999999999997</c:v>
                </c:pt>
                <c:pt idx="2719">
                  <c:v>73.923900000000003</c:v>
                </c:pt>
                <c:pt idx="2720">
                  <c:v>72.110399999999998</c:v>
                </c:pt>
                <c:pt idx="2721">
                  <c:v>73.989900000000006</c:v>
                </c:pt>
                <c:pt idx="2722">
                  <c:v>73.956299999999999</c:v>
                </c:pt>
                <c:pt idx="2723">
                  <c:v>74.244799999999998</c:v>
                </c:pt>
                <c:pt idx="2724">
                  <c:v>73.450599999999994</c:v>
                </c:pt>
                <c:pt idx="2725">
                  <c:v>75.045400000000001</c:v>
                </c:pt>
                <c:pt idx="2726">
                  <c:v>74.416300000000007</c:v>
                </c:pt>
                <c:pt idx="2727">
                  <c:v>74.542299999999997</c:v>
                </c:pt>
                <c:pt idx="2728">
                  <c:v>74.238399999999999</c:v>
                </c:pt>
                <c:pt idx="2729">
                  <c:v>70.835099999999997</c:v>
                </c:pt>
                <c:pt idx="2730">
                  <c:v>70.443799999999996</c:v>
                </c:pt>
                <c:pt idx="2731">
                  <c:v>68.803700000000006</c:v>
                </c:pt>
                <c:pt idx="2732">
                  <c:v>68.490799999999993</c:v>
                </c:pt>
                <c:pt idx="2733">
                  <c:v>68.177999999999997</c:v>
                </c:pt>
                <c:pt idx="2734">
                  <c:v>68.139399999999995</c:v>
                </c:pt>
                <c:pt idx="2735">
                  <c:v>68.646199999999993</c:v>
                </c:pt>
                <c:pt idx="2736">
                  <c:v>69.2393</c:v>
                </c:pt>
                <c:pt idx="2737">
                  <c:v>68.889200000000002</c:v>
                </c:pt>
                <c:pt idx="2738">
                  <c:v>66.916600000000003</c:v>
                </c:pt>
                <c:pt idx="2739">
                  <c:v>67.987099999999998</c:v>
                </c:pt>
                <c:pt idx="2740">
                  <c:v>65.2089</c:v>
                </c:pt>
                <c:pt idx="2741">
                  <c:v>65.704599999999999</c:v>
                </c:pt>
                <c:pt idx="2742">
                  <c:v>66.360100000000003</c:v>
                </c:pt>
                <c:pt idx="2743">
                  <c:v>66.6798</c:v>
                </c:pt>
                <c:pt idx="2744">
                  <c:v>66.894900000000007</c:v>
                </c:pt>
                <c:pt idx="2745">
                  <c:v>67.474100000000007</c:v>
                </c:pt>
                <c:pt idx="2746">
                  <c:v>67.213999999999999</c:v>
                </c:pt>
                <c:pt idx="2747">
                  <c:v>68.5839</c:v>
                </c:pt>
                <c:pt idx="2748">
                  <c:v>68.0428</c:v>
                </c:pt>
                <c:pt idx="2749">
                  <c:v>67.634799999999998</c:v>
                </c:pt>
                <c:pt idx="2750">
                  <c:v>66.639700000000005</c:v>
                </c:pt>
                <c:pt idx="2751">
                  <c:v>67.202299999999994</c:v>
                </c:pt>
                <c:pt idx="2752">
                  <c:v>66.708399999999997</c:v>
                </c:pt>
                <c:pt idx="2753">
                  <c:v>61.384900000000002</c:v>
                </c:pt>
                <c:pt idx="2754">
                  <c:v>60.158900000000003</c:v>
                </c:pt>
                <c:pt idx="2755">
                  <c:v>60.9649</c:v>
                </c:pt>
                <c:pt idx="2756">
                  <c:v>57.976300000000002</c:v>
                </c:pt>
                <c:pt idx="2757">
                  <c:v>57.043799999999997</c:v>
                </c:pt>
                <c:pt idx="2758">
                  <c:v>57.8688</c:v>
                </c:pt>
                <c:pt idx="2759">
                  <c:v>58.934600000000003</c:v>
                </c:pt>
                <c:pt idx="2760">
                  <c:v>59.494100000000003</c:v>
                </c:pt>
                <c:pt idx="2761">
                  <c:v>58.347000000000001</c:v>
                </c:pt>
                <c:pt idx="2762">
                  <c:v>61.785499999999999</c:v>
                </c:pt>
                <c:pt idx="2763">
                  <c:v>62.084099999999999</c:v>
                </c:pt>
                <c:pt idx="2764">
                  <c:v>59.252000000000002</c:v>
                </c:pt>
                <c:pt idx="2765">
                  <c:v>60.7483</c:v>
                </c:pt>
                <c:pt idx="2766">
                  <c:v>62.1175</c:v>
                </c:pt>
                <c:pt idx="2767">
                  <c:v>61.754300000000001</c:v>
                </c:pt>
                <c:pt idx="2768">
                  <c:v>63.566800000000001</c:v>
                </c:pt>
                <c:pt idx="2769">
                  <c:v>63.7956</c:v>
                </c:pt>
                <c:pt idx="2770">
                  <c:v>62.746400000000001</c:v>
                </c:pt>
                <c:pt idx="2771">
                  <c:v>64.220799999999997</c:v>
                </c:pt>
                <c:pt idx="2772">
                  <c:v>64.504999999999995</c:v>
                </c:pt>
                <c:pt idx="2773">
                  <c:v>63.990200000000002</c:v>
                </c:pt>
                <c:pt idx="2774">
                  <c:v>65.370500000000007</c:v>
                </c:pt>
                <c:pt idx="2775">
                  <c:v>64.236000000000004</c:v>
                </c:pt>
                <c:pt idx="2776">
                  <c:v>66.583799999999997</c:v>
                </c:pt>
                <c:pt idx="2777">
                  <c:v>68.8446</c:v>
                </c:pt>
                <c:pt idx="2778">
                  <c:v>67.450599999999994</c:v>
                </c:pt>
                <c:pt idx="2779">
                  <c:v>67.689899999999994</c:v>
                </c:pt>
                <c:pt idx="2780">
                  <c:v>67.213200000000001</c:v>
                </c:pt>
                <c:pt idx="2781">
                  <c:v>69.038600000000002</c:v>
                </c:pt>
                <c:pt idx="2782">
                  <c:v>69.353499999999997</c:v>
                </c:pt>
                <c:pt idx="2783">
                  <c:v>65.972200000000001</c:v>
                </c:pt>
                <c:pt idx="2784">
                  <c:v>66.563000000000002</c:v>
                </c:pt>
                <c:pt idx="2785">
                  <c:v>67.395200000000003</c:v>
                </c:pt>
                <c:pt idx="2786">
                  <c:v>67.594700000000003</c:v>
                </c:pt>
                <c:pt idx="2787">
                  <c:v>66.961500000000001</c:v>
                </c:pt>
                <c:pt idx="2788">
                  <c:v>69.348699999999994</c:v>
                </c:pt>
                <c:pt idx="2789">
                  <c:v>69.296800000000005</c:v>
                </c:pt>
                <c:pt idx="2790">
                  <c:v>69.745000000000005</c:v>
                </c:pt>
                <c:pt idx="2791">
                  <c:v>70.919700000000006</c:v>
                </c:pt>
                <c:pt idx="2792">
                  <c:v>70.343299999999999</c:v>
                </c:pt>
                <c:pt idx="2793">
                  <c:v>68.508700000000005</c:v>
                </c:pt>
                <c:pt idx="2794">
                  <c:v>66.644400000000005</c:v>
                </c:pt>
                <c:pt idx="2795">
                  <c:v>65.995900000000006</c:v>
                </c:pt>
                <c:pt idx="2796">
                  <c:v>67.051400000000001</c:v>
                </c:pt>
                <c:pt idx="2797">
                  <c:v>66.638400000000004</c:v>
                </c:pt>
                <c:pt idx="2798">
                  <c:v>68.158799999999999</c:v>
                </c:pt>
                <c:pt idx="2799">
                  <c:v>68.828400000000002</c:v>
                </c:pt>
                <c:pt idx="2800">
                  <c:v>67.001599999999996</c:v>
                </c:pt>
                <c:pt idx="2801">
                  <c:v>66.823800000000006</c:v>
                </c:pt>
                <c:pt idx="2802">
                  <c:v>65.597700000000003</c:v>
                </c:pt>
                <c:pt idx="2803">
                  <c:v>61.302700000000002</c:v>
                </c:pt>
                <c:pt idx="2804">
                  <c:v>61.228299999999997</c:v>
                </c:pt>
                <c:pt idx="2805">
                  <c:v>62.947800000000001</c:v>
                </c:pt>
                <c:pt idx="2806">
                  <c:v>61.144599999999997</c:v>
                </c:pt>
                <c:pt idx="2807">
                  <c:v>61.381900000000002</c:v>
                </c:pt>
                <c:pt idx="2808">
                  <c:v>61.993400000000001</c:v>
                </c:pt>
                <c:pt idx="2809">
                  <c:v>60.9833</c:v>
                </c:pt>
                <c:pt idx="2810">
                  <c:v>59.218899999999998</c:v>
                </c:pt>
                <c:pt idx="2811">
                  <c:v>58.845999999999997</c:v>
                </c:pt>
                <c:pt idx="2812">
                  <c:v>56.817900000000002</c:v>
                </c:pt>
                <c:pt idx="2813">
                  <c:v>57.527900000000002</c:v>
                </c:pt>
                <c:pt idx="2814">
                  <c:v>55.066400000000002</c:v>
                </c:pt>
                <c:pt idx="2815">
                  <c:v>54.636699999999998</c:v>
                </c:pt>
                <c:pt idx="2816">
                  <c:v>56.4968</c:v>
                </c:pt>
                <c:pt idx="2817">
                  <c:v>55.628500000000003</c:v>
                </c:pt>
                <c:pt idx="2818">
                  <c:v>54.777700000000003</c:v>
                </c:pt>
                <c:pt idx="2819">
                  <c:v>53.168199999999999</c:v>
                </c:pt>
                <c:pt idx="2820">
                  <c:v>51.276699999999998</c:v>
                </c:pt>
                <c:pt idx="2821">
                  <c:v>50.389400000000002</c:v>
                </c:pt>
                <c:pt idx="2822">
                  <c:v>51.138599999999997</c:v>
                </c:pt>
                <c:pt idx="2823">
                  <c:v>50.281399999999998</c:v>
                </c:pt>
                <c:pt idx="2824">
                  <c:v>50.7395</c:v>
                </c:pt>
                <c:pt idx="2825">
                  <c:v>50.200299999999999</c:v>
                </c:pt>
                <c:pt idx="2826">
                  <c:v>51.401800000000001</c:v>
                </c:pt>
                <c:pt idx="2827">
                  <c:v>52.896999999999998</c:v>
                </c:pt>
                <c:pt idx="2828">
                  <c:v>53.7179</c:v>
                </c:pt>
                <c:pt idx="2829">
                  <c:v>53.862699999999997</c:v>
                </c:pt>
                <c:pt idx="2830">
                  <c:v>53.820399999999999</c:v>
                </c:pt>
                <c:pt idx="2831">
                  <c:v>53.925199999999997</c:v>
                </c:pt>
                <c:pt idx="2832">
                  <c:v>53.390900000000002</c:v>
                </c:pt>
                <c:pt idx="2833">
                  <c:v>53.473199999999999</c:v>
                </c:pt>
                <c:pt idx="2834">
                  <c:v>52.916200000000003</c:v>
                </c:pt>
                <c:pt idx="2835">
                  <c:v>53.473500000000001</c:v>
                </c:pt>
                <c:pt idx="2836">
                  <c:v>52.478900000000003</c:v>
                </c:pt>
                <c:pt idx="2837">
                  <c:v>51.9161</c:v>
                </c:pt>
                <c:pt idx="2838">
                  <c:v>51.323900000000002</c:v>
                </c:pt>
                <c:pt idx="2839">
                  <c:v>49.785600000000002</c:v>
                </c:pt>
                <c:pt idx="2840">
                  <c:v>47.698500000000003</c:v>
                </c:pt>
                <c:pt idx="2841">
                  <c:v>48.4375</c:v>
                </c:pt>
                <c:pt idx="2842">
                  <c:v>47.976399999999998</c:v>
                </c:pt>
                <c:pt idx="2843">
                  <c:v>47.128300000000003</c:v>
                </c:pt>
                <c:pt idx="2844">
                  <c:v>46.985500000000002</c:v>
                </c:pt>
                <c:pt idx="2845">
                  <c:v>47.786900000000003</c:v>
                </c:pt>
                <c:pt idx="2846">
                  <c:v>49.9529</c:v>
                </c:pt>
                <c:pt idx="2847">
                  <c:v>48.949599999999997</c:v>
                </c:pt>
                <c:pt idx="2848">
                  <c:v>49.7624</c:v>
                </c:pt>
                <c:pt idx="2849">
                  <c:v>46.646599999999999</c:v>
                </c:pt>
                <c:pt idx="2850">
                  <c:v>47.099299999999999</c:v>
                </c:pt>
                <c:pt idx="2851">
                  <c:v>48.076900000000002</c:v>
                </c:pt>
                <c:pt idx="2852">
                  <c:v>46.969700000000003</c:v>
                </c:pt>
                <c:pt idx="2853">
                  <c:v>46.728499999999997</c:v>
                </c:pt>
                <c:pt idx="2854">
                  <c:v>46.266800000000003</c:v>
                </c:pt>
                <c:pt idx="2855">
                  <c:v>45.232399999999998</c:v>
                </c:pt>
                <c:pt idx="2856">
                  <c:v>44.643300000000004</c:v>
                </c:pt>
                <c:pt idx="2857">
                  <c:v>44.613100000000003</c:v>
                </c:pt>
                <c:pt idx="2858">
                  <c:v>43.933300000000003</c:v>
                </c:pt>
                <c:pt idx="2859">
                  <c:v>46.121699999999997</c:v>
                </c:pt>
                <c:pt idx="2860">
                  <c:v>47.617600000000003</c:v>
                </c:pt>
                <c:pt idx="2861">
                  <c:v>48.155900000000003</c:v>
                </c:pt>
                <c:pt idx="2862">
                  <c:v>48.597900000000003</c:v>
                </c:pt>
                <c:pt idx="2863">
                  <c:v>48.460599999999999</c:v>
                </c:pt>
                <c:pt idx="2864">
                  <c:v>41.125300000000003</c:v>
                </c:pt>
                <c:pt idx="2865">
                  <c:v>40.130699999999997</c:v>
                </c:pt>
                <c:pt idx="2866">
                  <c:v>39.128500000000003</c:v>
                </c:pt>
                <c:pt idx="2867">
                  <c:v>36.940600000000003</c:v>
                </c:pt>
                <c:pt idx="2868">
                  <c:v>37.975999999999999</c:v>
                </c:pt>
                <c:pt idx="2869">
                  <c:v>39.7164</c:v>
                </c:pt>
                <c:pt idx="2870">
                  <c:v>39.4163</c:v>
                </c:pt>
                <c:pt idx="2871">
                  <c:v>39.718600000000002</c:v>
                </c:pt>
                <c:pt idx="2872">
                  <c:v>39.894199999999998</c:v>
                </c:pt>
                <c:pt idx="2873">
                  <c:v>39.597700000000003</c:v>
                </c:pt>
                <c:pt idx="2874">
                  <c:v>40.229900000000001</c:v>
                </c:pt>
                <c:pt idx="2875">
                  <c:v>39.662599999999998</c:v>
                </c:pt>
                <c:pt idx="2876">
                  <c:v>39.104300000000002</c:v>
                </c:pt>
                <c:pt idx="2877">
                  <c:v>39.137099999999997</c:v>
                </c:pt>
                <c:pt idx="2878">
                  <c:v>39.825600000000001</c:v>
                </c:pt>
                <c:pt idx="2879">
                  <c:v>42.518900000000002</c:v>
                </c:pt>
                <c:pt idx="2880">
                  <c:v>44.658200000000001</c:v>
                </c:pt>
                <c:pt idx="2881">
                  <c:v>43.732799999999997</c:v>
                </c:pt>
                <c:pt idx="2882">
                  <c:v>44.762999999999998</c:v>
                </c:pt>
                <c:pt idx="2883">
                  <c:v>44.2166</c:v>
                </c:pt>
                <c:pt idx="2884">
                  <c:v>43.83</c:v>
                </c:pt>
                <c:pt idx="2885">
                  <c:v>41.651800000000001</c:v>
                </c:pt>
                <c:pt idx="2886">
                  <c:v>42.4129</c:v>
                </c:pt>
                <c:pt idx="2887">
                  <c:v>41.972099999999998</c:v>
                </c:pt>
                <c:pt idx="2888">
                  <c:v>42.893700000000003</c:v>
                </c:pt>
                <c:pt idx="2889">
                  <c:v>41.8703</c:v>
                </c:pt>
                <c:pt idx="2890">
                  <c:v>41.506500000000003</c:v>
                </c:pt>
                <c:pt idx="2891">
                  <c:v>40.936199999999999</c:v>
                </c:pt>
                <c:pt idx="2892">
                  <c:v>40.963299999999997</c:v>
                </c:pt>
                <c:pt idx="2893">
                  <c:v>41.322499999999998</c:v>
                </c:pt>
                <c:pt idx="2894">
                  <c:v>41.077199999999998</c:v>
                </c:pt>
                <c:pt idx="2895">
                  <c:v>41.466000000000001</c:v>
                </c:pt>
                <c:pt idx="2896">
                  <c:v>41.442</c:v>
                </c:pt>
                <c:pt idx="2897">
                  <c:v>41.281399999999998</c:v>
                </c:pt>
                <c:pt idx="2898">
                  <c:v>41.155900000000003</c:v>
                </c:pt>
                <c:pt idx="2899">
                  <c:v>40.535800000000002</c:v>
                </c:pt>
                <c:pt idx="2900">
                  <c:v>40.701500000000003</c:v>
                </c:pt>
                <c:pt idx="2901">
                  <c:v>41.001800000000003</c:v>
                </c:pt>
                <c:pt idx="2902">
                  <c:v>41.810099999999998</c:v>
                </c:pt>
                <c:pt idx="2903">
                  <c:v>41.8825</c:v>
                </c:pt>
                <c:pt idx="2904">
                  <c:v>41.929099999999998</c:v>
                </c:pt>
                <c:pt idx="2905">
                  <c:v>41.680599999999998</c:v>
                </c:pt>
                <c:pt idx="2906">
                  <c:v>41.966099999999997</c:v>
                </c:pt>
                <c:pt idx="2907">
                  <c:v>41.1967</c:v>
                </c:pt>
                <c:pt idx="2908">
                  <c:v>41.112499999999997</c:v>
                </c:pt>
                <c:pt idx="2909">
                  <c:v>41.219000000000001</c:v>
                </c:pt>
                <c:pt idx="2910">
                  <c:v>40.953299999999999</c:v>
                </c:pt>
                <c:pt idx="2911">
                  <c:v>41.788899999999998</c:v>
                </c:pt>
                <c:pt idx="2912">
                  <c:v>42.221899999999998</c:v>
                </c:pt>
                <c:pt idx="2913">
                  <c:v>39.777099999999997</c:v>
                </c:pt>
                <c:pt idx="2914">
                  <c:v>40.379600000000003</c:v>
                </c:pt>
                <c:pt idx="2915">
                  <c:v>40.912300000000002</c:v>
                </c:pt>
                <c:pt idx="2916">
                  <c:v>40.775700000000001</c:v>
                </c:pt>
                <c:pt idx="2917">
                  <c:v>40.617199999999997</c:v>
                </c:pt>
                <c:pt idx="2918">
                  <c:v>40.768799999999999</c:v>
                </c:pt>
                <c:pt idx="2919">
                  <c:v>41.810600000000001</c:v>
                </c:pt>
                <c:pt idx="2920">
                  <c:v>43.008699999999997</c:v>
                </c:pt>
                <c:pt idx="2921">
                  <c:v>43.304499999999997</c:v>
                </c:pt>
                <c:pt idx="2922">
                  <c:v>43.142600000000002</c:v>
                </c:pt>
                <c:pt idx="2923">
                  <c:v>43.348300000000002</c:v>
                </c:pt>
                <c:pt idx="2924">
                  <c:v>43.891800000000003</c:v>
                </c:pt>
                <c:pt idx="2925">
                  <c:v>43.616799999999998</c:v>
                </c:pt>
                <c:pt idx="2926">
                  <c:v>43.651600000000002</c:v>
                </c:pt>
                <c:pt idx="2927">
                  <c:v>44.184600000000003</c:v>
                </c:pt>
                <c:pt idx="2928">
                  <c:v>44.233699999999999</c:v>
                </c:pt>
                <c:pt idx="2929">
                  <c:v>44.314500000000002</c:v>
                </c:pt>
                <c:pt idx="2930">
                  <c:v>45.304499999999997</c:v>
                </c:pt>
                <c:pt idx="2931">
                  <c:v>44.808999999999997</c:v>
                </c:pt>
                <c:pt idx="2932">
                  <c:v>45.691899999999997</c:v>
                </c:pt>
                <c:pt idx="2933">
                  <c:v>44.595500000000001</c:v>
                </c:pt>
                <c:pt idx="2934">
                  <c:v>44.774700000000003</c:v>
                </c:pt>
                <c:pt idx="2935">
                  <c:v>43.881599999999999</c:v>
                </c:pt>
                <c:pt idx="2936">
                  <c:v>42.872</c:v>
                </c:pt>
                <c:pt idx="2937">
                  <c:v>42.839799999999997</c:v>
                </c:pt>
                <c:pt idx="2938">
                  <c:v>41.970700000000001</c:v>
                </c:pt>
                <c:pt idx="2939">
                  <c:v>41.283200000000001</c:v>
                </c:pt>
                <c:pt idx="2940">
                  <c:v>40.974200000000003</c:v>
                </c:pt>
                <c:pt idx="2941">
                  <c:v>38.918500000000002</c:v>
                </c:pt>
                <c:pt idx="2942">
                  <c:v>40.929600000000001</c:v>
                </c:pt>
                <c:pt idx="2943">
                  <c:v>40.714399999999998</c:v>
                </c:pt>
                <c:pt idx="2944">
                  <c:v>41.347999999999999</c:v>
                </c:pt>
                <c:pt idx="2945">
                  <c:v>40.209000000000003</c:v>
                </c:pt>
                <c:pt idx="2946">
                  <c:v>40.773200000000003</c:v>
                </c:pt>
                <c:pt idx="2947">
                  <c:v>40.400500000000001</c:v>
                </c:pt>
                <c:pt idx="2948">
                  <c:v>39.991799999999998</c:v>
                </c:pt>
                <c:pt idx="2949">
                  <c:v>39.597000000000001</c:v>
                </c:pt>
                <c:pt idx="2950">
                  <c:v>39.348700000000001</c:v>
                </c:pt>
                <c:pt idx="2951">
                  <c:v>40.065199999999997</c:v>
                </c:pt>
                <c:pt idx="2952">
                  <c:v>39.939500000000002</c:v>
                </c:pt>
                <c:pt idx="2953">
                  <c:v>39.628900000000002</c:v>
                </c:pt>
                <c:pt idx="2954">
                  <c:v>38.4099</c:v>
                </c:pt>
                <c:pt idx="2955">
                  <c:v>38.1995</c:v>
                </c:pt>
                <c:pt idx="2956">
                  <c:v>38.076300000000003</c:v>
                </c:pt>
                <c:pt idx="2957">
                  <c:v>37.479500000000002</c:v>
                </c:pt>
                <c:pt idx="2958">
                  <c:v>35.924999999999997</c:v>
                </c:pt>
                <c:pt idx="2959">
                  <c:v>36.252000000000002</c:v>
                </c:pt>
                <c:pt idx="2960">
                  <c:v>35.226599999999998</c:v>
                </c:pt>
                <c:pt idx="2961">
                  <c:v>36.5672</c:v>
                </c:pt>
                <c:pt idx="2962">
                  <c:v>37.403500000000001</c:v>
                </c:pt>
                <c:pt idx="2963">
                  <c:v>37.977200000000003</c:v>
                </c:pt>
                <c:pt idx="2964">
                  <c:v>37.1661</c:v>
                </c:pt>
                <c:pt idx="2965">
                  <c:v>36.317700000000002</c:v>
                </c:pt>
                <c:pt idx="2966">
                  <c:v>37.291800000000002</c:v>
                </c:pt>
                <c:pt idx="2967">
                  <c:v>36.881300000000003</c:v>
                </c:pt>
                <c:pt idx="2968">
                  <c:v>38.7346</c:v>
                </c:pt>
                <c:pt idx="2969">
                  <c:v>38.583599999999997</c:v>
                </c:pt>
                <c:pt idx="2970">
                  <c:v>39.141300000000001</c:v>
                </c:pt>
                <c:pt idx="2971">
                  <c:v>39.371899999999997</c:v>
                </c:pt>
                <c:pt idx="2972">
                  <c:v>39.431899999999999</c:v>
                </c:pt>
                <c:pt idx="2973">
                  <c:v>39.192700000000002</c:v>
                </c:pt>
                <c:pt idx="2974">
                  <c:v>38.714100000000002</c:v>
                </c:pt>
                <c:pt idx="2975">
                  <c:v>38.556899999999999</c:v>
                </c:pt>
                <c:pt idx="2976">
                  <c:v>39.066000000000003</c:v>
                </c:pt>
                <c:pt idx="2977">
                  <c:v>38.268300000000004</c:v>
                </c:pt>
                <c:pt idx="2978">
                  <c:v>38.521500000000003</c:v>
                </c:pt>
                <c:pt idx="2979">
                  <c:v>36.930500000000002</c:v>
                </c:pt>
                <c:pt idx="2980">
                  <c:v>35.8596</c:v>
                </c:pt>
                <c:pt idx="2981">
                  <c:v>36.637700000000002</c:v>
                </c:pt>
                <c:pt idx="2982">
                  <c:v>36.502299999999998</c:v>
                </c:pt>
                <c:pt idx="2983">
                  <c:v>35.235399999999998</c:v>
                </c:pt>
                <c:pt idx="2984">
                  <c:v>34.208500000000001</c:v>
                </c:pt>
                <c:pt idx="2985">
                  <c:v>33.013100000000001</c:v>
                </c:pt>
                <c:pt idx="2986">
                  <c:v>33.282200000000003</c:v>
                </c:pt>
                <c:pt idx="2987">
                  <c:v>34.640799999999999</c:v>
                </c:pt>
                <c:pt idx="2988">
                  <c:v>34.8598</c:v>
                </c:pt>
                <c:pt idx="2989">
                  <c:v>35.640799999999999</c:v>
                </c:pt>
                <c:pt idx="2990">
                  <c:v>35.040900000000001</c:v>
                </c:pt>
                <c:pt idx="2991">
                  <c:v>35.025399999999998</c:v>
                </c:pt>
                <c:pt idx="2992">
                  <c:v>35.352600000000002</c:v>
                </c:pt>
                <c:pt idx="2993">
                  <c:v>37.646700000000003</c:v>
                </c:pt>
                <c:pt idx="2994">
                  <c:v>36.817999999999998</c:v>
                </c:pt>
                <c:pt idx="2995">
                  <c:v>37.311999999999998</c:v>
                </c:pt>
                <c:pt idx="2996">
                  <c:v>36.286499999999997</c:v>
                </c:pt>
                <c:pt idx="2997">
                  <c:v>37.739600000000003</c:v>
                </c:pt>
                <c:pt idx="2998">
                  <c:v>37.755699999999997</c:v>
                </c:pt>
                <c:pt idx="2999">
                  <c:v>38.6389</c:v>
                </c:pt>
                <c:pt idx="3000">
                  <c:v>38.499299999999998</c:v>
                </c:pt>
                <c:pt idx="3001">
                  <c:v>38.823799999999999</c:v>
                </c:pt>
                <c:pt idx="3002">
                  <c:v>38.264200000000002</c:v>
                </c:pt>
                <c:pt idx="3003">
                  <c:v>38.003700000000002</c:v>
                </c:pt>
                <c:pt idx="3004">
                  <c:v>38.631799999999998</c:v>
                </c:pt>
                <c:pt idx="3005">
                  <c:v>39.024999999999999</c:v>
                </c:pt>
                <c:pt idx="3006">
                  <c:v>38.163200000000003</c:v>
                </c:pt>
                <c:pt idx="3007">
                  <c:v>39.420699999999997</c:v>
                </c:pt>
                <c:pt idx="3008">
                  <c:v>39.739899999999999</c:v>
                </c:pt>
                <c:pt idx="3009">
                  <c:v>39</c:v>
                </c:pt>
                <c:pt idx="3010">
                  <c:v>38.971200000000003</c:v>
                </c:pt>
                <c:pt idx="3011">
                  <c:v>39.1297</c:v>
                </c:pt>
                <c:pt idx="3012">
                  <c:v>39.677</c:v>
                </c:pt>
                <c:pt idx="3013">
                  <c:v>39.764800000000001</c:v>
                </c:pt>
                <c:pt idx="3014">
                  <c:v>39.861699999999999</c:v>
                </c:pt>
                <c:pt idx="3015">
                  <c:v>39.1828</c:v>
                </c:pt>
                <c:pt idx="3016">
                  <c:v>38.077199999999998</c:v>
                </c:pt>
                <c:pt idx="3017">
                  <c:v>37.588500000000003</c:v>
                </c:pt>
                <c:pt idx="3018">
                  <c:v>38.838799999999999</c:v>
                </c:pt>
                <c:pt idx="3019">
                  <c:v>39.492800000000003</c:v>
                </c:pt>
                <c:pt idx="3020">
                  <c:v>38.818600000000004</c:v>
                </c:pt>
                <c:pt idx="3021">
                  <c:v>39.028100000000002</c:v>
                </c:pt>
                <c:pt idx="3022">
                  <c:v>39.0167</c:v>
                </c:pt>
                <c:pt idx="3023">
                  <c:v>38.970399999999998</c:v>
                </c:pt>
                <c:pt idx="3024">
                  <c:v>38.0687</c:v>
                </c:pt>
                <c:pt idx="3025">
                  <c:v>38.514200000000002</c:v>
                </c:pt>
                <c:pt idx="3026">
                  <c:v>39.0807</c:v>
                </c:pt>
                <c:pt idx="3027">
                  <c:v>40.191000000000003</c:v>
                </c:pt>
                <c:pt idx="3028">
                  <c:v>40.6021</c:v>
                </c:pt>
                <c:pt idx="3029">
                  <c:v>40.862699999999997</c:v>
                </c:pt>
                <c:pt idx="3030">
                  <c:v>41.059199999999997</c:v>
                </c:pt>
                <c:pt idx="3031">
                  <c:v>41.0655</c:v>
                </c:pt>
                <c:pt idx="3032">
                  <c:v>39.542499999999997</c:v>
                </c:pt>
                <c:pt idx="3033">
                  <c:v>37.697400000000002</c:v>
                </c:pt>
                <c:pt idx="3034">
                  <c:v>37.875399999999999</c:v>
                </c:pt>
                <c:pt idx="3035">
                  <c:v>37.931199999999997</c:v>
                </c:pt>
                <c:pt idx="3036">
                  <c:v>38.1113</c:v>
                </c:pt>
                <c:pt idx="3037">
                  <c:v>38.039499999999997</c:v>
                </c:pt>
                <c:pt idx="3038">
                  <c:v>37.054499999999997</c:v>
                </c:pt>
                <c:pt idx="3039">
                  <c:v>37.504600000000003</c:v>
                </c:pt>
                <c:pt idx="3040">
                  <c:v>37.326900000000002</c:v>
                </c:pt>
                <c:pt idx="3041">
                  <c:v>37.007599999999996</c:v>
                </c:pt>
                <c:pt idx="3042">
                  <c:v>37.404699999999998</c:v>
                </c:pt>
                <c:pt idx="3043">
                  <c:v>37.2149</c:v>
                </c:pt>
                <c:pt idx="3044">
                  <c:v>36.604300000000002</c:v>
                </c:pt>
                <c:pt idx="3045">
                  <c:v>36.340499999999999</c:v>
                </c:pt>
                <c:pt idx="3046">
                  <c:v>37.277999999999999</c:v>
                </c:pt>
                <c:pt idx="3047">
                  <c:v>36.424100000000003</c:v>
                </c:pt>
                <c:pt idx="3048">
                  <c:v>36.700200000000002</c:v>
                </c:pt>
                <c:pt idx="3049">
                  <c:v>36.1462</c:v>
                </c:pt>
                <c:pt idx="3050">
                  <c:v>36.690899999999999</c:v>
                </c:pt>
                <c:pt idx="3051">
                  <c:v>36.110300000000002</c:v>
                </c:pt>
                <c:pt idx="3052">
                  <c:v>36.588099999999997</c:v>
                </c:pt>
                <c:pt idx="3053">
                  <c:v>36.938699999999997</c:v>
                </c:pt>
                <c:pt idx="3054">
                  <c:v>37.625500000000002</c:v>
                </c:pt>
                <c:pt idx="3055">
                  <c:v>39.950000000000003</c:v>
                </c:pt>
                <c:pt idx="3056">
                  <c:v>40.694899999999997</c:v>
                </c:pt>
                <c:pt idx="3057">
                  <c:v>42.018700000000003</c:v>
                </c:pt>
                <c:pt idx="3058">
                  <c:v>41.771900000000002</c:v>
                </c:pt>
                <c:pt idx="3059">
                  <c:v>41.779299999999999</c:v>
                </c:pt>
                <c:pt idx="3060">
                  <c:v>42.329599999999999</c:v>
                </c:pt>
                <c:pt idx="3061">
                  <c:v>42.335000000000001</c:v>
                </c:pt>
                <c:pt idx="3062">
                  <c:v>43.284199999999998</c:v>
                </c:pt>
                <c:pt idx="3063">
                  <c:v>44.062399999999997</c:v>
                </c:pt>
                <c:pt idx="3064">
                  <c:v>43.804900000000004</c:v>
                </c:pt>
                <c:pt idx="3065">
                  <c:v>46.102200000000003</c:v>
                </c:pt>
                <c:pt idx="3066">
                  <c:v>46.018099999999997</c:v>
                </c:pt>
                <c:pt idx="3067">
                  <c:v>46.904800000000002</c:v>
                </c:pt>
                <c:pt idx="3068">
                  <c:v>46.136699999999998</c:v>
                </c:pt>
                <c:pt idx="3069">
                  <c:v>46.0899</c:v>
                </c:pt>
                <c:pt idx="3070">
                  <c:v>47.196800000000003</c:v>
                </c:pt>
                <c:pt idx="3071">
                  <c:v>47.718499999999999</c:v>
                </c:pt>
                <c:pt idx="3072">
                  <c:v>47.279400000000003</c:v>
                </c:pt>
                <c:pt idx="3073">
                  <c:v>46.383899999999997</c:v>
                </c:pt>
                <c:pt idx="3074">
                  <c:v>45.854700000000001</c:v>
                </c:pt>
                <c:pt idx="3075">
                  <c:v>47.264200000000002</c:v>
                </c:pt>
                <c:pt idx="3076">
                  <c:v>49.215200000000003</c:v>
                </c:pt>
                <c:pt idx="3077">
                  <c:v>49.617699999999999</c:v>
                </c:pt>
                <c:pt idx="3078">
                  <c:v>50.739899999999999</c:v>
                </c:pt>
                <c:pt idx="3079">
                  <c:v>50.0747</c:v>
                </c:pt>
                <c:pt idx="3080">
                  <c:v>49.837800000000001</c:v>
                </c:pt>
                <c:pt idx="3081">
                  <c:v>49.834099999999999</c:v>
                </c:pt>
                <c:pt idx="3082">
                  <c:v>49.749099999999999</c:v>
                </c:pt>
                <c:pt idx="3083">
                  <c:v>50.173099999999998</c:v>
                </c:pt>
                <c:pt idx="3084">
                  <c:v>51.464100000000002</c:v>
                </c:pt>
                <c:pt idx="3085">
                  <c:v>51.063800000000001</c:v>
                </c:pt>
                <c:pt idx="3086">
                  <c:v>50.914000000000001</c:v>
                </c:pt>
                <c:pt idx="3087">
                  <c:v>50.305399999999999</c:v>
                </c:pt>
                <c:pt idx="3088">
                  <c:v>51.3187</c:v>
                </c:pt>
                <c:pt idx="3089">
                  <c:v>51.233499999999999</c:v>
                </c:pt>
                <c:pt idx="3090">
                  <c:v>51.0916</c:v>
                </c:pt>
                <c:pt idx="3091">
                  <c:v>51.690100000000001</c:v>
                </c:pt>
                <c:pt idx="3092">
                  <c:v>52.402999999999999</c:v>
                </c:pt>
                <c:pt idx="3093">
                  <c:v>51.329599999999999</c:v>
                </c:pt>
                <c:pt idx="3094">
                  <c:v>53.204099999999997</c:v>
                </c:pt>
                <c:pt idx="3095">
                  <c:v>52.728000000000002</c:v>
                </c:pt>
                <c:pt idx="3096">
                  <c:v>52.587899999999998</c:v>
                </c:pt>
                <c:pt idx="3097">
                  <c:v>53.665999999999997</c:v>
                </c:pt>
                <c:pt idx="3098">
                  <c:v>54.765300000000003</c:v>
                </c:pt>
                <c:pt idx="3099">
                  <c:v>55.322200000000002</c:v>
                </c:pt>
                <c:pt idx="3100">
                  <c:v>55.398600000000002</c:v>
                </c:pt>
                <c:pt idx="3101">
                  <c:v>56.510599999999997</c:v>
                </c:pt>
                <c:pt idx="3102">
                  <c:v>55.597200000000001</c:v>
                </c:pt>
                <c:pt idx="3103">
                  <c:v>57.262999999999998</c:v>
                </c:pt>
                <c:pt idx="3104">
                  <c:v>58.4893</c:v>
                </c:pt>
                <c:pt idx="3105">
                  <c:v>58.957299999999996</c:v>
                </c:pt>
                <c:pt idx="3106">
                  <c:v>58.625399999999999</c:v>
                </c:pt>
                <c:pt idx="3107">
                  <c:v>59.558399999999999</c:v>
                </c:pt>
                <c:pt idx="3108">
                  <c:v>61.456699999999998</c:v>
                </c:pt>
                <c:pt idx="3109">
                  <c:v>60.735799999999998</c:v>
                </c:pt>
                <c:pt idx="3110">
                  <c:v>62.7624</c:v>
                </c:pt>
                <c:pt idx="3111">
                  <c:v>62.789499999999997</c:v>
                </c:pt>
                <c:pt idx="3112">
                  <c:v>63.833599999999997</c:v>
                </c:pt>
                <c:pt idx="3113">
                  <c:v>62.923000000000002</c:v>
                </c:pt>
                <c:pt idx="3114">
                  <c:v>63.709099999999999</c:v>
                </c:pt>
                <c:pt idx="3115">
                  <c:v>62.019799999999996</c:v>
                </c:pt>
                <c:pt idx="3116">
                  <c:v>62.155500000000004</c:v>
                </c:pt>
                <c:pt idx="3117">
                  <c:v>62.092500000000001</c:v>
                </c:pt>
                <c:pt idx="3118">
                  <c:v>61.424799999999998</c:v>
                </c:pt>
                <c:pt idx="3119">
                  <c:v>60.5989</c:v>
                </c:pt>
                <c:pt idx="3120">
                  <c:v>61.344200000000001</c:v>
                </c:pt>
                <c:pt idx="3121">
                  <c:v>60.047499999999999</c:v>
                </c:pt>
                <c:pt idx="3122">
                  <c:v>61.386499999999998</c:v>
                </c:pt>
                <c:pt idx="3123">
                  <c:v>60.030500000000004</c:v>
                </c:pt>
                <c:pt idx="3124">
                  <c:v>60.023099999999999</c:v>
                </c:pt>
                <c:pt idx="3125">
                  <c:v>60.124200000000002</c:v>
                </c:pt>
                <c:pt idx="3126">
                  <c:v>61.948599999999999</c:v>
                </c:pt>
                <c:pt idx="3127">
                  <c:v>63.475099999999998</c:v>
                </c:pt>
                <c:pt idx="3128">
                  <c:v>63.492199999999997</c:v>
                </c:pt>
                <c:pt idx="3129">
                  <c:v>61.735599999999998</c:v>
                </c:pt>
                <c:pt idx="3130">
                  <c:v>60.528399999999998</c:v>
                </c:pt>
                <c:pt idx="3131">
                  <c:v>61.371099999999998</c:v>
                </c:pt>
                <c:pt idx="3132">
                  <c:v>65.117099999999994</c:v>
                </c:pt>
                <c:pt idx="3133">
                  <c:v>64.282700000000006</c:v>
                </c:pt>
                <c:pt idx="3134">
                  <c:v>64.059899999999999</c:v>
                </c:pt>
                <c:pt idx="3135">
                  <c:v>63.953200000000002</c:v>
                </c:pt>
                <c:pt idx="3136">
                  <c:v>63.480600000000003</c:v>
                </c:pt>
                <c:pt idx="3137">
                  <c:v>64.343599999999995</c:v>
                </c:pt>
                <c:pt idx="3138">
                  <c:v>66.181100000000001</c:v>
                </c:pt>
                <c:pt idx="3139">
                  <c:v>65.301400000000001</c:v>
                </c:pt>
                <c:pt idx="3140">
                  <c:v>66.101699999999994</c:v>
                </c:pt>
                <c:pt idx="3141">
                  <c:v>66.698400000000007</c:v>
                </c:pt>
                <c:pt idx="3142">
                  <c:v>68.174400000000006</c:v>
                </c:pt>
                <c:pt idx="3143">
                  <c:v>66.965100000000007</c:v>
                </c:pt>
                <c:pt idx="3144">
                  <c:v>67.363</c:v>
                </c:pt>
                <c:pt idx="3145">
                  <c:v>66.753900000000002</c:v>
                </c:pt>
                <c:pt idx="3146">
                  <c:v>66.421099999999996</c:v>
                </c:pt>
                <c:pt idx="3147">
                  <c:v>65.731700000000004</c:v>
                </c:pt>
                <c:pt idx="3148">
                  <c:v>66.694699999999997</c:v>
                </c:pt>
                <c:pt idx="3149">
                  <c:v>67.711299999999994</c:v>
                </c:pt>
                <c:pt idx="3150">
                  <c:v>67.163300000000007</c:v>
                </c:pt>
                <c:pt idx="3151">
                  <c:v>70.122</c:v>
                </c:pt>
                <c:pt idx="3152">
                  <c:v>71.874399999999994</c:v>
                </c:pt>
                <c:pt idx="3153">
                  <c:v>68.674599999999998</c:v>
                </c:pt>
                <c:pt idx="3154">
                  <c:v>67.346599999999995</c:v>
                </c:pt>
                <c:pt idx="3155">
                  <c:v>67.330699999999993</c:v>
                </c:pt>
                <c:pt idx="3156">
                  <c:v>64.145700000000005</c:v>
                </c:pt>
                <c:pt idx="3157">
                  <c:v>62.868499999999997</c:v>
                </c:pt>
                <c:pt idx="3158">
                  <c:v>63.342599999999997</c:v>
                </c:pt>
                <c:pt idx="3159">
                  <c:v>63.536900000000003</c:v>
                </c:pt>
                <c:pt idx="3160">
                  <c:v>64.3429</c:v>
                </c:pt>
                <c:pt idx="3161">
                  <c:v>59.652799999999999</c:v>
                </c:pt>
                <c:pt idx="3162">
                  <c:v>60.908700000000003</c:v>
                </c:pt>
                <c:pt idx="3163">
                  <c:v>58.849299999999999</c:v>
                </c:pt>
                <c:pt idx="3164">
                  <c:v>60.26</c:v>
                </c:pt>
                <c:pt idx="3165">
                  <c:v>59.683599999999998</c:v>
                </c:pt>
                <c:pt idx="3166">
                  <c:v>62.157400000000003</c:v>
                </c:pt>
                <c:pt idx="3167">
                  <c:v>61.3063</c:v>
                </c:pt>
                <c:pt idx="3168">
                  <c:v>62.7288</c:v>
                </c:pt>
                <c:pt idx="3169">
                  <c:v>62.649299999999997</c:v>
                </c:pt>
                <c:pt idx="3170">
                  <c:v>63.351300000000002</c:v>
                </c:pt>
                <c:pt idx="3171">
                  <c:v>55.186</c:v>
                </c:pt>
                <c:pt idx="3172">
                  <c:v>56.314300000000003</c:v>
                </c:pt>
                <c:pt idx="3173">
                  <c:v>57.753399999999999</c:v>
                </c:pt>
                <c:pt idx="3174">
                  <c:v>60.247900000000001</c:v>
                </c:pt>
                <c:pt idx="3175">
                  <c:v>59.797800000000002</c:v>
                </c:pt>
                <c:pt idx="3176">
                  <c:v>61.499600000000001</c:v>
                </c:pt>
                <c:pt idx="3177">
                  <c:v>63.109099999999998</c:v>
                </c:pt>
                <c:pt idx="3178">
                  <c:v>63.649500000000003</c:v>
                </c:pt>
                <c:pt idx="3179">
                  <c:v>65.404499999999999</c:v>
                </c:pt>
                <c:pt idx="3180">
                  <c:v>65.865899999999996</c:v>
                </c:pt>
                <c:pt idx="3181">
                  <c:v>65.207899999999995</c:v>
                </c:pt>
                <c:pt idx="3182">
                  <c:v>64.912899999999993</c:v>
                </c:pt>
                <c:pt idx="3183">
                  <c:v>65.513400000000004</c:v>
                </c:pt>
                <c:pt idx="3184">
                  <c:v>64.500100000000003</c:v>
                </c:pt>
                <c:pt idx="3185">
                  <c:v>64.857299999999995</c:v>
                </c:pt>
                <c:pt idx="3186">
                  <c:v>65.814999999999998</c:v>
                </c:pt>
                <c:pt idx="3187">
                  <c:v>67.461200000000005</c:v>
                </c:pt>
                <c:pt idx="3188">
                  <c:v>67.745199999999997</c:v>
                </c:pt>
                <c:pt idx="3189">
                  <c:v>66.958399999999997</c:v>
                </c:pt>
                <c:pt idx="3190">
                  <c:v>67.421199999999999</c:v>
                </c:pt>
                <c:pt idx="3191">
                  <c:v>69.214799999999997</c:v>
                </c:pt>
                <c:pt idx="3192">
                  <c:v>67.525199999999998</c:v>
                </c:pt>
                <c:pt idx="3193">
                  <c:v>65.940100000000001</c:v>
                </c:pt>
                <c:pt idx="3194">
                  <c:v>65.781000000000006</c:v>
                </c:pt>
                <c:pt idx="3195">
                  <c:v>63.374499999999998</c:v>
                </c:pt>
                <c:pt idx="3196">
                  <c:v>61.790900000000001</c:v>
                </c:pt>
                <c:pt idx="3197">
                  <c:v>65.501099999999994</c:v>
                </c:pt>
                <c:pt idx="3198">
                  <c:v>63.323799999999999</c:v>
                </c:pt>
                <c:pt idx="3199">
                  <c:v>64.992099999999994</c:v>
                </c:pt>
                <c:pt idx="3200">
                  <c:v>64.786199999999994</c:v>
                </c:pt>
                <c:pt idx="3201">
                  <c:v>66.778000000000006</c:v>
                </c:pt>
                <c:pt idx="3202">
                  <c:v>67.494</c:v>
                </c:pt>
                <c:pt idx="3203">
                  <c:v>70.214299999999994</c:v>
                </c:pt>
                <c:pt idx="3204">
                  <c:v>72.047600000000003</c:v>
                </c:pt>
                <c:pt idx="3205">
                  <c:v>68.778000000000006</c:v>
                </c:pt>
                <c:pt idx="3206">
                  <c:v>72.819199999999995</c:v>
                </c:pt>
                <c:pt idx="3207">
                  <c:v>75.707899999999995</c:v>
                </c:pt>
                <c:pt idx="3208">
                  <c:v>77.629199999999997</c:v>
                </c:pt>
                <c:pt idx="3209">
                  <c:v>79.113600000000005</c:v>
                </c:pt>
                <c:pt idx="3210">
                  <c:v>81.439899999999994</c:v>
                </c:pt>
                <c:pt idx="3211">
                  <c:v>81.621099999999998</c:v>
                </c:pt>
                <c:pt idx="3212">
                  <c:v>86.034899999999993</c:v>
                </c:pt>
                <c:pt idx="3213">
                  <c:v>87.828299999999999</c:v>
                </c:pt>
                <c:pt idx="3214">
                  <c:v>87.466800000000006</c:v>
                </c:pt>
                <c:pt idx="3215">
                  <c:v>91.118799999999993</c:v>
                </c:pt>
                <c:pt idx="3216">
                  <c:v>88.6434</c:v>
                </c:pt>
                <c:pt idx="3217">
                  <c:v>93.753900000000002</c:v>
                </c:pt>
                <c:pt idx="3218">
                  <c:v>91.038600000000002</c:v>
                </c:pt>
                <c:pt idx="3219">
                  <c:v>93.497399999999999</c:v>
                </c:pt>
                <c:pt idx="3220">
                  <c:v>95.947599999999994</c:v>
                </c:pt>
                <c:pt idx="3221">
                  <c:v>97.134500000000003</c:v>
                </c:pt>
                <c:pt idx="3222">
                  <c:v>99.157600000000002</c:v>
                </c:pt>
                <c:pt idx="3223">
                  <c:v>96.779899999999998</c:v>
                </c:pt>
                <c:pt idx="3224">
                  <c:v>96.216099999999997</c:v>
                </c:pt>
                <c:pt idx="3225">
                  <c:v>97.634200000000007</c:v>
                </c:pt>
                <c:pt idx="3226">
                  <c:v>99.04</c:v>
                </c:pt>
                <c:pt idx="3227">
                  <c:v>98.914100000000005</c:v>
                </c:pt>
                <c:pt idx="3228">
                  <c:v>100.42319999999999</c:v>
                </c:pt>
                <c:pt idx="3229">
                  <c:v>101.66419999999999</c:v>
                </c:pt>
                <c:pt idx="3230">
                  <c:v>101.5765</c:v>
                </c:pt>
                <c:pt idx="3231">
                  <c:v>102.57940000000001</c:v>
                </c:pt>
                <c:pt idx="3232">
                  <c:v>102.952</c:v>
                </c:pt>
                <c:pt idx="3233">
                  <c:v>101.9709</c:v>
                </c:pt>
                <c:pt idx="3234">
                  <c:v>95.543700000000001</c:v>
                </c:pt>
                <c:pt idx="3235">
                  <c:v>97.094499999999996</c:v>
                </c:pt>
                <c:pt idx="3236">
                  <c:v>95.814300000000003</c:v>
                </c:pt>
                <c:pt idx="3237">
                  <c:v>95.005600000000001</c:v>
                </c:pt>
                <c:pt idx="3238">
                  <c:v>94.547499999999999</c:v>
                </c:pt>
                <c:pt idx="3239">
                  <c:v>94.437200000000004</c:v>
                </c:pt>
                <c:pt idx="3240">
                  <c:v>92.9649</c:v>
                </c:pt>
                <c:pt idx="3241">
                  <c:v>94.196799999999996</c:v>
                </c:pt>
                <c:pt idx="3242">
                  <c:v>96.314499999999995</c:v>
                </c:pt>
                <c:pt idx="3243">
                  <c:v>94.418999999999997</c:v>
                </c:pt>
                <c:pt idx="3244">
                  <c:v>92.491200000000006</c:v>
                </c:pt>
                <c:pt idx="3245">
                  <c:v>94.322000000000003</c:v>
                </c:pt>
                <c:pt idx="3246">
                  <c:v>96.576400000000007</c:v>
                </c:pt>
                <c:pt idx="3247">
                  <c:v>101.3879</c:v>
                </c:pt>
                <c:pt idx="3248">
                  <c:v>103.3582</c:v>
                </c:pt>
                <c:pt idx="3249">
                  <c:v>103.8733</c:v>
                </c:pt>
                <c:pt idx="3250">
                  <c:v>107.0819</c:v>
                </c:pt>
                <c:pt idx="3251">
                  <c:v>106.10339999999999</c:v>
                </c:pt>
                <c:pt idx="3252">
                  <c:v>104.9425</c:v>
                </c:pt>
                <c:pt idx="3253">
                  <c:v>100.31359999999999</c:v>
                </c:pt>
                <c:pt idx="3254">
                  <c:v>104.7838</c:v>
                </c:pt>
                <c:pt idx="3255">
                  <c:v>105.7268</c:v>
                </c:pt>
                <c:pt idx="3256">
                  <c:v>104.2195</c:v>
                </c:pt>
                <c:pt idx="3257">
                  <c:v>99.569199999999995</c:v>
                </c:pt>
                <c:pt idx="3258">
                  <c:v>104.8028</c:v>
                </c:pt>
                <c:pt idx="3259">
                  <c:v>105.688</c:v>
                </c:pt>
                <c:pt idx="3260">
                  <c:v>104.0129</c:v>
                </c:pt>
                <c:pt idx="3261">
                  <c:v>108.68519999999999</c:v>
                </c:pt>
                <c:pt idx="3262">
                  <c:v>109.05289999999999</c:v>
                </c:pt>
                <c:pt idx="3263">
                  <c:v>113.11409999999999</c:v>
                </c:pt>
                <c:pt idx="3264">
                  <c:v>116.7505</c:v>
                </c:pt>
                <c:pt idx="3265">
                  <c:v>116.4362</c:v>
                </c:pt>
                <c:pt idx="3266">
                  <c:v>117.8103</c:v>
                </c:pt>
                <c:pt idx="3267">
                  <c:v>122.5986</c:v>
                </c:pt>
                <c:pt idx="3268">
                  <c:v>115.4397</c:v>
                </c:pt>
                <c:pt idx="3269">
                  <c:v>116.00109999999999</c:v>
                </c:pt>
                <c:pt idx="3270">
                  <c:v>105.6407</c:v>
                </c:pt>
                <c:pt idx="3271">
                  <c:v>107.25539999999999</c:v>
                </c:pt>
                <c:pt idx="3272">
                  <c:v>104.7531</c:v>
                </c:pt>
                <c:pt idx="3273">
                  <c:v>102.9156</c:v>
                </c:pt>
                <c:pt idx="3274">
                  <c:v>108.4081</c:v>
                </c:pt>
                <c:pt idx="3275">
                  <c:v>109.7619</c:v>
                </c:pt>
                <c:pt idx="3276">
                  <c:v>111.7841</c:v>
                </c:pt>
                <c:pt idx="3277">
                  <c:v>110.3626</c:v>
                </c:pt>
                <c:pt idx="3278">
                  <c:v>111.4843</c:v>
                </c:pt>
                <c:pt idx="3279">
                  <c:v>107.9058</c:v>
                </c:pt>
                <c:pt idx="3280">
                  <c:v>113.4636</c:v>
                </c:pt>
                <c:pt idx="3281">
                  <c:v>113.3772</c:v>
                </c:pt>
                <c:pt idx="3282">
                  <c:v>112.8883</c:v>
                </c:pt>
                <c:pt idx="3283">
                  <c:v>109.05459999999999</c:v>
                </c:pt>
                <c:pt idx="3284">
                  <c:v>110.8036</c:v>
                </c:pt>
                <c:pt idx="3285">
                  <c:v>111.0479</c:v>
                </c:pt>
                <c:pt idx="3286">
                  <c:v>109.32089999999999</c:v>
                </c:pt>
                <c:pt idx="3287">
                  <c:v>113.66200000000001</c:v>
                </c:pt>
                <c:pt idx="3288">
                  <c:v>111.71720000000001</c:v>
                </c:pt>
                <c:pt idx="3289">
                  <c:v>113.9533</c:v>
                </c:pt>
                <c:pt idx="3290">
                  <c:v>112.9397</c:v>
                </c:pt>
                <c:pt idx="3291">
                  <c:v>114.3472</c:v>
                </c:pt>
                <c:pt idx="3292">
                  <c:v>113.6588</c:v>
                </c:pt>
                <c:pt idx="3293">
                  <c:v>113.2419</c:v>
                </c:pt>
                <c:pt idx="3294">
                  <c:v>109.416</c:v>
                </c:pt>
                <c:pt idx="3295">
                  <c:v>104.00190000000001</c:v>
                </c:pt>
                <c:pt idx="3296">
                  <c:v>104.3883</c:v>
                </c:pt>
                <c:pt idx="3297">
                  <c:v>103.1061</c:v>
                </c:pt>
                <c:pt idx="3298">
                  <c:v>108.0543</c:v>
                </c:pt>
                <c:pt idx="3299">
                  <c:v>102.7741</c:v>
                </c:pt>
                <c:pt idx="3300">
                  <c:v>107.023</c:v>
                </c:pt>
                <c:pt idx="3301">
                  <c:v>108.6016</c:v>
                </c:pt>
                <c:pt idx="3302">
                  <c:v>104.9044</c:v>
                </c:pt>
                <c:pt idx="3303">
                  <c:v>105.1812</c:v>
                </c:pt>
                <c:pt idx="3304">
                  <c:v>99.867999999999995</c:v>
                </c:pt>
                <c:pt idx="3305">
                  <c:v>99.318100000000001</c:v>
                </c:pt>
                <c:pt idx="3306">
                  <c:v>98.950800000000001</c:v>
                </c:pt>
                <c:pt idx="3307">
                  <c:v>100.8167</c:v>
                </c:pt>
                <c:pt idx="3308">
                  <c:v>97.402699999999996</c:v>
                </c:pt>
                <c:pt idx="3309">
                  <c:v>98.208100000000002</c:v>
                </c:pt>
                <c:pt idx="3310">
                  <c:v>99.138199999999998</c:v>
                </c:pt>
                <c:pt idx="3311">
                  <c:v>95.030299999999997</c:v>
                </c:pt>
                <c:pt idx="3312">
                  <c:v>92.6297</c:v>
                </c:pt>
                <c:pt idx="3313">
                  <c:v>92.763999999999996</c:v>
                </c:pt>
                <c:pt idx="3314">
                  <c:v>89.073300000000003</c:v>
                </c:pt>
                <c:pt idx="3315">
                  <c:v>89.924599999999998</c:v>
                </c:pt>
                <c:pt idx="3316">
                  <c:v>90.746399999999994</c:v>
                </c:pt>
                <c:pt idx="3317">
                  <c:v>90.860500000000002</c:v>
                </c:pt>
                <c:pt idx="3318">
                  <c:v>91.837699999999998</c:v>
                </c:pt>
                <c:pt idx="3319">
                  <c:v>92.626999999999995</c:v>
                </c:pt>
                <c:pt idx="3320">
                  <c:v>89.473500000000001</c:v>
                </c:pt>
                <c:pt idx="3321">
                  <c:v>88.535200000000003</c:v>
                </c:pt>
                <c:pt idx="3322">
                  <c:v>88.080200000000005</c:v>
                </c:pt>
                <c:pt idx="3323">
                  <c:v>90.619600000000005</c:v>
                </c:pt>
                <c:pt idx="3324">
                  <c:v>88.050200000000004</c:v>
                </c:pt>
                <c:pt idx="3325">
                  <c:v>84.686099999999996</c:v>
                </c:pt>
                <c:pt idx="3326">
                  <c:v>81.714299999999994</c:v>
                </c:pt>
                <c:pt idx="3327">
                  <c:v>83.295599999999993</c:v>
                </c:pt>
                <c:pt idx="3328">
                  <c:v>91.412700000000001</c:v>
                </c:pt>
                <c:pt idx="3329">
                  <c:v>90.872600000000006</c:v>
                </c:pt>
                <c:pt idx="3330">
                  <c:v>89.087000000000003</c:v>
                </c:pt>
                <c:pt idx="3331">
                  <c:v>87.855500000000006</c:v>
                </c:pt>
                <c:pt idx="3332">
                  <c:v>84.431600000000003</c:v>
                </c:pt>
                <c:pt idx="3333">
                  <c:v>83.653199999999998</c:v>
                </c:pt>
                <c:pt idx="3334">
                  <c:v>79.741299999999995</c:v>
                </c:pt>
                <c:pt idx="3335">
                  <c:v>79.622299999999996</c:v>
                </c:pt>
                <c:pt idx="3336">
                  <c:v>72.091499999999996</c:v>
                </c:pt>
                <c:pt idx="3337">
                  <c:v>75.438699999999997</c:v>
                </c:pt>
                <c:pt idx="3338">
                  <c:v>70.332999999999998</c:v>
                </c:pt>
                <c:pt idx="3339">
                  <c:v>67.030299999999997</c:v>
                </c:pt>
                <c:pt idx="3340">
                  <c:v>65.784800000000004</c:v>
                </c:pt>
                <c:pt idx="3341">
                  <c:v>66.211799999999997</c:v>
                </c:pt>
                <c:pt idx="3342">
                  <c:v>64.4709</c:v>
                </c:pt>
                <c:pt idx="3343">
                  <c:v>66.358999999999995</c:v>
                </c:pt>
                <c:pt idx="3344">
                  <c:v>65.249600000000001</c:v>
                </c:pt>
                <c:pt idx="3345">
                  <c:v>67.066699999999997</c:v>
                </c:pt>
                <c:pt idx="3346">
                  <c:v>66.599299999999999</c:v>
                </c:pt>
                <c:pt idx="3347">
                  <c:v>67.001900000000006</c:v>
                </c:pt>
                <c:pt idx="3348">
                  <c:v>68.547600000000003</c:v>
                </c:pt>
                <c:pt idx="3349">
                  <c:v>74.094099999999997</c:v>
                </c:pt>
                <c:pt idx="3350">
                  <c:v>73.7881</c:v>
                </c:pt>
                <c:pt idx="3351">
                  <c:v>73.046599999999998</c:v>
                </c:pt>
                <c:pt idx="3352">
                  <c:v>76.357500000000002</c:v>
                </c:pt>
                <c:pt idx="3353">
                  <c:v>74.400599999999997</c:v>
                </c:pt>
                <c:pt idx="3354">
                  <c:v>76.0227</c:v>
                </c:pt>
                <c:pt idx="3355">
                  <c:v>77.501099999999994</c:v>
                </c:pt>
                <c:pt idx="3356">
                  <c:v>81.1524</c:v>
                </c:pt>
                <c:pt idx="3357">
                  <c:v>75.278099999999995</c:v>
                </c:pt>
                <c:pt idx="3358">
                  <c:v>71.820999999999998</c:v>
                </c:pt>
                <c:pt idx="3359">
                  <c:v>72.853999999999999</c:v>
                </c:pt>
                <c:pt idx="3360">
                  <c:v>75.724199999999996</c:v>
                </c:pt>
                <c:pt idx="3361">
                  <c:v>78.135000000000005</c:v>
                </c:pt>
                <c:pt idx="3362">
                  <c:v>83.141900000000007</c:v>
                </c:pt>
                <c:pt idx="3363">
                  <c:v>85.068700000000007</c:v>
                </c:pt>
                <c:pt idx="3364">
                  <c:v>85.308999999999997</c:v>
                </c:pt>
                <c:pt idx="3365">
                  <c:v>84.676400000000001</c:v>
                </c:pt>
                <c:pt idx="3366">
                  <c:v>88.021299999999997</c:v>
                </c:pt>
                <c:pt idx="3367">
                  <c:v>85.625299999999996</c:v>
                </c:pt>
                <c:pt idx="3368">
                  <c:v>88.437100000000001</c:v>
                </c:pt>
                <c:pt idx="3369">
                  <c:v>87.003200000000007</c:v>
                </c:pt>
                <c:pt idx="3370">
                  <c:v>87.083699999999993</c:v>
                </c:pt>
                <c:pt idx="3371">
                  <c:v>88.245699999999999</c:v>
                </c:pt>
                <c:pt idx="3372">
                  <c:v>89.9</c:v>
                </c:pt>
                <c:pt idx="3373">
                  <c:v>88.9041</c:v>
                </c:pt>
                <c:pt idx="3374">
                  <c:v>87.2196</c:v>
                </c:pt>
                <c:pt idx="3375">
                  <c:v>87.491200000000006</c:v>
                </c:pt>
                <c:pt idx="3376">
                  <c:v>85.766999999999996</c:v>
                </c:pt>
                <c:pt idx="3377">
                  <c:v>84.450400000000002</c:v>
                </c:pt>
                <c:pt idx="3378">
                  <c:v>84.571899999999999</c:v>
                </c:pt>
                <c:pt idx="3379">
                  <c:v>84.021000000000001</c:v>
                </c:pt>
                <c:pt idx="3380">
                  <c:v>78.914900000000003</c:v>
                </c:pt>
                <c:pt idx="3381">
                  <c:v>63.378500000000003</c:v>
                </c:pt>
                <c:pt idx="3382">
                  <c:v>64.379599999999996</c:v>
                </c:pt>
                <c:pt idx="3383">
                  <c:v>65.924199999999999</c:v>
                </c:pt>
                <c:pt idx="3384">
                  <c:v>69.339799999999997</c:v>
                </c:pt>
                <c:pt idx="3385">
                  <c:v>69.041600000000003</c:v>
                </c:pt>
                <c:pt idx="3386">
                  <c:v>69.794600000000003</c:v>
                </c:pt>
                <c:pt idx="3387">
                  <c:v>68.424499999999995</c:v>
                </c:pt>
                <c:pt idx="3388">
                  <c:v>68.4238</c:v>
                </c:pt>
                <c:pt idx="3389">
                  <c:v>69.551299999999998</c:v>
                </c:pt>
                <c:pt idx="3390">
                  <c:v>67.6995</c:v>
                </c:pt>
                <c:pt idx="3391">
                  <c:v>70.718199999999996</c:v>
                </c:pt>
                <c:pt idx="3392">
                  <c:v>70.2273</c:v>
                </c:pt>
                <c:pt idx="3393">
                  <c:v>68.367800000000003</c:v>
                </c:pt>
                <c:pt idx="3394">
                  <c:v>66.554199999999994</c:v>
                </c:pt>
                <c:pt idx="3395">
                  <c:v>62.646099999999997</c:v>
                </c:pt>
                <c:pt idx="3396">
                  <c:v>66.594099999999997</c:v>
                </c:pt>
                <c:pt idx="3397">
                  <c:v>67.357900000000001</c:v>
                </c:pt>
                <c:pt idx="3398">
                  <c:v>67.706000000000003</c:v>
                </c:pt>
                <c:pt idx="3399">
                  <c:v>67.959599999999995</c:v>
                </c:pt>
                <c:pt idx="3400">
                  <c:v>69.140699999999995</c:v>
                </c:pt>
                <c:pt idx="3401">
                  <c:v>72.084800000000001</c:v>
                </c:pt>
                <c:pt idx="3402">
                  <c:v>72.226699999999994</c:v>
                </c:pt>
                <c:pt idx="3403">
                  <c:v>74.064300000000003</c:v>
                </c:pt>
                <c:pt idx="3404">
                  <c:v>75.4251</c:v>
                </c:pt>
                <c:pt idx="3405">
                  <c:v>74.646699999999996</c:v>
                </c:pt>
                <c:pt idx="3406">
                  <c:v>74.638000000000005</c:v>
                </c:pt>
                <c:pt idx="3407">
                  <c:v>74.438000000000002</c:v>
                </c:pt>
                <c:pt idx="3408">
                  <c:v>74.626099999999994</c:v>
                </c:pt>
                <c:pt idx="3409">
                  <c:v>77.3613</c:v>
                </c:pt>
                <c:pt idx="3410">
                  <c:v>79.2744</c:v>
                </c:pt>
                <c:pt idx="3411">
                  <c:v>79.444100000000006</c:v>
                </c:pt>
                <c:pt idx="3412">
                  <c:v>80.858800000000002</c:v>
                </c:pt>
                <c:pt idx="3413">
                  <c:v>82.444199999999995</c:v>
                </c:pt>
                <c:pt idx="3414">
                  <c:v>83.194299999999998</c:v>
                </c:pt>
                <c:pt idx="3415">
                  <c:v>80.805999999999997</c:v>
                </c:pt>
                <c:pt idx="3416">
                  <c:v>78.854799999999997</c:v>
                </c:pt>
                <c:pt idx="3417">
                  <c:v>76.987099999999998</c:v>
                </c:pt>
                <c:pt idx="3418">
                  <c:v>73.624700000000004</c:v>
                </c:pt>
                <c:pt idx="3419">
                  <c:v>73.551400000000001</c:v>
                </c:pt>
                <c:pt idx="3420">
                  <c:v>75.878600000000006</c:v>
                </c:pt>
                <c:pt idx="3421">
                  <c:v>75.583600000000004</c:v>
                </c:pt>
                <c:pt idx="3422">
                  <c:v>71.580399999999997</c:v>
                </c:pt>
                <c:pt idx="3423">
                  <c:v>68.693899999999999</c:v>
                </c:pt>
                <c:pt idx="3424">
                  <c:v>74.780500000000004</c:v>
                </c:pt>
                <c:pt idx="3425">
                  <c:v>77.940899999999999</c:v>
                </c:pt>
                <c:pt idx="3426">
                  <c:v>76.333399999999997</c:v>
                </c:pt>
                <c:pt idx="3427">
                  <c:v>73.909099999999995</c:v>
                </c:pt>
                <c:pt idx="3428">
                  <c:v>75.159700000000001</c:v>
                </c:pt>
                <c:pt idx="3429">
                  <c:v>72.744299999999996</c:v>
                </c:pt>
                <c:pt idx="3430">
                  <c:v>70.720100000000002</c:v>
                </c:pt>
                <c:pt idx="3431">
                  <c:v>68.987099999999998</c:v>
                </c:pt>
                <c:pt idx="3432">
                  <c:v>68.585700000000003</c:v>
                </c:pt>
                <c:pt idx="3433">
                  <c:v>70.669399999999996</c:v>
                </c:pt>
                <c:pt idx="3434">
                  <c:v>69.453500000000005</c:v>
                </c:pt>
                <c:pt idx="3435">
                  <c:v>70.485100000000003</c:v>
                </c:pt>
                <c:pt idx="3436">
                  <c:v>66.991699999999994</c:v>
                </c:pt>
                <c:pt idx="3437">
                  <c:v>65.582099999999997</c:v>
                </c:pt>
                <c:pt idx="3438">
                  <c:v>65.885900000000007</c:v>
                </c:pt>
                <c:pt idx="3439">
                  <c:v>69.246200000000002</c:v>
                </c:pt>
                <c:pt idx="3440">
                  <c:v>71.1571</c:v>
                </c:pt>
                <c:pt idx="3441">
                  <c:v>70.321299999999994</c:v>
                </c:pt>
                <c:pt idx="3442">
                  <c:v>73.761899999999997</c:v>
                </c:pt>
                <c:pt idx="3443">
                  <c:v>69.470399999999998</c:v>
                </c:pt>
                <c:pt idx="3444">
                  <c:v>71.671499999999995</c:v>
                </c:pt>
                <c:pt idx="3445">
                  <c:v>70.219099999999997</c:v>
                </c:pt>
                <c:pt idx="3446">
                  <c:v>73.518900000000002</c:v>
                </c:pt>
                <c:pt idx="3447">
                  <c:v>75.868200000000002</c:v>
                </c:pt>
                <c:pt idx="3448">
                  <c:v>76.134900000000002</c:v>
                </c:pt>
                <c:pt idx="3449">
                  <c:v>75.433899999999994</c:v>
                </c:pt>
                <c:pt idx="3450">
                  <c:v>77.942899999999995</c:v>
                </c:pt>
                <c:pt idx="3451">
                  <c:v>76.229699999999994</c:v>
                </c:pt>
                <c:pt idx="3452">
                  <c:v>77.312399999999997</c:v>
                </c:pt>
                <c:pt idx="3453">
                  <c:v>81.154600000000002</c:v>
                </c:pt>
                <c:pt idx="3454">
                  <c:v>82.038399999999996</c:v>
                </c:pt>
                <c:pt idx="3455">
                  <c:v>83.578500000000005</c:v>
                </c:pt>
                <c:pt idx="3456">
                  <c:v>83.384600000000006</c:v>
                </c:pt>
                <c:pt idx="3457">
                  <c:v>82.571600000000004</c:v>
                </c:pt>
                <c:pt idx="3458">
                  <c:v>84.061099999999996</c:v>
                </c:pt>
                <c:pt idx="3459">
                  <c:v>79.358999999999995</c:v>
                </c:pt>
                <c:pt idx="3460">
                  <c:v>76.174499999999995</c:v>
                </c:pt>
                <c:pt idx="3461">
                  <c:v>77.251900000000006</c:v>
                </c:pt>
                <c:pt idx="3462">
                  <c:v>75.522300000000001</c:v>
                </c:pt>
                <c:pt idx="3463">
                  <c:v>75.744500000000002</c:v>
                </c:pt>
                <c:pt idx="3464">
                  <c:v>75.253299999999996</c:v>
                </c:pt>
                <c:pt idx="3465">
                  <c:v>71.111199999999997</c:v>
                </c:pt>
                <c:pt idx="3466">
                  <c:v>71.760099999999994</c:v>
                </c:pt>
                <c:pt idx="3467">
                  <c:v>70.137299999999996</c:v>
                </c:pt>
                <c:pt idx="3468">
                  <c:v>68.5184</c:v>
                </c:pt>
                <c:pt idx="3469">
                  <c:v>71.503299999999996</c:v>
                </c:pt>
                <c:pt idx="3470">
                  <c:v>75.415899999999993</c:v>
                </c:pt>
                <c:pt idx="3471">
                  <c:v>75.921400000000006</c:v>
                </c:pt>
                <c:pt idx="3472">
                  <c:v>77.190299999999993</c:v>
                </c:pt>
                <c:pt idx="3473">
                  <c:v>74.712900000000005</c:v>
                </c:pt>
                <c:pt idx="3474">
                  <c:v>74.943399999999997</c:v>
                </c:pt>
                <c:pt idx="3475">
                  <c:v>74.934600000000003</c:v>
                </c:pt>
                <c:pt idx="3476">
                  <c:v>73.408900000000003</c:v>
                </c:pt>
                <c:pt idx="3477">
                  <c:v>74.2744</c:v>
                </c:pt>
                <c:pt idx="3478">
                  <c:v>71.987499999999997</c:v>
                </c:pt>
                <c:pt idx="3479">
                  <c:v>66.138999999999996</c:v>
                </c:pt>
                <c:pt idx="3480">
                  <c:v>66.866900000000001</c:v>
                </c:pt>
                <c:pt idx="3481">
                  <c:v>68.334599999999995</c:v>
                </c:pt>
                <c:pt idx="3482">
                  <c:v>67.938400000000001</c:v>
                </c:pt>
                <c:pt idx="3483">
                  <c:v>65.871600000000001</c:v>
                </c:pt>
                <c:pt idx="3484">
                  <c:v>66.146600000000007</c:v>
                </c:pt>
                <c:pt idx="3485">
                  <c:v>67.091700000000003</c:v>
                </c:pt>
                <c:pt idx="3486">
                  <c:v>66.122399999999999</c:v>
                </c:pt>
                <c:pt idx="3487">
                  <c:v>64.655500000000004</c:v>
                </c:pt>
                <c:pt idx="3488">
                  <c:v>63.711799999999997</c:v>
                </c:pt>
                <c:pt idx="3489">
                  <c:v>64.208699999999993</c:v>
                </c:pt>
                <c:pt idx="3490">
                  <c:v>65.441299999999998</c:v>
                </c:pt>
                <c:pt idx="3491">
                  <c:v>65.573700000000002</c:v>
                </c:pt>
                <c:pt idx="3492">
                  <c:v>66.555199999999999</c:v>
                </c:pt>
                <c:pt idx="3493">
                  <c:v>67.732900000000001</c:v>
                </c:pt>
                <c:pt idx="3494">
                  <c:v>66.840100000000007</c:v>
                </c:pt>
                <c:pt idx="3495">
                  <c:v>68.260599999999997</c:v>
                </c:pt>
                <c:pt idx="3496">
                  <c:v>67.849199999999996</c:v>
                </c:pt>
                <c:pt idx="3497">
                  <c:v>70.764300000000006</c:v>
                </c:pt>
                <c:pt idx="3498">
                  <c:v>69.613699999999994</c:v>
                </c:pt>
                <c:pt idx="3499">
                  <c:v>67.069100000000006</c:v>
                </c:pt>
                <c:pt idx="3500">
                  <c:v>67.8369</c:v>
                </c:pt>
                <c:pt idx="3501">
                  <c:v>65.857900000000001</c:v>
                </c:pt>
                <c:pt idx="3502">
                  <c:v>67.915899999999993</c:v>
                </c:pt>
                <c:pt idx="3503">
                  <c:v>66.815399999999997</c:v>
                </c:pt>
                <c:pt idx="3504">
                  <c:v>66.071899999999999</c:v>
                </c:pt>
                <c:pt idx="3505">
                  <c:v>68.979900000000001</c:v>
                </c:pt>
                <c:pt idx="3506">
                  <c:v>65.107299999999995</c:v>
                </c:pt>
                <c:pt idx="3507">
                  <c:v>62.308100000000003</c:v>
                </c:pt>
                <c:pt idx="3508">
                  <c:v>63.639099999999999</c:v>
                </c:pt>
                <c:pt idx="3509">
                  <c:v>61.364699999999999</c:v>
                </c:pt>
                <c:pt idx="3510">
                  <c:v>58.385899999999999</c:v>
                </c:pt>
                <c:pt idx="3511">
                  <c:v>58.866799999999998</c:v>
                </c:pt>
                <c:pt idx="3512">
                  <c:v>60.219799999999999</c:v>
                </c:pt>
                <c:pt idx="3513">
                  <c:v>62.209200000000003</c:v>
                </c:pt>
                <c:pt idx="3514">
                  <c:v>61.783700000000003</c:v>
                </c:pt>
                <c:pt idx="3515">
                  <c:v>63.6081</c:v>
                </c:pt>
                <c:pt idx="3516">
                  <c:v>62.217500000000001</c:v>
                </c:pt>
                <c:pt idx="3517">
                  <c:v>63.232100000000003</c:v>
                </c:pt>
                <c:pt idx="3518">
                  <c:v>62.88</c:v>
                </c:pt>
                <c:pt idx="3519">
                  <c:v>62.644799999999996</c:v>
                </c:pt>
                <c:pt idx="3520">
                  <c:v>64.334599999999995</c:v>
                </c:pt>
                <c:pt idx="3521">
                  <c:v>63.588900000000002</c:v>
                </c:pt>
                <c:pt idx="3522">
                  <c:v>61.1569</c:v>
                </c:pt>
                <c:pt idx="3523">
                  <c:v>57.846699999999998</c:v>
                </c:pt>
                <c:pt idx="3524">
                  <c:v>57.932499999999997</c:v>
                </c:pt>
                <c:pt idx="3525">
                  <c:v>57.473399999999998</c:v>
                </c:pt>
                <c:pt idx="3526">
                  <c:v>55.937600000000003</c:v>
                </c:pt>
                <c:pt idx="3527">
                  <c:v>57.385899999999999</c:v>
                </c:pt>
                <c:pt idx="3528">
                  <c:v>56.736600000000003</c:v>
                </c:pt>
                <c:pt idx="3529">
                  <c:v>60.950200000000002</c:v>
                </c:pt>
                <c:pt idx="3530">
                  <c:v>62.068600000000004</c:v>
                </c:pt>
                <c:pt idx="3531">
                  <c:v>62.117600000000003</c:v>
                </c:pt>
                <c:pt idx="3532">
                  <c:v>61.642099999999999</c:v>
                </c:pt>
                <c:pt idx="3533">
                  <c:v>58.891800000000003</c:v>
                </c:pt>
                <c:pt idx="3534">
                  <c:v>57.985999999999997</c:v>
                </c:pt>
                <c:pt idx="3535">
                  <c:v>57.506999999999998</c:v>
                </c:pt>
                <c:pt idx="3536">
                  <c:v>56.381700000000002</c:v>
                </c:pt>
                <c:pt idx="3537">
                  <c:v>56.2789</c:v>
                </c:pt>
                <c:pt idx="3538">
                  <c:v>55.737699999999997</c:v>
                </c:pt>
                <c:pt idx="3539">
                  <c:v>55.650199999999998</c:v>
                </c:pt>
                <c:pt idx="3540">
                  <c:v>57.180799999999998</c:v>
                </c:pt>
                <c:pt idx="3541">
                  <c:v>56.937800000000003</c:v>
                </c:pt>
                <c:pt idx="3542">
                  <c:v>60.939599999999999</c:v>
                </c:pt>
                <c:pt idx="3543">
                  <c:v>62.179400000000001</c:v>
                </c:pt>
                <c:pt idx="3544">
                  <c:v>60.393700000000003</c:v>
                </c:pt>
                <c:pt idx="3545">
                  <c:v>60.121299999999998</c:v>
                </c:pt>
                <c:pt idx="3546">
                  <c:v>59.4619</c:v>
                </c:pt>
                <c:pt idx="3547">
                  <c:v>60.145000000000003</c:v>
                </c:pt>
                <c:pt idx="3548">
                  <c:v>58.4833</c:v>
                </c:pt>
                <c:pt idx="3549">
                  <c:v>58.253900000000002</c:v>
                </c:pt>
                <c:pt idx="3550">
                  <c:v>60.510599999999997</c:v>
                </c:pt>
                <c:pt idx="3551">
                  <c:v>60.7423</c:v>
                </c:pt>
                <c:pt idx="3552">
                  <c:v>60.851399999999998</c:v>
                </c:pt>
                <c:pt idx="3553">
                  <c:v>58.486899999999999</c:v>
                </c:pt>
                <c:pt idx="3554">
                  <c:v>58.662300000000002</c:v>
                </c:pt>
                <c:pt idx="3555">
                  <c:v>58.7271</c:v>
                </c:pt>
                <c:pt idx="3556">
                  <c:v>56.915399999999998</c:v>
                </c:pt>
                <c:pt idx="3557">
                  <c:v>56.6325</c:v>
                </c:pt>
                <c:pt idx="3558">
                  <c:v>58.148499999999999</c:v>
                </c:pt>
                <c:pt idx="3559">
                  <c:v>58.324800000000003</c:v>
                </c:pt>
                <c:pt idx="3560">
                  <c:v>58.230899999999998</c:v>
                </c:pt>
                <c:pt idx="3561">
                  <c:v>57.727800000000002</c:v>
                </c:pt>
                <c:pt idx="3562">
                  <c:v>56.743200000000002</c:v>
                </c:pt>
                <c:pt idx="3563">
                  <c:v>55.904299999999999</c:v>
                </c:pt>
                <c:pt idx="3564">
                  <c:v>53.838200000000001</c:v>
                </c:pt>
                <c:pt idx="3565">
                  <c:v>51.172699999999999</c:v>
                </c:pt>
                <c:pt idx="3566">
                  <c:v>49.049599999999998</c:v>
                </c:pt>
                <c:pt idx="3567">
                  <c:v>47.639899999999997</c:v>
                </c:pt>
                <c:pt idx="3568">
                  <c:v>49.145400000000002</c:v>
                </c:pt>
                <c:pt idx="3569">
                  <c:v>49.307899999999997</c:v>
                </c:pt>
                <c:pt idx="3570">
                  <c:v>48.14</c:v>
                </c:pt>
                <c:pt idx="3571">
                  <c:v>49.260899999999999</c:v>
                </c:pt>
                <c:pt idx="3572">
                  <c:v>48.447800000000001</c:v>
                </c:pt>
                <c:pt idx="3573">
                  <c:v>48.620699999999999</c:v>
                </c:pt>
                <c:pt idx="3574">
                  <c:v>47.480499999999999</c:v>
                </c:pt>
                <c:pt idx="3575">
                  <c:v>46.707500000000003</c:v>
                </c:pt>
                <c:pt idx="3576">
                  <c:v>47.397300000000001</c:v>
                </c:pt>
                <c:pt idx="3577">
                  <c:v>48.646500000000003</c:v>
                </c:pt>
                <c:pt idx="3578">
                  <c:v>48.982300000000002</c:v>
                </c:pt>
                <c:pt idx="3579">
                  <c:v>49.804400000000001</c:v>
                </c:pt>
                <c:pt idx="3580">
                  <c:v>50.277799999999999</c:v>
                </c:pt>
                <c:pt idx="3581">
                  <c:v>49.884599999999999</c:v>
                </c:pt>
                <c:pt idx="3582">
                  <c:v>50.107799999999997</c:v>
                </c:pt>
                <c:pt idx="3583">
                  <c:v>50.443199999999997</c:v>
                </c:pt>
                <c:pt idx="3584">
                  <c:v>50.590499999999999</c:v>
                </c:pt>
                <c:pt idx="3585">
                  <c:v>52.096600000000002</c:v>
                </c:pt>
                <c:pt idx="3586">
                  <c:v>53.255099999999999</c:v>
                </c:pt>
                <c:pt idx="3587">
                  <c:v>52.354900000000001</c:v>
                </c:pt>
                <c:pt idx="3588">
                  <c:v>52.1006</c:v>
                </c:pt>
                <c:pt idx="3589">
                  <c:v>50.623800000000003</c:v>
                </c:pt>
                <c:pt idx="3590">
                  <c:v>50.204599999999999</c:v>
                </c:pt>
                <c:pt idx="3591">
                  <c:v>51.173200000000001</c:v>
                </c:pt>
                <c:pt idx="3592">
                  <c:v>51.980800000000002</c:v>
                </c:pt>
                <c:pt idx="3593">
                  <c:v>51.456299999999999</c:v>
                </c:pt>
                <c:pt idx="3594">
                  <c:v>50.202599999999997</c:v>
                </c:pt>
                <c:pt idx="3595">
                  <c:v>49.468899999999998</c:v>
                </c:pt>
                <c:pt idx="3596">
                  <c:v>49.177500000000002</c:v>
                </c:pt>
                <c:pt idx="3597">
                  <c:v>48.331499999999998</c:v>
                </c:pt>
                <c:pt idx="3598">
                  <c:v>47.464700000000001</c:v>
                </c:pt>
                <c:pt idx="3599">
                  <c:v>48.332900000000002</c:v>
                </c:pt>
                <c:pt idx="3600">
                  <c:v>49.274700000000003</c:v>
                </c:pt>
                <c:pt idx="3601">
                  <c:v>51.562100000000001</c:v>
                </c:pt>
                <c:pt idx="3602">
                  <c:v>52.854500000000002</c:v>
                </c:pt>
                <c:pt idx="3603">
                  <c:v>51.2286</c:v>
                </c:pt>
                <c:pt idx="3604">
                  <c:v>53.092500000000001</c:v>
                </c:pt>
                <c:pt idx="3605">
                  <c:v>50.093800000000002</c:v>
                </c:pt>
                <c:pt idx="3606">
                  <c:v>47.616799999999998</c:v>
                </c:pt>
                <c:pt idx="3607">
                  <c:v>47.614600000000003</c:v>
                </c:pt>
                <c:pt idx="3608">
                  <c:v>47.842700000000001</c:v>
                </c:pt>
                <c:pt idx="3609">
                  <c:v>46.310200000000002</c:v>
                </c:pt>
                <c:pt idx="3610">
                  <c:v>45.963000000000001</c:v>
                </c:pt>
                <c:pt idx="3611">
                  <c:v>47.956400000000002</c:v>
                </c:pt>
                <c:pt idx="3612">
                  <c:v>48.675899999999999</c:v>
                </c:pt>
                <c:pt idx="3613">
                  <c:v>50.121600000000001</c:v>
                </c:pt>
                <c:pt idx="3614">
                  <c:v>50.307400000000001</c:v>
                </c:pt>
                <c:pt idx="3615">
                  <c:v>49.212200000000003</c:v>
                </c:pt>
                <c:pt idx="3616">
                  <c:v>50.4146</c:v>
                </c:pt>
                <c:pt idx="3617">
                  <c:v>49.512999999999998</c:v>
                </c:pt>
                <c:pt idx="3618">
                  <c:v>48.7438</c:v>
                </c:pt>
                <c:pt idx="3619">
                  <c:v>49.101199999999999</c:v>
                </c:pt>
                <c:pt idx="3620">
                  <c:v>49.465400000000002</c:v>
                </c:pt>
                <c:pt idx="3621">
                  <c:v>49.342599999999997</c:v>
                </c:pt>
                <c:pt idx="3622">
                  <c:v>48.936199999999999</c:v>
                </c:pt>
                <c:pt idx="3623">
                  <c:v>48.762999999999998</c:v>
                </c:pt>
                <c:pt idx="3624">
                  <c:v>47.262099999999997</c:v>
                </c:pt>
                <c:pt idx="3625">
                  <c:v>47.808599999999998</c:v>
                </c:pt>
                <c:pt idx="3626">
                  <c:v>46.781799999999997</c:v>
                </c:pt>
                <c:pt idx="3627">
                  <c:v>44.804299999999998</c:v>
                </c:pt>
                <c:pt idx="3628">
                  <c:v>45.524900000000002</c:v>
                </c:pt>
                <c:pt idx="3629">
                  <c:v>46.039900000000003</c:v>
                </c:pt>
                <c:pt idx="3630">
                  <c:v>45.7502</c:v>
                </c:pt>
                <c:pt idx="3631">
                  <c:v>45.218600000000002</c:v>
                </c:pt>
                <c:pt idx="3632">
                  <c:v>44.817599999999999</c:v>
                </c:pt>
                <c:pt idx="3633">
                  <c:v>42.9651</c:v>
                </c:pt>
                <c:pt idx="3634">
                  <c:v>42.169199999999996</c:v>
                </c:pt>
                <c:pt idx="3635">
                  <c:v>41.525599999999997</c:v>
                </c:pt>
                <c:pt idx="3636">
                  <c:v>41.021799999999999</c:v>
                </c:pt>
                <c:pt idx="3637">
                  <c:v>40.140700000000002</c:v>
                </c:pt>
                <c:pt idx="3638">
                  <c:v>40.820399999999999</c:v>
                </c:pt>
                <c:pt idx="3639">
                  <c:v>39.561199999999999</c:v>
                </c:pt>
                <c:pt idx="3640">
                  <c:v>40.489600000000003</c:v>
                </c:pt>
                <c:pt idx="3641">
                  <c:v>40.031999999999996</c:v>
                </c:pt>
                <c:pt idx="3642">
                  <c:v>39.371699999999997</c:v>
                </c:pt>
                <c:pt idx="3643">
                  <c:v>39.5441</c:v>
                </c:pt>
                <c:pt idx="3644">
                  <c:v>39.667200000000001</c:v>
                </c:pt>
                <c:pt idx="3645">
                  <c:v>39.913600000000002</c:v>
                </c:pt>
                <c:pt idx="3646">
                  <c:v>40.212899999999998</c:v>
                </c:pt>
                <c:pt idx="3647">
                  <c:v>43.064</c:v>
                </c:pt>
                <c:pt idx="3648">
                  <c:v>42.380499999999998</c:v>
                </c:pt>
                <c:pt idx="3649">
                  <c:v>42.971600000000002</c:v>
                </c:pt>
                <c:pt idx="3650">
                  <c:v>44.219299999999997</c:v>
                </c:pt>
                <c:pt idx="3651">
                  <c:v>44.0306</c:v>
                </c:pt>
                <c:pt idx="3652">
                  <c:v>43.333799999999997</c:v>
                </c:pt>
                <c:pt idx="3653">
                  <c:v>45.517699999999998</c:v>
                </c:pt>
                <c:pt idx="3654">
                  <c:v>42.810699999999997</c:v>
                </c:pt>
                <c:pt idx="3655">
                  <c:v>42.747100000000003</c:v>
                </c:pt>
                <c:pt idx="3656">
                  <c:v>42.554699999999997</c:v>
                </c:pt>
                <c:pt idx="3657">
                  <c:v>41.914700000000003</c:v>
                </c:pt>
                <c:pt idx="3658">
                  <c:v>41.145600000000002</c:v>
                </c:pt>
                <c:pt idx="3659">
                  <c:v>40.536799999999999</c:v>
                </c:pt>
                <c:pt idx="3660">
                  <c:v>41.353499999999997</c:v>
                </c:pt>
                <c:pt idx="3661">
                  <c:v>42.610500000000002</c:v>
                </c:pt>
                <c:pt idx="3662">
                  <c:v>42.1205</c:v>
                </c:pt>
                <c:pt idx="3663">
                  <c:v>44.351500000000001</c:v>
                </c:pt>
                <c:pt idx="3664">
                  <c:v>46.427900000000001</c:v>
                </c:pt>
                <c:pt idx="3665">
                  <c:v>43.808399999999999</c:v>
                </c:pt>
                <c:pt idx="3666">
                  <c:v>42.946899999999999</c:v>
                </c:pt>
                <c:pt idx="3667">
                  <c:v>42.523099999999999</c:v>
                </c:pt>
                <c:pt idx="3668">
                  <c:v>43.045699999999997</c:v>
                </c:pt>
                <c:pt idx="3669">
                  <c:v>43.633000000000003</c:v>
                </c:pt>
                <c:pt idx="3670">
                  <c:v>42.224800000000002</c:v>
                </c:pt>
                <c:pt idx="3671">
                  <c:v>41.311799999999998</c:v>
                </c:pt>
                <c:pt idx="3672">
                  <c:v>41.0745</c:v>
                </c:pt>
                <c:pt idx="3673">
                  <c:v>41.792200000000001</c:v>
                </c:pt>
                <c:pt idx="3674">
                  <c:v>38.558700000000002</c:v>
                </c:pt>
                <c:pt idx="3675">
                  <c:v>39.170900000000003</c:v>
                </c:pt>
                <c:pt idx="3676">
                  <c:v>37.769100000000002</c:v>
                </c:pt>
                <c:pt idx="3677">
                  <c:v>39.318399999999997</c:v>
                </c:pt>
                <c:pt idx="3678">
                  <c:v>41.460999999999999</c:v>
                </c:pt>
                <c:pt idx="3679">
                  <c:v>41.5077</c:v>
                </c:pt>
                <c:pt idx="3680">
                  <c:v>41.4208</c:v>
                </c:pt>
                <c:pt idx="3681">
                  <c:v>42.835099999999997</c:v>
                </c:pt>
                <c:pt idx="3682">
                  <c:v>42.7986</c:v>
                </c:pt>
                <c:pt idx="3683">
                  <c:v>42.844200000000001</c:v>
                </c:pt>
                <c:pt idx="3684">
                  <c:v>42.8202</c:v>
                </c:pt>
                <c:pt idx="3685">
                  <c:v>42.160800000000002</c:v>
                </c:pt>
                <c:pt idx="3686">
                  <c:v>41.945500000000003</c:v>
                </c:pt>
                <c:pt idx="3687">
                  <c:v>41.823399999999999</c:v>
                </c:pt>
                <c:pt idx="3688">
                  <c:v>42.750100000000003</c:v>
                </c:pt>
                <c:pt idx="3689">
                  <c:v>43.486899999999999</c:v>
                </c:pt>
                <c:pt idx="3690">
                  <c:v>43.354900000000001</c:v>
                </c:pt>
                <c:pt idx="3691">
                  <c:v>46.731400000000001</c:v>
                </c:pt>
                <c:pt idx="3692">
                  <c:v>47.2151</c:v>
                </c:pt>
                <c:pt idx="3693">
                  <c:v>48.070700000000002</c:v>
                </c:pt>
                <c:pt idx="3694">
                  <c:v>49.531999999999996</c:v>
                </c:pt>
                <c:pt idx="3695">
                  <c:v>50.656500000000001</c:v>
                </c:pt>
                <c:pt idx="3696">
                  <c:v>49.917499999999997</c:v>
                </c:pt>
                <c:pt idx="3697">
                  <c:v>50.4375</c:v>
                </c:pt>
                <c:pt idx="3698">
                  <c:v>52.382300000000001</c:v>
                </c:pt>
                <c:pt idx="3699">
                  <c:v>52.098100000000002</c:v>
                </c:pt>
                <c:pt idx="3700">
                  <c:v>51.683700000000002</c:v>
                </c:pt>
                <c:pt idx="3701">
                  <c:v>51.327199999999998</c:v>
                </c:pt>
                <c:pt idx="3702">
                  <c:v>50.897399999999998</c:v>
                </c:pt>
                <c:pt idx="3703">
                  <c:v>50.254199999999997</c:v>
                </c:pt>
                <c:pt idx="3704">
                  <c:v>50.950200000000002</c:v>
                </c:pt>
                <c:pt idx="3705">
                  <c:v>50.460799999999999</c:v>
                </c:pt>
                <c:pt idx="3706">
                  <c:v>50.310099999999998</c:v>
                </c:pt>
                <c:pt idx="3707">
                  <c:v>51.44</c:v>
                </c:pt>
                <c:pt idx="3708">
                  <c:v>49.889000000000003</c:v>
                </c:pt>
                <c:pt idx="3709">
                  <c:v>50.489100000000001</c:v>
                </c:pt>
                <c:pt idx="3710">
                  <c:v>50.545299999999997</c:v>
                </c:pt>
                <c:pt idx="3711">
                  <c:v>50.868200000000002</c:v>
                </c:pt>
                <c:pt idx="3712">
                  <c:v>50.825699999999998</c:v>
                </c:pt>
                <c:pt idx="3713">
                  <c:v>50.141599999999997</c:v>
                </c:pt>
                <c:pt idx="3714">
                  <c:v>49.628700000000002</c:v>
                </c:pt>
                <c:pt idx="3715">
                  <c:v>51.336300000000001</c:v>
                </c:pt>
                <c:pt idx="3716">
                  <c:v>50.468699999999998</c:v>
                </c:pt>
                <c:pt idx="3717">
                  <c:v>50.8018</c:v>
                </c:pt>
                <c:pt idx="3718">
                  <c:v>50.134900000000002</c:v>
                </c:pt>
                <c:pt idx="3719">
                  <c:v>49.3125</c:v>
                </c:pt>
                <c:pt idx="3720">
                  <c:v>48.889099999999999</c:v>
                </c:pt>
                <c:pt idx="3721">
                  <c:v>48.892899999999997</c:v>
                </c:pt>
                <c:pt idx="3722">
                  <c:v>48.670499999999997</c:v>
                </c:pt>
                <c:pt idx="3723">
                  <c:v>48.807200000000002</c:v>
                </c:pt>
                <c:pt idx="3724">
                  <c:v>48.475900000000003</c:v>
                </c:pt>
                <c:pt idx="3725">
                  <c:v>48.350700000000003</c:v>
                </c:pt>
                <c:pt idx="3726">
                  <c:v>49.368200000000002</c:v>
                </c:pt>
                <c:pt idx="3727">
                  <c:v>49.769500000000001</c:v>
                </c:pt>
                <c:pt idx="3728">
                  <c:v>50.883400000000002</c:v>
                </c:pt>
                <c:pt idx="3729">
                  <c:v>48.1053</c:v>
                </c:pt>
                <c:pt idx="3730">
                  <c:v>45.156100000000002</c:v>
                </c:pt>
                <c:pt idx="3731">
                  <c:v>44.887900000000002</c:v>
                </c:pt>
                <c:pt idx="3732">
                  <c:v>45.128500000000003</c:v>
                </c:pt>
                <c:pt idx="3733">
                  <c:v>48.374299999999998</c:v>
                </c:pt>
                <c:pt idx="3734">
                  <c:v>48.895000000000003</c:v>
                </c:pt>
                <c:pt idx="3735">
                  <c:v>50.703200000000002</c:v>
                </c:pt>
                <c:pt idx="3736">
                  <c:v>50.951300000000003</c:v>
                </c:pt>
                <c:pt idx="3737">
                  <c:v>50.106699999999996</c:v>
                </c:pt>
                <c:pt idx="3738">
                  <c:v>51.401000000000003</c:v>
                </c:pt>
                <c:pt idx="3739">
                  <c:v>51.186399999999999</c:v>
                </c:pt>
                <c:pt idx="3740">
                  <c:v>50.207599999999999</c:v>
                </c:pt>
                <c:pt idx="3741">
                  <c:v>49.750799999999998</c:v>
                </c:pt>
                <c:pt idx="3742">
                  <c:v>47.888199999999998</c:v>
                </c:pt>
                <c:pt idx="3743">
                  <c:v>48.548299999999998</c:v>
                </c:pt>
                <c:pt idx="3744">
                  <c:v>46.786000000000001</c:v>
                </c:pt>
                <c:pt idx="3745">
                  <c:v>47.228400000000001</c:v>
                </c:pt>
                <c:pt idx="3746">
                  <c:v>47.057899999999997</c:v>
                </c:pt>
                <c:pt idx="3747">
                  <c:v>45.472900000000003</c:v>
                </c:pt>
                <c:pt idx="3748">
                  <c:v>45.060899999999997</c:v>
                </c:pt>
                <c:pt idx="3749">
                  <c:v>45.646099999999997</c:v>
                </c:pt>
                <c:pt idx="3750">
                  <c:v>48.078600000000002</c:v>
                </c:pt>
                <c:pt idx="3751">
                  <c:v>48.799100000000003</c:v>
                </c:pt>
                <c:pt idx="3752">
                  <c:v>48.944400000000002</c:v>
                </c:pt>
                <c:pt idx="3753">
                  <c:v>47.885599999999997</c:v>
                </c:pt>
                <c:pt idx="3754">
                  <c:v>46.254600000000003</c:v>
                </c:pt>
                <c:pt idx="3755">
                  <c:v>47.2712</c:v>
                </c:pt>
                <c:pt idx="3756">
                  <c:v>48.884300000000003</c:v>
                </c:pt>
                <c:pt idx="3757">
                  <c:v>49.039200000000001</c:v>
                </c:pt>
                <c:pt idx="3758">
                  <c:v>48.449599999999997</c:v>
                </c:pt>
                <c:pt idx="3759">
                  <c:v>48.2239</c:v>
                </c:pt>
                <c:pt idx="3760">
                  <c:v>47.638599999999997</c:v>
                </c:pt>
                <c:pt idx="3761">
                  <c:v>45.514499999999998</c:v>
                </c:pt>
                <c:pt idx="3762">
                  <c:v>44.907299999999999</c:v>
                </c:pt>
                <c:pt idx="3763">
                  <c:v>42.193800000000003</c:v>
                </c:pt>
                <c:pt idx="3764">
                  <c:v>41.693199999999997</c:v>
                </c:pt>
                <c:pt idx="3765">
                  <c:v>40.878700000000002</c:v>
                </c:pt>
                <c:pt idx="3766">
                  <c:v>37.776499999999999</c:v>
                </c:pt>
                <c:pt idx="3767">
                  <c:v>37.805999999999997</c:v>
                </c:pt>
                <c:pt idx="3768">
                  <c:v>37.040199999999999</c:v>
                </c:pt>
                <c:pt idx="3769">
                  <c:v>37.076599999999999</c:v>
                </c:pt>
                <c:pt idx="3770">
                  <c:v>36.465699999999998</c:v>
                </c:pt>
                <c:pt idx="3771">
                  <c:v>35.9499</c:v>
                </c:pt>
                <c:pt idx="3772">
                  <c:v>33.952399999999997</c:v>
                </c:pt>
                <c:pt idx="3773">
                  <c:v>31.498799999999999</c:v>
                </c:pt>
                <c:pt idx="3774">
                  <c:v>30.3553</c:v>
                </c:pt>
                <c:pt idx="3775">
                  <c:v>30.616900000000001</c:v>
                </c:pt>
                <c:pt idx="3776">
                  <c:v>26.7196</c:v>
                </c:pt>
                <c:pt idx="3777">
                  <c:v>29.565300000000001</c:v>
                </c:pt>
                <c:pt idx="3778">
                  <c:v>27.419599999999999</c:v>
                </c:pt>
                <c:pt idx="3779">
                  <c:v>25.126300000000001</c:v>
                </c:pt>
                <c:pt idx="3780">
                  <c:v>26.121700000000001</c:v>
                </c:pt>
                <c:pt idx="3781">
                  <c:v>25.775099999999998</c:v>
                </c:pt>
                <c:pt idx="3782">
                  <c:v>25.568899999999999</c:v>
                </c:pt>
                <c:pt idx="3783">
                  <c:v>23.429500000000001</c:v>
                </c:pt>
                <c:pt idx="3784">
                  <c:v>23.780899999999999</c:v>
                </c:pt>
                <c:pt idx="3785">
                  <c:v>25.8752</c:v>
                </c:pt>
                <c:pt idx="3786">
                  <c:v>27.1938</c:v>
                </c:pt>
                <c:pt idx="3787">
                  <c:v>26.5764</c:v>
                </c:pt>
                <c:pt idx="3788">
                  <c:v>25.796399999999998</c:v>
                </c:pt>
                <c:pt idx="3789">
                  <c:v>27.078800000000001</c:v>
                </c:pt>
                <c:pt idx="3790">
                  <c:v>26.7624</c:v>
                </c:pt>
                <c:pt idx="3791">
                  <c:v>25.615200000000002</c:v>
                </c:pt>
                <c:pt idx="3792">
                  <c:v>25.634499999999999</c:v>
                </c:pt>
                <c:pt idx="3793">
                  <c:v>25.234000000000002</c:v>
                </c:pt>
                <c:pt idx="3794">
                  <c:v>26.316500000000001</c:v>
                </c:pt>
                <c:pt idx="3795">
                  <c:v>26.421099999999999</c:v>
                </c:pt>
                <c:pt idx="3796">
                  <c:v>25.789300000000001</c:v>
                </c:pt>
                <c:pt idx="3797">
                  <c:v>27.046700000000001</c:v>
                </c:pt>
                <c:pt idx="3798">
                  <c:v>28.596599999999999</c:v>
                </c:pt>
                <c:pt idx="3799">
                  <c:v>27.4221</c:v>
                </c:pt>
                <c:pt idx="3800">
                  <c:v>26.6587</c:v>
                </c:pt>
                <c:pt idx="3801">
                  <c:v>27.930599999999998</c:v>
                </c:pt>
                <c:pt idx="3802">
                  <c:v>28.168700000000001</c:v>
                </c:pt>
                <c:pt idx="3803">
                  <c:v>27.931899999999999</c:v>
                </c:pt>
                <c:pt idx="3804">
                  <c:v>26.802800000000001</c:v>
                </c:pt>
                <c:pt idx="3805">
                  <c:v>26.670500000000001</c:v>
                </c:pt>
                <c:pt idx="3806">
                  <c:v>28.222000000000001</c:v>
                </c:pt>
                <c:pt idx="3807">
                  <c:v>27.749700000000001</c:v>
                </c:pt>
                <c:pt idx="3808">
                  <c:v>27.727499999999999</c:v>
                </c:pt>
                <c:pt idx="3809">
                  <c:v>28.348700000000001</c:v>
                </c:pt>
                <c:pt idx="3810">
                  <c:v>27.345800000000001</c:v>
                </c:pt>
                <c:pt idx="3811">
                  <c:v>27.2776</c:v>
                </c:pt>
                <c:pt idx="3812">
                  <c:v>27.504799999999999</c:v>
                </c:pt>
                <c:pt idx="3813">
                  <c:v>26.655999999999999</c:v>
                </c:pt>
                <c:pt idx="3814">
                  <c:v>27.202100000000002</c:v>
                </c:pt>
                <c:pt idx="3815">
                  <c:v>27.466000000000001</c:v>
                </c:pt>
                <c:pt idx="3816">
                  <c:v>27.5153</c:v>
                </c:pt>
                <c:pt idx="3817">
                  <c:v>27.641999999999999</c:v>
                </c:pt>
                <c:pt idx="3818">
                  <c:v>27.061399999999999</c:v>
                </c:pt>
                <c:pt idx="3819">
                  <c:v>27.126000000000001</c:v>
                </c:pt>
                <c:pt idx="3820">
                  <c:v>28.257999999999999</c:v>
                </c:pt>
                <c:pt idx="3821">
                  <c:v>28.4863</c:v>
                </c:pt>
                <c:pt idx="3822">
                  <c:v>29.552499999999998</c:v>
                </c:pt>
                <c:pt idx="3823">
                  <c:v>29.6037</c:v>
                </c:pt>
                <c:pt idx="3824">
                  <c:v>33.340600000000002</c:v>
                </c:pt>
                <c:pt idx="3825">
                  <c:v>33.920999999999999</c:v>
                </c:pt>
                <c:pt idx="3826">
                  <c:v>32.812199999999997</c:v>
                </c:pt>
                <c:pt idx="3827">
                  <c:v>33.617800000000003</c:v>
                </c:pt>
                <c:pt idx="3828">
                  <c:v>33.436900000000001</c:v>
                </c:pt>
                <c:pt idx="3829">
                  <c:v>34.279800000000002</c:v>
                </c:pt>
                <c:pt idx="3830">
                  <c:v>33.961300000000001</c:v>
                </c:pt>
                <c:pt idx="3831">
                  <c:v>35.028399999999998</c:v>
                </c:pt>
                <c:pt idx="3832">
                  <c:v>34.2378</c:v>
                </c:pt>
                <c:pt idx="3833">
                  <c:v>33.813499999999998</c:v>
                </c:pt>
                <c:pt idx="3834">
                  <c:v>33.860999999999997</c:v>
                </c:pt>
                <c:pt idx="3835">
                  <c:v>33.158099999999997</c:v>
                </c:pt>
                <c:pt idx="3836">
                  <c:v>33.4983</c:v>
                </c:pt>
                <c:pt idx="3837">
                  <c:v>33.3827</c:v>
                </c:pt>
                <c:pt idx="3838">
                  <c:v>33.213299999999997</c:v>
                </c:pt>
                <c:pt idx="3839">
                  <c:v>32.809600000000003</c:v>
                </c:pt>
                <c:pt idx="3840">
                  <c:v>33.047600000000003</c:v>
                </c:pt>
                <c:pt idx="3841">
                  <c:v>32.598700000000001</c:v>
                </c:pt>
                <c:pt idx="3842">
                  <c:v>32.634500000000003</c:v>
                </c:pt>
                <c:pt idx="3843">
                  <c:v>32.193100000000001</c:v>
                </c:pt>
                <c:pt idx="3844">
                  <c:v>31.885300000000001</c:v>
                </c:pt>
                <c:pt idx="3845">
                  <c:v>31.924900000000001</c:v>
                </c:pt>
                <c:pt idx="3846">
                  <c:v>31.931899999999999</c:v>
                </c:pt>
                <c:pt idx="3847">
                  <c:v>31.9008</c:v>
                </c:pt>
                <c:pt idx="3848">
                  <c:v>31.7591</c:v>
                </c:pt>
                <c:pt idx="3849">
                  <c:v>31.457999999999998</c:v>
                </c:pt>
                <c:pt idx="3850">
                  <c:v>31.224299999999999</c:v>
                </c:pt>
                <c:pt idx="3851">
                  <c:v>30.174399999999999</c:v>
                </c:pt>
                <c:pt idx="3852">
                  <c:v>29.2681</c:v>
                </c:pt>
                <c:pt idx="3853">
                  <c:v>28.297999999999998</c:v>
                </c:pt>
                <c:pt idx="3854">
                  <c:v>28.938800000000001</c:v>
                </c:pt>
                <c:pt idx="3855">
                  <c:v>29.737500000000001</c:v>
                </c:pt>
                <c:pt idx="3856">
                  <c:v>29.994599999999998</c:v>
                </c:pt>
                <c:pt idx="3857">
                  <c:v>29.6191</c:v>
                </c:pt>
                <c:pt idx="3858">
                  <c:v>30.1539</c:v>
                </c:pt>
                <c:pt idx="3859">
                  <c:v>29.906600000000001</c:v>
                </c:pt>
                <c:pt idx="3860">
                  <c:v>29.6477</c:v>
                </c:pt>
                <c:pt idx="3861">
                  <c:v>28.8443</c:v>
                </c:pt>
                <c:pt idx="3862">
                  <c:v>28.6203</c:v>
                </c:pt>
                <c:pt idx="3863">
                  <c:v>28.4514</c:v>
                </c:pt>
                <c:pt idx="3864">
                  <c:v>28.131699999999999</c:v>
                </c:pt>
                <c:pt idx="3865">
                  <c:v>27.3139</c:v>
                </c:pt>
                <c:pt idx="3866">
                  <c:v>25.761099999999999</c:v>
                </c:pt>
                <c:pt idx="3867">
                  <c:v>24.8508</c:v>
                </c:pt>
                <c:pt idx="3868">
                  <c:v>24.5581</c:v>
                </c:pt>
                <c:pt idx="3869">
                  <c:v>24.562799999999999</c:v>
                </c:pt>
                <c:pt idx="3870">
                  <c:v>23.9894</c:v>
                </c:pt>
                <c:pt idx="3871">
                  <c:v>21.98</c:v>
                </c:pt>
                <c:pt idx="3872">
                  <c:v>22.942900000000002</c:v>
                </c:pt>
                <c:pt idx="3873">
                  <c:v>22.2057</c:v>
                </c:pt>
                <c:pt idx="3874">
                  <c:v>25.498100000000001</c:v>
                </c:pt>
                <c:pt idx="3875">
                  <c:v>25.611899999999999</c:v>
                </c:pt>
                <c:pt idx="3876">
                  <c:v>24.281400000000001</c:v>
                </c:pt>
                <c:pt idx="3877">
                  <c:v>24.3751</c:v>
                </c:pt>
                <c:pt idx="3878">
                  <c:v>23.314599999999999</c:v>
                </c:pt>
                <c:pt idx="3879">
                  <c:v>23.3765</c:v>
                </c:pt>
                <c:pt idx="3880">
                  <c:v>24.299600000000002</c:v>
                </c:pt>
                <c:pt idx="3881">
                  <c:v>24.751999999999999</c:v>
                </c:pt>
                <c:pt idx="3882">
                  <c:v>24.3932</c:v>
                </c:pt>
                <c:pt idx="3883">
                  <c:v>24.541799999999999</c:v>
                </c:pt>
                <c:pt idx="3884">
                  <c:v>24.648</c:v>
                </c:pt>
                <c:pt idx="3885">
                  <c:v>23.910799999999998</c:v>
                </c:pt>
                <c:pt idx="3886">
                  <c:v>24.448699999999999</c:v>
                </c:pt>
                <c:pt idx="3887">
                  <c:v>23.664200000000001</c:v>
                </c:pt>
                <c:pt idx="3888">
                  <c:v>22.875800000000002</c:v>
                </c:pt>
                <c:pt idx="3889">
                  <c:v>22.9116</c:v>
                </c:pt>
                <c:pt idx="3890">
                  <c:v>22.9846</c:v>
                </c:pt>
                <c:pt idx="3891">
                  <c:v>22.724900000000002</c:v>
                </c:pt>
                <c:pt idx="3892">
                  <c:v>22.871500000000001</c:v>
                </c:pt>
                <c:pt idx="3893">
                  <c:v>23.283999999999999</c:v>
                </c:pt>
                <c:pt idx="3894">
                  <c:v>23.1812</c:v>
                </c:pt>
                <c:pt idx="3895">
                  <c:v>22.929600000000001</c:v>
                </c:pt>
                <c:pt idx="3896">
                  <c:v>23.550699999999999</c:v>
                </c:pt>
                <c:pt idx="3897">
                  <c:v>23.245999999999999</c:v>
                </c:pt>
                <c:pt idx="3898">
                  <c:v>22.796500000000002</c:v>
                </c:pt>
                <c:pt idx="3899">
                  <c:v>22.5334</c:v>
                </c:pt>
                <c:pt idx="3900">
                  <c:v>22.810099999999998</c:v>
                </c:pt>
                <c:pt idx="3901">
                  <c:v>22.449400000000001</c:v>
                </c:pt>
                <c:pt idx="3902">
                  <c:v>22.382999999999999</c:v>
                </c:pt>
                <c:pt idx="3903">
                  <c:v>22.713100000000001</c:v>
                </c:pt>
                <c:pt idx="3904">
                  <c:v>22.965900000000001</c:v>
                </c:pt>
                <c:pt idx="3905">
                  <c:v>22.727599999999999</c:v>
                </c:pt>
                <c:pt idx="3906">
                  <c:v>23.062100000000001</c:v>
                </c:pt>
                <c:pt idx="3907">
                  <c:v>22.489000000000001</c:v>
                </c:pt>
                <c:pt idx="3908">
                  <c:v>21.842400000000001</c:v>
                </c:pt>
                <c:pt idx="3909">
                  <c:v>22.108499999999999</c:v>
                </c:pt>
                <c:pt idx="3910">
                  <c:v>22.356000000000002</c:v>
                </c:pt>
                <c:pt idx="3911">
                  <c:v>22.468399999999999</c:v>
                </c:pt>
                <c:pt idx="3912">
                  <c:v>22.450600000000001</c:v>
                </c:pt>
                <c:pt idx="3913">
                  <c:v>22.411799999999999</c:v>
                </c:pt>
                <c:pt idx="3914">
                  <c:v>22.559100000000001</c:v>
                </c:pt>
                <c:pt idx="3915">
                  <c:v>22.3627</c:v>
                </c:pt>
                <c:pt idx="3916">
                  <c:v>21.9786</c:v>
                </c:pt>
                <c:pt idx="3917">
                  <c:v>22.271999999999998</c:v>
                </c:pt>
                <c:pt idx="3918">
                  <c:v>22.1816</c:v>
                </c:pt>
                <c:pt idx="3919">
                  <c:v>22.0167</c:v>
                </c:pt>
                <c:pt idx="3920">
                  <c:v>21.725000000000001</c:v>
                </c:pt>
                <c:pt idx="3921">
                  <c:v>21.808499999999999</c:v>
                </c:pt>
                <c:pt idx="3922">
                  <c:v>21.9193</c:v>
                </c:pt>
                <c:pt idx="3923">
                  <c:v>21.859500000000001</c:v>
                </c:pt>
                <c:pt idx="3924">
                  <c:v>21.5535</c:v>
                </c:pt>
                <c:pt idx="3925">
                  <c:v>21.75</c:v>
                </c:pt>
                <c:pt idx="3926">
                  <c:v>21.354600000000001</c:v>
                </c:pt>
                <c:pt idx="3927">
                  <c:v>20.071100000000001</c:v>
                </c:pt>
                <c:pt idx="3928">
                  <c:v>19.0336</c:v>
                </c:pt>
                <c:pt idx="3929">
                  <c:v>18.535299999999999</c:v>
                </c:pt>
                <c:pt idx="3930">
                  <c:v>18.009</c:v>
                </c:pt>
                <c:pt idx="3931">
                  <c:v>18.5319</c:v>
                </c:pt>
                <c:pt idx="3932">
                  <c:v>18.377400000000002</c:v>
                </c:pt>
                <c:pt idx="3933">
                  <c:v>19.0609</c:v>
                </c:pt>
                <c:pt idx="3934">
                  <c:v>18.393899999999999</c:v>
                </c:pt>
                <c:pt idx="3935">
                  <c:v>18.390499999999999</c:v>
                </c:pt>
                <c:pt idx="3936">
                  <c:v>21.2437</c:v>
                </c:pt>
                <c:pt idx="3937">
                  <c:v>23.504100000000001</c:v>
                </c:pt>
                <c:pt idx="3938">
                  <c:v>24.204899999999999</c:v>
                </c:pt>
                <c:pt idx="3939">
                  <c:v>24.990500000000001</c:v>
                </c:pt>
                <c:pt idx="3940">
                  <c:v>24.714300000000001</c:v>
                </c:pt>
                <c:pt idx="3941">
                  <c:v>25.521000000000001</c:v>
                </c:pt>
                <c:pt idx="3942">
                  <c:v>24.580100000000002</c:v>
                </c:pt>
                <c:pt idx="3943">
                  <c:v>25.331099999999999</c:v>
                </c:pt>
                <c:pt idx="3944">
                  <c:v>25.467199999999998</c:v>
                </c:pt>
                <c:pt idx="3945">
                  <c:v>26.259799999999998</c:v>
                </c:pt>
                <c:pt idx="3946">
                  <c:v>26.1066</c:v>
                </c:pt>
                <c:pt idx="3947">
                  <c:v>25.892600000000002</c:v>
                </c:pt>
                <c:pt idx="3948">
                  <c:v>25.7928</c:v>
                </c:pt>
                <c:pt idx="3949">
                  <c:v>26.5458</c:v>
                </c:pt>
                <c:pt idx="3950">
                  <c:v>25.633500000000002</c:v>
                </c:pt>
                <c:pt idx="3951">
                  <c:v>27.353400000000001</c:v>
                </c:pt>
                <c:pt idx="3952">
                  <c:v>26.783300000000001</c:v>
                </c:pt>
                <c:pt idx="3953">
                  <c:v>26.293900000000001</c:v>
                </c:pt>
                <c:pt idx="3954">
                  <c:v>26.519200000000001</c:v>
                </c:pt>
                <c:pt idx="3955">
                  <c:v>26.318200000000001</c:v>
                </c:pt>
                <c:pt idx="3956">
                  <c:v>26.0792</c:v>
                </c:pt>
                <c:pt idx="3957">
                  <c:v>26.680099999999999</c:v>
                </c:pt>
                <c:pt idx="3958">
                  <c:v>26.4938</c:v>
                </c:pt>
                <c:pt idx="3959">
                  <c:v>26.367599999999999</c:v>
                </c:pt>
                <c:pt idx="3960">
                  <c:v>27.198599999999999</c:v>
                </c:pt>
                <c:pt idx="3961">
                  <c:v>27.069400000000002</c:v>
                </c:pt>
                <c:pt idx="3962">
                  <c:v>27.2639</c:v>
                </c:pt>
                <c:pt idx="3963">
                  <c:v>27.550899999999999</c:v>
                </c:pt>
                <c:pt idx="3964">
                  <c:v>27.856000000000002</c:v>
                </c:pt>
                <c:pt idx="3965">
                  <c:v>26.3231</c:v>
                </c:pt>
                <c:pt idx="3966">
                  <c:v>27.120699999999999</c:v>
                </c:pt>
                <c:pt idx="3967">
                  <c:v>26.953199999999999</c:v>
                </c:pt>
                <c:pt idx="3968">
                  <c:v>27.700800000000001</c:v>
                </c:pt>
                <c:pt idx="3969">
                  <c:v>27.6462</c:v>
                </c:pt>
                <c:pt idx="3970">
                  <c:v>28.670500000000001</c:v>
                </c:pt>
                <c:pt idx="3971">
                  <c:v>28.761199999999999</c:v>
                </c:pt>
                <c:pt idx="3972">
                  <c:v>29.0108</c:v>
                </c:pt>
                <c:pt idx="3973">
                  <c:v>27.282699999999998</c:v>
                </c:pt>
                <c:pt idx="3974">
                  <c:v>26.9999</c:v>
                </c:pt>
                <c:pt idx="3975">
                  <c:v>28.0105</c:v>
                </c:pt>
                <c:pt idx="3976">
                  <c:v>28.2531</c:v>
                </c:pt>
                <c:pt idx="3977">
                  <c:v>29.72</c:v>
                </c:pt>
                <c:pt idx="3978">
                  <c:v>29.026599999999998</c:v>
                </c:pt>
                <c:pt idx="3979">
                  <c:v>29.025300000000001</c:v>
                </c:pt>
                <c:pt idx="3980">
                  <c:v>29.878399999999999</c:v>
                </c:pt>
                <c:pt idx="3981">
                  <c:v>30.099499999999999</c:v>
                </c:pt>
                <c:pt idx="3982">
                  <c:v>30.6538</c:v>
                </c:pt>
                <c:pt idx="3983">
                  <c:v>30.513999999999999</c:v>
                </c:pt>
                <c:pt idx="3984">
                  <c:v>29.604600000000001</c:v>
                </c:pt>
                <c:pt idx="3985">
                  <c:v>29.319199999999999</c:v>
                </c:pt>
                <c:pt idx="3986">
                  <c:v>29.422899999999998</c:v>
                </c:pt>
                <c:pt idx="3987">
                  <c:v>28.709199999999999</c:v>
                </c:pt>
                <c:pt idx="3988">
                  <c:v>28.6553</c:v>
                </c:pt>
                <c:pt idx="3989">
                  <c:v>27.4206</c:v>
                </c:pt>
                <c:pt idx="3990">
                  <c:v>28.227599999999999</c:v>
                </c:pt>
                <c:pt idx="3991">
                  <c:v>27.757400000000001</c:v>
                </c:pt>
                <c:pt idx="3992">
                  <c:v>27.584099999999999</c:v>
                </c:pt>
                <c:pt idx="3993">
                  <c:v>28.520399999999999</c:v>
                </c:pt>
                <c:pt idx="3994">
                  <c:v>28.676500000000001</c:v>
                </c:pt>
                <c:pt idx="3995">
                  <c:v>29.639900000000001</c:v>
                </c:pt>
                <c:pt idx="3996">
                  <c:v>29.280799999999999</c:v>
                </c:pt>
                <c:pt idx="3997">
                  <c:v>29.232800000000001</c:v>
                </c:pt>
                <c:pt idx="3998">
                  <c:v>29.1523</c:v>
                </c:pt>
                <c:pt idx="3999">
                  <c:v>29.209</c:v>
                </c:pt>
                <c:pt idx="4000">
                  <c:v>29.3508</c:v>
                </c:pt>
                <c:pt idx="4001">
                  <c:v>29.171500000000002</c:v>
                </c:pt>
                <c:pt idx="4002">
                  <c:v>30.3001</c:v>
                </c:pt>
                <c:pt idx="4003">
                  <c:v>30.684699999999999</c:v>
                </c:pt>
                <c:pt idx="4004">
                  <c:v>30.9056</c:v>
                </c:pt>
                <c:pt idx="4005">
                  <c:v>30.928799999999999</c:v>
                </c:pt>
                <c:pt idx="4006">
                  <c:v>31.1694</c:v>
                </c:pt>
                <c:pt idx="4007">
                  <c:v>32.016199999999998</c:v>
                </c:pt>
                <c:pt idx="4008">
                  <c:v>31.2864</c:v>
                </c:pt>
                <c:pt idx="4009">
                  <c:v>32.763800000000003</c:v>
                </c:pt>
                <c:pt idx="4010">
                  <c:v>33.1556</c:v>
                </c:pt>
                <c:pt idx="4011">
                  <c:v>33.614699999999999</c:v>
                </c:pt>
                <c:pt idx="4012">
                  <c:v>36.563200000000002</c:v>
                </c:pt>
                <c:pt idx="4013">
                  <c:v>36.833799999999997</c:v>
                </c:pt>
                <c:pt idx="4014">
                  <c:v>36.113599999999998</c:v>
                </c:pt>
                <c:pt idx="4015">
                  <c:v>36.055300000000003</c:v>
                </c:pt>
                <c:pt idx="4016">
                  <c:v>36.176200000000001</c:v>
                </c:pt>
                <c:pt idx="4017">
                  <c:v>35.090200000000003</c:v>
                </c:pt>
                <c:pt idx="4018">
                  <c:v>35.391100000000002</c:v>
                </c:pt>
                <c:pt idx="4019">
                  <c:v>35.565399999999997</c:v>
                </c:pt>
                <c:pt idx="4020">
                  <c:v>35.088000000000001</c:v>
                </c:pt>
                <c:pt idx="4021">
                  <c:v>34.975900000000003</c:v>
                </c:pt>
                <c:pt idx="4022">
                  <c:v>35.178199999999997</c:v>
                </c:pt>
                <c:pt idx="4023">
                  <c:v>34.998800000000003</c:v>
                </c:pt>
                <c:pt idx="4024">
                  <c:v>33.399700000000003</c:v>
                </c:pt>
                <c:pt idx="4025">
                  <c:v>33.647300000000001</c:v>
                </c:pt>
                <c:pt idx="4026">
                  <c:v>27.459499999999998</c:v>
                </c:pt>
                <c:pt idx="4027">
                  <c:v>28.1388</c:v>
                </c:pt>
                <c:pt idx="4028">
                  <c:v>29.411300000000001</c:v>
                </c:pt>
                <c:pt idx="4029">
                  <c:v>28.8781</c:v>
                </c:pt>
                <c:pt idx="4030">
                  <c:v>28.601400000000002</c:v>
                </c:pt>
                <c:pt idx="4031">
                  <c:v>27.927700000000002</c:v>
                </c:pt>
                <c:pt idx="4032">
                  <c:v>28.479199999999999</c:v>
                </c:pt>
                <c:pt idx="4033">
                  <c:v>27.796500000000002</c:v>
                </c:pt>
                <c:pt idx="4034">
                  <c:v>28.415800000000001</c:v>
                </c:pt>
                <c:pt idx="4035">
                  <c:v>28.740500000000001</c:v>
                </c:pt>
                <c:pt idx="4036">
                  <c:v>28.088799999999999</c:v>
                </c:pt>
                <c:pt idx="4037">
                  <c:v>28.200199999999999</c:v>
                </c:pt>
                <c:pt idx="4038">
                  <c:v>27.24</c:v>
                </c:pt>
                <c:pt idx="4039">
                  <c:v>26.204499999999999</c:v>
                </c:pt>
                <c:pt idx="4040">
                  <c:v>26.319700000000001</c:v>
                </c:pt>
                <c:pt idx="4041">
                  <c:v>26.059000000000001</c:v>
                </c:pt>
                <c:pt idx="4042">
                  <c:v>26.382100000000001</c:v>
                </c:pt>
                <c:pt idx="4043">
                  <c:v>25.946899999999999</c:v>
                </c:pt>
                <c:pt idx="4044">
                  <c:v>25.369299999999999</c:v>
                </c:pt>
                <c:pt idx="4045">
                  <c:v>25.2484</c:v>
                </c:pt>
                <c:pt idx="4046">
                  <c:v>24.1403</c:v>
                </c:pt>
                <c:pt idx="4047">
                  <c:v>23.343</c:v>
                </c:pt>
                <c:pt idx="4048">
                  <c:v>24.0288</c:v>
                </c:pt>
                <c:pt idx="4049">
                  <c:v>24.394100000000002</c:v>
                </c:pt>
                <c:pt idx="4050">
                  <c:v>25.1737</c:v>
                </c:pt>
                <c:pt idx="4051">
                  <c:v>25.6724</c:v>
                </c:pt>
                <c:pt idx="4052">
                  <c:v>25.748200000000001</c:v>
                </c:pt>
                <c:pt idx="4053">
                  <c:v>26.2974</c:v>
                </c:pt>
                <c:pt idx="4054">
                  <c:v>27.110299999999999</c:v>
                </c:pt>
                <c:pt idx="4055">
                  <c:v>26.7638</c:v>
                </c:pt>
                <c:pt idx="4056">
                  <c:v>26.404299999999999</c:v>
                </c:pt>
                <c:pt idx="4057">
                  <c:v>26.5961</c:v>
                </c:pt>
                <c:pt idx="4058">
                  <c:v>26.659199999999998</c:v>
                </c:pt>
                <c:pt idx="4059">
                  <c:v>27.472100000000001</c:v>
                </c:pt>
                <c:pt idx="4060">
                  <c:v>27.344000000000001</c:v>
                </c:pt>
                <c:pt idx="4061">
                  <c:v>27.565799999999999</c:v>
                </c:pt>
                <c:pt idx="4062">
                  <c:v>26.348199999999999</c:v>
                </c:pt>
                <c:pt idx="4063">
                  <c:v>26.777899999999999</c:v>
                </c:pt>
                <c:pt idx="4064">
                  <c:v>26.6875</c:v>
                </c:pt>
                <c:pt idx="4065">
                  <c:v>26.713899999999999</c:v>
                </c:pt>
                <c:pt idx="4066">
                  <c:v>26.414100000000001</c:v>
                </c:pt>
                <c:pt idx="4067">
                  <c:v>25.231400000000001</c:v>
                </c:pt>
                <c:pt idx="4068">
                  <c:v>25.2577</c:v>
                </c:pt>
                <c:pt idx="4069">
                  <c:v>25.335599999999999</c:v>
                </c:pt>
                <c:pt idx="4070">
                  <c:v>25.017499999999998</c:v>
                </c:pt>
                <c:pt idx="4071">
                  <c:v>25.978300000000001</c:v>
                </c:pt>
                <c:pt idx="4072">
                  <c:v>25.875800000000002</c:v>
                </c:pt>
                <c:pt idx="4073">
                  <c:v>27.101600000000001</c:v>
                </c:pt>
                <c:pt idx="4074">
                  <c:v>26.540099999999999</c:v>
                </c:pt>
                <c:pt idx="4075">
                  <c:v>26.998899999999999</c:v>
                </c:pt>
                <c:pt idx="4076">
                  <c:v>27.685700000000001</c:v>
                </c:pt>
                <c:pt idx="4077">
                  <c:v>27.815799999999999</c:v>
                </c:pt>
                <c:pt idx="4078">
                  <c:v>27.608699999999999</c:v>
                </c:pt>
                <c:pt idx="4079">
                  <c:v>28.689800000000002</c:v>
                </c:pt>
                <c:pt idx="4080">
                  <c:v>29.116900000000001</c:v>
                </c:pt>
                <c:pt idx="4081">
                  <c:v>28.7408</c:v>
                </c:pt>
                <c:pt idx="4082">
                  <c:v>27.9956</c:v>
                </c:pt>
                <c:pt idx="4083">
                  <c:v>29.8216</c:v>
                </c:pt>
                <c:pt idx="4084">
                  <c:v>29.358000000000001</c:v>
                </c:pt>
                <c:pt idx="4085">
                  <c:v>29.0928</c:v>
                </c:pt>
                <c:pt idx="4086">
                  <c:v>29.4391</c:v>
                </c:pt>
                <c:pt idx="4087">
                  <c:v>29.412299999999998</c:v>
                </c:pt>
                <c:pt idx="4088">
                  <c:v>29.639900000000001</c:v>
                </c:pt>
                <c:pt idx="4089">
                  <c:v>28.745100000000001</c:v>
                </c:pt>
                <c:pt idx="4090">
                  <c:v>27.6934</c:v>
                </c:pt>
                <c:pt idx="4091">
                  <c:v>27.209</c:v>
                </c:pt>
                <c:pt idx="4092">
                  <c:v>26.912600000000001</c:v>
                </c:pt>
                <c:pt idx="4093">
                  <c:v>27.665600000000001</c:v>
                </c:pt>
                <c:pt idx="4094">
                  <c:v>27.669</c:v>
                </c:pt>
                <c:pt idx="4095">
                  <c:v>27.7958</c:v>
                </c:pt>
                <c:pt idx="4096">
                  <c:v>27.547999999999998</c:v>
                </c:pt>
                <c:pt idx="4097">
                  <c:v>27.2044</c:v>
                </c:pt>
                <c:pt idx="4098">
                  <c:v>26.859400000000001</c:v>
                </c:pt>
                <c:pt idx="4099">
                  <c:v>26.3553</c:v>
                </c:pt>
                <c:pt idx="4100">
                  <c:v>26.087299999999999</c:v>
                </c:pt>
                <c:pt idx="4101">
                  <c:v>25.8734</c:v>
                </c:pt>
                <c:pt idx="4102">
                  <c:v>26.190999999999999</c:v>
                </c:pt>
                <c:pt idx="4103">
                  <c:v>25.657599999999999</c:v>
                </c:pt>
                <c:pt idx="4104">
                  <c:v>24.9038</c:v>
                </c:pt>
                <c:pt idx="4105">
                  <c:v>25.357500000000002</c:v>
                </c:pt>
                <c:pt idx="4106">
                  <c:v>25.373000000000001</c:v>
                </c:pt>
                <c:pt idx="4107">
                  <c:v>25.384799999999998</c:v>
                </c:pt>
                <c:pt idx="4108">
                  <c:v>25.844200000000001</c:v>
                </c:pt>
                <c:pt idx="4109">
                  <c:v>26.0975</c:v>
                </c:pt>
                <c:pt idx="4110">
                  <c:v>25.991700000000002</c:v>
                </c:pt>
                <c:pt idx="4111">
                  <c:v>25.826899999999998</c:v>
                </c:pt>
                <c:pt idx="4112">
                  <c:v>25.941400000000002</c:v>
                </c:pt>
                <c:pt idx="4113">
                  <c:v>26.594899999999999</c:v>
                </c:pt>
                <c:pt idx="4114">
                  <c:v>26.754000000000001</c:v>
                </c:pt>
                <c:pt idx="4115">
                  <c:v>26.272600000000001</c:v>
                </c:pt>
                <c:pt idx="4116">
                  <c:v>25.2319</c:v>
                </c:pt>
                <c:pt idx="4117">
                  <c:v>25.627700000000001</c:v>
                </c:pt>
                <c:pt idx="4118">
                  <c:v>25.418500000000002</c:v>
                </c:pt>
                <c:pt idx="4119">
                  <c:v>25.785900000000002</c:v>
                </c:pt>
                <c:pt idx="4120">
                  <c:v>25.638500000000001</c:v>
                </c:pt>
                <c:pt idx="4121">
                  <c:v>25.275700000000001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6-4AC7-B614-A9C75AF86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102816"/>
        <c:axId val="714096696"/>
      </c:scatterChart>
      <c:valAx>
        <c:axId val="71410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96696"/>
        <c:crosses val="autoZero"/>
        <c:crossBetween val="midCat"/>
      </c:valAx>
      <c:valAx>
        <c:axId val="71409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1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Sheet3!$B$3:$B$8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Sheet3!$C$3:$C$8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B-4214-8EB6-8A079D1D0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09704"/>
        <c:axId val="463907544"/>
      </c:scatterChart>
      <c:valAx>
        <c:axId val="463909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07544"/>
        <c:crosses val="autoZero"/>
        <c:crossBetween val="midCat"/>
      </c:valAx>
      <c:valAx>
        <c:axId val="46390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09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355600</xdr:colOff>
      <xdr:row>0</xdr:row>
      <xdr:rowOff>0</xdr:rowOff>
    </xdr:from>
    <xdr:to>
      <xdr:col>27</xdr:col>
      <xdr:colOff>450850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115B0-197F-0EF3-1DE6-17BDDED37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355600</xdr:colOff>
      <xdr:row>0</xdr:row>
      <xdr:rowOff>0</xdr:rowOff>
    </xdr:from>
    <xdr:to>
      <xdr:col>27</xdr:col>
      <xdr:colOff>450850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DC635-E06E-4A63-B4D5-15FDA280E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1</xdr:row>
      <xdr:rowOff>146050</xdr:rowOff>
    </xdr:from>
    <xdr:to>
      <xdr:col>30</xdr:col>
      <xdr:colOff>393700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84ACC-D07F-81C1-4CC7-F00C4A72C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365124</xdr:colOff>
      <xdr:row>4</xdr:row>
      <xdr:rowOff>114300</xdr:rowOff>
    </xdr:from>
    <xdr:to>
      <xdr:col>14</xdr:col>
      <xdr:colOff>482599</xdr:colOff>
      <xdr:row>21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FDC7A-0A59-F794-747E-F0BF81CD2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251D-0208-42A2-9E16-C8D9148E6F1B}">
  <dimension ref="A1:E4123"/>
  <sheetViews>
    <sheetView workbookViewId="0">
      <selection activeCell="D1" sqref="D1:E1048576"/>
    </sheetView>
  </sheetViews>
  <sheetFormatPr defaultRowHeight="14.5" x14ac:dyDescent="0.35"/>
  <cols>
    <col min="1" max="1" width="12.1796875" customWidth="1"/>
    <col min="2" max="2" width="14.08984375" customWidth="1"/>
    <col min="3" max="3" width="10.1796875" customWidth="1"/>
    <col min="4" max="4" width="10.54296875" customWidth="1"/>
    <col min="5" max="5" width="10.1796875" customWidth="1"/>
  </cols>
  <sheetData>
    <row r="1" spans="1:5" x14ac:dyDescent="0.35">
      <c r="A1" t="str">
        <f>"date"</f>
        <v>date</v>
      </c>
      <c r="C1" t="str">
        <f>"value"</f>
        <v>value</v>
      </c>
      <c r="D1" t="str">
        <f>"date"</f>
        <v>date</v>
      </c>
      <c r="E1" t="str">
        <f>"value"</f>
        <v>value</v>
      </c>
    </row>
    <row r="2" spans="1:5" x14ac:dyDescent="0.35">
      <c r="A2" t="str">
        <f>"2010-01-04"</f>
        <v>2010-01-04</v>
      </c>
      <c r="B2" s="1" t="str">
        <f>LEFT(RIGHT(A2,5),2)&amp;"/"&amp;RIGHT(A2,2)&amp;"/"&amp;LEFT(A2,4)</f>
        <v>01/04/2010</v>
      </c>
      <c r="C2">
        <v>68.8703</v>
      </c>
      <c r="D2" s="1">
        <v>40182</v>
      </c>
      <c r="E2">
        <v>68.8703</v>
      </c>
    </row>
    <row r="3" spans="1:5" x14ac:dyDescent="0.35">
      <c r="A3" t="str">
        <f>"2010-01-05"</f>
        <v>2010-01-05</v>
      </c>
      <c r="B3" s="1" t="str">
        <f t="shared" ref="B3:B66" si="0">LEFT(RIGHT(A3,5),2)&amp;"/"&amp;RIGHT(A3,2)&amp;"/"&amp;LEFT(A3,4)</f>
        <v>01/05/2010</v>
      </c>
      <c r="C3" t="str">
        <f>"68.8644"</f>
        <v>68.8644</v>
      </c>
      <c r="D3" s="1">
        <v>40183</v>
      </c>
      <c r="E3">
        <v>68.864400000000003</v>
      </c>
    </row>
    <row r="4" spans="1:5" x14ac:dyDescent="0.35">
      <c r="A4" t="str">
        <f>"2010-01-06"</f>
        <v>2010-01-06</v>
      </c>
      <c r="B4" s="1" t="str">
        <f t="shared" si="0"/>
        <v>01/06/2010</v>
      </c>
      <c r="C4" t="str">
        <f>"67.2552"</f>
        <v>67.2552</v>
      </c>
      <c r="D4" s="1">
        <v>40184</v>
      </c>
      <c r="E4">
        <v>67.255200000000002</v>
      </c>
    </row>
    <row r="5" spans="1:5" x14ac:dyDescent="0.35">
      <c r="A5" t="str">
        <f>"2010-01-07"</f>
        <v>2010-01-07</v>
      </c>
      <c r="B5" s="1" t="str">
        <f t="shared" si="0"/>
        <v>01/07/2010</v>
      </c>
      <c r="C5" t="str">
        <f>"66.2341"</f>
        <v>66.2341</v>
      </c>
      <c r="D5" s="1">
        <v>40185</v>
      </c>
      <c r="E5">
        <v>66.234099999999998</v>
      </c>
    </row>
    <row r="6" spans="1:5" x14ac:dyDescent="0.35">
      <c r="A6" t="str">
        <f>"2010-01-08"</f>
        <v>2010-01-08</v>
      </c>
      <c r="B6" s="1" t="str">
        <f t="shared" si="0"/>
        <v>01/08/2010</v>
      </c>
      <c r="C6" t="str">
        <f>"65.3595"</f>
        <v>65.3595</v>
      </c>
      <c r="D6" s="1">
        <v>40186</v>
      </c>
      <c r="E6">
        <v>65.359499999999997</v>
      </c>
    </row>
    <row r="7" spans="1:5" x14ac:dyDescent="0.35">
      <c r="A7" t="str">
        <f>"2010-01-11"</f>
        <v>2010-01-11</v>
      </c>
      <c r="B7" s="1" t="str">
        <f t="shared" si="0"/>
        <v>01/11/2010</v>
      </c>
      <c r="C7" t="str">
        <f>"64.9972"</f>
        <v>64.9972</v>
      </c>
      <c r="D7" s="1">
        <v>40189</v>
      </c>
      <c r="E7" t="s">
        <v>4115</v>
      </c>
    </row>
    <row r="8" spans="1:5" x14ac:dyDescent="0.35">
      <c r="A8" t="str">
        <f>"2010-01-12"</f>
        <v>2010-01-12</v>
      </c>
      <c r="B8" s="1" t="str">
        <f t="shared" si="0"/>
        <v>01/12/2010</v>
      </c>
      <c r="C8" t="str">
        <f>"64.9001"</f>
        <v>64.9001</v>
      </c>
      <c r="D8" s="1">
        <v>40190</v>
      </c>
      <c r="E8" t="s">
        <v>4116</v>
      </c>
    </row>
    <row r="9" spans="1:5" x14ac:dyDescent="0.35">
      <c r="A9" t="str">
        <f>"2010-01-13"</f>
        <v>2010-01-13</v>
      </c>
      <c r="B9" s="1" t="str">
        <f t="shared" si="0"/>
        <v>01/13/2010</v>
      </c>
      <c r="C9" t="str">
        <f>"66.9471"</f>
        <v>66.9471</v>
      </c>
      <c r="D9" s="1" t="s">
        <v>0</v>
      </c>
      <c r="E9" t="s">
        <v>4117</v>
      </c>
    </row>
    <row r="10" spans="1:5" x14ac:dyDescent="0.35">
      <c r="A10" t="str">
        <f>"2010-01-14"</f>
        <v>2010-01-14</v>
      </c>
      <c r="B10" s="1" t="str">
        <f t="shared" si="0"/>
        <v>01/14/2010</v>
      </c>
      <c r="C10" t="str">
        <f>"67.6191"</f>
        <v>67.6191</v>
      </c>
      <c r="D10" s="1" t="s">
        <v>1</v>
      </c>
      <c r="E10" t="s">
        <v>4118</v>
      </c>
    </row>
    <row r="11" spans="1:5" x14ac:dyDescent="0.35">
      <c r="A11" t="str">
        <f>"2010-01-15"</f>
        <v>2010-01-15</v>
      </c>
      <c r="B11" s="1" t="str">
        <f t="shared" si="0"/>
        <v>01/15/2010</v>
      </c>
      <c r="C11" t="str">
        <f>"67.1169"</f>
        <v>67.1169</v>
      </c>
      <c r="D11" s="1" t="s">
        <v>2</v>
      </c>
      <c r="E11" t="s">
        <v>4119</v>
      </c>
    </row>
    <row r="12" spans="1:5" x14ac:dyDescent="0.35">
      <c r="A12" t="str">
        <f>"2010-01-19"</f>
        <v>2010-01-19</v>
      </c>
      <c r="B12" s="1" t="str">
        <f t="shared" si="0"/>
        <v>01/19/2010</v>
      </c>
      <c r="C12" t="str">
        <f>"66.5744"</f>
        <v>66.5744</v>
      </c>
      <c r="D12" s="1" t="s">
        <v>3</v>
      </c>
      <c r="E12" t="s">
        <v>4120</v>
      </c>
    </row>
    <row r="13" spans="1:5" x14ac:dyDescent="0.35">
      <c r="A13" t="str">
        <f>"2010-01-20"</f>
        <v>2010-01-20</v>
      </c>
      <c r="B13" s="1" t="str">
        <f t="shared" si="0"/>
        <v>01/20/2010</v>
      </c>
      <c r="C13" t="str">
        <f>"67.4314"</f>
        <v>67.4314</v>
      </c>
      <c r="D13" s="1" t="s">
        <v>4</v>
      </c>
      <c r="E13" t="s">
        <v>4121</v>
      </c>
    </row>
    <row r="14" spans="1:5" x14ac:dyDescent="0.35">
      <c r="A14" t="str">
        <f>"2010-01-21"</f>
        <v>2010-01-21</v>
      </c>
      <c r="B14" s="1" t="str">
        <f t="shared" si="0"/>
        <v>01/21/2010</v>
      </c>
      <c r="C14" t="str">
        <f>"66.1969"</f>
        <v>66.1969</v>
      </c>
      <c r="D14" s="1" t="s">
        <v>5</v>
      </c>
      <c r="E14" t="s">
        <v>4122</v>
      </c>
    </row>
    <row r="15" spans="1:5" x14ac:dyDescent="0.35">
      <c r="A15" t="str">
        <f>"2010-01-22"</f>
        <v>2010-01-22</v>
      </c>
      <c r="B15" s="1" t="str">
        <f t="shared" si="0"/>
        <v>01/22/2010</v>
      </c>
      <c r="C15" t="str">
        <f>"65.6839"</f>
        <v>65.6839</v>
      </c>
      <c r="D15" s="1" t="s">
        <v>6</v>
      </c>
      <c r="E15" t="s">
        <v>4123</v>
      </c>
    </row>
    <row r="16" spans="1:5" x14ac:dyDescent="0.35">
      <c r="A16" t="str">
        <f>"2010-01-25"</f>
        <v>2010-01-25</v>
      </c>
      <c r="B16" s="1" t="str">
        <f t="shared" si="0"/>
        <v>01/25/2010</v>
      </c>
      <c r="C16" t="str">
        <f>"65.4296"</f>
        <v>65.4296</v>
      </c>
      <c r="D16" s="1" t="s">
        <v>7</v>
      </c>
      <c r="E16" t="s">
        <v>4124</v>
      </c>
    </row>
    <row r="17" spans="1:5" x14ac:dyDescent="0.35">
      <c r="A17" t="str">
        <f>"2010-01-26"</f>
        <v>2010-01-26</v>
      </c>
      <c r="B17" s="1" t="str">
        <f t="shared" si="0"/>
        <v>01/26/2010</v>
      </c>
      <c r="C17" t="str">
        <f>"66.8971"</f>
        <v>66.8971</v>
      </c>
      <c r="D17" s="1" t="s">
        <v>8</v>
      </c>
      <c r="E17" t="s">
        <v>4125</v>
      </c>
    </row>
    <row r="18" spans="1:5" x14ac:dyDescent="0.35">
      <c r="A18" t="str">
        <f>"2010-01-27"</f>
        <v>2010-01-27</v>
      </c>
      <c r="B18" s="1" t="str">
        <f t="shared" si="0"/>
        <v>01/27/2010</v>
      </c>
      <c r="C18" t="str">
        <f>"66.7436"</f>
        <v>66.7436</v>
      </c>
      <c r="D18" s="1" t="s">
        <v>9</v>
      </c>
      <c r="E18" t="s">
        <v>4126</v>
      </c>
    </row>
    <row r="19" spans="1:5" x14ac:dyDescent="0.35">
      <c r="A19" t="str">
        <f>"2010-01-28"</f>
        <v>2010-01-28</v>
      </c>
      <c r="B19" s="1" t="str">
        <f t="shared" si="0"/>
        <v>01/28/2010</v>
      </c>
      <c r="C19" t="str">
        <f>"66.8687"</f>
        <v>66.8687</v>
      </c>
      <c r="D19" s="1" t="s">
        <v>10</v>
      </c>
      <c r="E19" t="s">
        <v>4127</v>
      </c>
    </row>
    <row r="20" spans="1:5" x14ac:dyDescent="0.35">
      <c r="A20" t="str">
        <f>"2010-01-29"</f>
        <v>2010-01-29</v>
      </c>
      <c r="B20" s="1" t="str">
        <f t="shared" si="0"/>
        <v>01/29/2010</v>
      </c>
      <c r="C20" t="str">
        <f>"66.3285"</f>
        <v>66.3285</v>
      </c>
      <c r="D20" s="1" t="s">
        <v>11</v>
      </c>
      <c r="E20" t="s">
        <v>4128</v>
      </c>
    </row>
    <row r="21" spans="1:5" x14ac:dyDescent="0.35">
      <c r="A21" t="str">
        <f>"2010-02-01"</f>
        <v>2010-02-01</v>
      </c>
      <c r="B21" s="1" t="str">
        <f t="shared" si="0"/>
        <v>02/01/2010</v>
      </c>
      <c r="C21" t="str">
        <f>"67.4663"</f>
        <v>67.4663</v>
      </c>
      <c r="D21" s="1" t="s">
        <v>12</v>
      </c>
      <c r="E21" t="s">
        <v>4129</v>
      </c>
    </row>
    <row r="22" spans="1:5" x14ac:dyDescent="0.35">
      <c r="A22" t="str">
        <f>"2010-02-02"</f>
        <v>2010-02-02</v>
      </c>
      <c r="B22" s="1" t="str">
        <f t="shared" si="0"/>
        <v>02/02/2010</v>
      </c>
      <c r="C22" t="str">
        <f>"65.2953"</f>
        <v>65.2953</v>
      </c>
      <c r="D22" s="1" t="s">
        <v>13</v>
      </c>
      <c r="E22" t="s">
        <v>4130</v>
      </c>
    </row>
    <row r="23" spans="1:5" x14ac:dyDescent="0.35">
      <c r="A23" t="str">
        <f>"2010-02-03"</f>
        <v>2010-02-03</v>
      </c>
      <c r="B23" s="1" t="str">
        <f t="shared" si="0"/>
        <v>02/03/2010</v>
      </c>
      <c r="C23" t="str">
        <f>"66.0092"</f>
        <v>66.0092</v>
      </c>
      <c r="D23" s="1" t="s">
        <v>14</v>
      </c>
      <c r="E23" t="s">
        <v>4131</v>
      </c>
    </row>
    <row r="24" spans="1:5" x14ac:dyDescent="0.35">
      <c r="A24" t="str">
        <f>"2010-02-04"</f>
        <v>2010-02-04</v>
      </c>
      <c r="B24" s="1" t="str">
        <f t="shared" si="0"/>
        <v>02/04/2010</v>
      </c>
      <c r="C24" t="str">
        <f>"67.737"</f>
        <v>67.737</v>
      </c>
      <c r="D24" s="1" t="s">
        <v>15</v>
      </c>
      <c r="E24" t="s">
        <v>4132</v>
      </c>
    </row>
    <row r="25" spans="1:5" x14ac:dyDescent="0.35">
      <c r="A25" t="str">
        <f>"2010-02-05"</f>
        <v>2010-02-05</v>
      </c>
      <c r="B25" s="1" t="str">
        <f t="shared" si="0"/>
        <v>02/05/2010</v>
      </c>
      <c r="C25" t="str">
        <f>"64.4087"</f>
        <v>64.4087</v>
      </c>
      <c r="D25" s="1" t="s">
        <v>16</v>
      </c>
      <c r="E25" t="s">
        <v>4133</v>
      </c>
    </row>
    <row r="26" spans="1:5" x14ac:dyDescent="0.35">
      <c r="A26" t="str">
        <f>"2010-02-08"</f>
        <v>2010-02-08</v>
      </c>
      <c r="B26" s="1" t="str">
        <f t="shared" si="0"/>
        <v>02/08/2010</v>
      </c>
      <c r="C26" t="str">
        <f>"60.7834"</f>
        <v>60.7834</v>
      </c>
      <c r="D26" s="1" t="s">
        <v>17</v>
      </c>
      <c r="E26" t="s">
        <v>4134</v>
      </c>
    </row>
    <row r="27" spans="1:5" x14ac:dyDescent="0.35">
      <c r="A27" t="str">
        <f>"2010-02-09"</f>
        <v>2010-02-09</v>
      </c>
      <c r="B27" s="1" t="str">
        <f t="shared" si="0"/>
        <v>02/09/2010</v>
      </c>
      <c r="C27" t="str">
        <f>"61.9846"</f>
        <v>61.9846</v>
      </c>
      <c r="D27" s="1" t="s">
        <v>18</v>
      </c>
      <c r="E27" t="s">
        <v>4135</v>
      </c>
    </row>
    <row r="28" spans="1:5" x14ac:dyDescent="0.35">
      <c r="A28" t="str">
        <f>"2010-02-10"</f>
        <v>2010-02-10</v>
      </c>
      <c r="B28" s="1" t="str">
        <f t="shared" si="0"/>
        <v>02/10/2010</v>
      </c>
      <c r="C28" t="str">
        <f>"61.7008"</f>
        <v>61.7008</v>
      </c>
      <c r="D28" s="1" t="s">
        <v>19</v>
      </c>
      <c r="E28" t="s">
        <v>4136</v>
      </c>
    </row>
    <row r="29" spans="1:5" x14ac:dyDescent="0.35">
      <c r="A29" t="str">
        <f>"2010-02-11"</f>
        <v>2010-02-11</v>
      </c>
      <c r="B29" s="1" t="str">
        <f t="shared" si="0"/>
        <v>02/11/2010</v>
      </c>
      <c r="C29" t="str">
        <f>"62.0246"</f>
        <v>62.0246</v>
      </c>
      <c r="D29" s="1" t="s">
        <v>20</v>
      </c>
      <c r="E29" t="s">
        <v>4137</v>
      </c>
    </row>
    <row r="30" spans="1:5" x14ac:dyDescent="0.35">
      <c r="A30" t="str">
        <f>"2010-02-12"</f>
        <v>2010-02-12</v>
      </c>
      <c r="B30" s="1" t="str">
        <f t="shared" si="0"/>
        <v>02/12/2010</v>
      </c>
      <c r="C30" t="str">
        <f>"60.9651"</f>
        <v>60.9651</v>
      </c>
      <c r="D30" s="1" t="s">
        <v>21</v>
      </c>
      <c r="E30" t="s">
        <v>4138</v>
      </c>
    </row>
    <row r="31" spans="1:5" x14ac:dyDescent="0.35">
      <c r="A31" t="str">
        <f>"2010-02-16"</f>
        <v>2010-02-16</v>
      </c>
      <c r="B31" s="1" t="str">
        <f t="shared" si="0"/>
        <v>02/16/2010</v>
      </c>
      <c r="C31" t="str">
        <f>"63.2042"</f>
        <v>63.2042</v>
      </c>
      <c r="D31" s="1" t="s">
        <v>22</v>
      </c>
      <c r="E31" t="s">
        <v>4139</v>
      </c>
    </row>
    <row r="32" spans="1:5" x14ac:dyDescent="0.35">
      <c r="A32" t="str">
        <f>"2010-02-17"</f>
        <v>2010-02-17</v>
      </c>
      <c r="B32" s="1" t="str">
        <f t="shared" si="0"/>
        <v>02/17/2010</v>
      </c>
      <c r="C32" t="str">
        <f>"62.9379"</f>
        <v>62.9379</v>
      </c>
      <c r="D32" s="1" t="s">
        <v>23</v>
      </c>
      <c r="E32" t="s">
        <v>4140</v>
      </c>
    </row>
    <row r="33" spans="1:5" x14ac:dyDescent="0.35">
      <c r="A33" t="str">
        <f>"2010-02-18"</f>
        <v>2010-02-18</v>
      </c>
      <c r="B33" s="1" t="str">
        <f t="shared" si="0"/>
        <v>02/18/2010</v>
      </c>
      <c r="C33" t="str">
        <f>"61.2875"</f>
        <v>61.2875</v>
      </c>
      <c r="D33" s="1" t="s">
        <v>24</v>
      </c>
      <c r="E33" t="s">
        <v>4141</v>
      </c>
    </row>
    <row r="34" spans="1:5" x14ac:dyDescent="0.35">
      <c r="A34" t="str">
        <f>"2010-02-19"</f>
        <v>2010-02-19</v>
      </c>
      <c r="B34" s="1" t="str">
        <f t="shared" si="0"/>
        <v>02/19/2010</v>
      </c>
      <c r="C34" t="str">
        <f>"64.009"</f>
        <v>64.009</v>
      </c>
      <c r="D34" s="1" t="s">
        <v>25</v>
      </c>
      <c r="E34" t="s">
        <v>4142</v>
      </c>
    </row>
    <row r="35" spans="1:5" x14ac:dyDescent="0.35">
      <c r="A35" t="str">
        <f>"2010-02-22"</f>
        <v>2010-02-22</v>
      </c>
      <c r="B35" s="1" t="str">
        <f t="shared" si="0"/>
        <v>02/22/2010</v>
      </c>
      <c r="C35" t="str">
        <f>"62.6033"</f>
        <v>62.6033</v>
      </c>
      <c r="D35" s="1" t="s">
        <v>26</v>
      </c>
      <c r="E35" t="s">
        <v>4143</v>
      </c>
    </row>
    <row r="36" spans="1:5" x14ac:dyDescent="0.35">
      <c r="A36" t="str">
        <f>"2010-02-23"</f>
        <v>2010-02-23</v>
      </c>
      <c r="B36" s="1" t="str">
        <f t="shared" si="0"/>
        <v>02/23/2010</v>
      </c>
      <c r="C36" t="str">
        <f>"61.1281"</f>
        <v>61.1281</v>
      </c>
      <c r="D36" s="1" t="s">
        <v>27</v>
      </c>
      <c r="E36" t="s">
        <v>4144</v>
      </c>
    </row>
    <row r="37" spans="1:5" x14ac:dyDescent="0.35">
      <c r="A37" t="str">
        <f>"2010-02-24"</f>
        <v>2010-02-24</v>
      </c>
      <c r="B37" s="1" t="str">
        <f t="shared" si="0"/>
        <v>02/24/2010</v>
      </c>
      <c r="C37" t="str">
        <f>"58.129"</f>
        <v>58.129</v>
      </c>
      <c r="D37" s="1" t="s">
        <v>28</v>
      </c>
      <c r="E37" t="s">
        <v>4145</v>
      </c>
    </row>
    <row r="38" spans="1:5" x14ac:dyDescent="0.35">
      <c r="A38" t="str">
        <f>"2010-02-25"</f>
        <v>2010-02-25</v>
      </c>
      <c r="B38" s="1" t="str">
        <f t="shared" si="0"/>
        <v>02/25/2010</v>
      </c>
      <c r="C38" t="str">
        <f>"55.2561"</f>
        <v>55.2561</v>
      </c>
      <c r="D38" s="1" t="s">
        <v>29</v>
      </c>
      <c r="E38" t="s">
        <v>4146</v>
      </c>
    </row>
    <row r="39" spans="1:5" x14ac:dyDescent="0.35">
      <c r="A39" t="str">
        <f>"2010-02-26"</f>
        <v>2010-02-26</v>
      </c>
      <c r="B39" s="1" t="str">
        <f t="shared" si="0"/>
        <v>02/26/2010</v>
      </c>
      <c r="C39" t="str">
        <f>"55.2005"</f>
        <v>55.2005</v>
      </c>
      <c r="D39" s="1" t="s">
        <v>30</v>
      </c>
      <c r="E39" t="s">
        <v>4147</v>
      </c>
    </row>
    <row r="40" spans="1:5" x14ac:dyDescent="0.35">
      <c r="A40" t="str">
        <f>"2010-03-01"</f>
        <v>2010-03-01</v>
      </c>
      <c r="B40" s="1" t="str">
        <f t="shared" si="0"/>
        <v>03/01/2010</v>
      </c>
      <c r="C40" t="str">
        <f>"58.1302"</f>
        <v>58.1302</v>
      </c>
      <c r="D40" s="1" t="s">
        <v>31</v>
      </c>
      <c r="E40" t="s">
        <v>4148</v>
      </c>
    </row>
    <row r="41" spans="1:5" x14ac:dyDescent="0.35">
      <c r="A41" t="str">
        <f>"2010-03-02"</f>
        <v>2010-03-02</v>
      </c>
      <c r="B41" s="1" t="str">
        <f t="shared" si="0"/>
        <v>03/02/2010</v>
      </c>
      <c r="C41" t="str">
        <f>"58.2385"</f>
        <v>58.2385</v>
      </c>
      <c r="D41" s="1" t="s">
        <v>32</v>
      </c>
      <c r="E41" t="s">
        <v>4149</v>
      </c>
    </row>
    <row r="42" spans="1:5" x14ac:dyDescent="0.35">
      <c r="A42" t="str">
        <f>"2010-03-03"</f>
        <v>2010-03-03</v>
      </c>
      <c r="B42" s="1" t="str">
        <f t="shared" si="0"/>
        <v>03/03/2010</v>
      </c>
      <c r="C42" t="str">
        <f>"58.3912"</f>
        <v>58.3912</v>
      </c>
      <c r="D42" s="1" t="s">
        <v>33</v>
      </c>
      <c r="E42" t="s">
        <v>4150</v>
      </c>
    </row>
    <row r="43" spans="1:5" x14ac:dyDescent="0.35">
      <c r="A43" t="str">
        <f>"2010-03-04"</f>
        <v>2010-03-04</v>
      </c>
      <c r="B43" s="1" t="str">
        <f t="shared" si="0"/>
        <v>03/04/2010</v>
      </c>
      <c r="C43" t="str">
        <f>"58.9453"</f>
        <v>58.9453</v>
      </c>
      <c r="D43" s="1" t="s">
        <v>34</v>
      </c>
      <c r="E43" t="s">
        <v>4151</v>
      </c>
    </row>
    <row r="44" spans="1:5" x14ac:dyDescent="0.35">
      <c r="A44" t="str">
        <f>"2010-03-05"</f>
        <v>2010-03-05</v>
      </c>
      <c r="B44" s="1" t="str">
        <f t="shared" si="0"/>
        <v>03/05/2010</v>
      </c>
      <c r="C44" t="str">
        <f>"60.5016"</f>
        <v>60.5016</v>
      </c>
      <c r="D44" s="1" t="s">
        <v>35</v>
      </c>
      <c r="E44" t="s">
        <v>4152</v>
      </c>
    </row>
    <row r="45" spans="1:5" x14ac:dyDescent="0.35">
      <c r="A45" t="str">
        <f>"2010-03-08"</f>
        <v>2010-03-08</v>
      </c>
      <c r="B45" s="1" t="str">
        <f t="shared" si="0"/>
        <v>03/08/2010</v>
      </c>
      <c r="C45" t="str">
        <f>"61.9176"</f>
        <v>61.9176</v>
      </c>
      <c r="D45" s="1" t="s">
        <v>36</v>
      </c>
      <c r="E45" t="s">
        <v>4153</v>
      </c>
    </row>
    <row r="46" spans="1:5" x14ac:dyDescent="0.35">
      <c r="A46" t="str">
        <f>"2010-03-09"</f>
        <v>2010-03-09</v>
      </c>
      <c r="B46" s="1" t="str">
        <f t="shared" si="0"/>
        <v>03/09/2010</v>
      </c>
      <c r="C46" t="str">
        <f>"61.3476"</f>
        <v>61.3476</v>
      </c>
      <c r="D46" s="1" t="s">
        <v>37</v>
      </c>
      <c r="E46" t="s">
        <v>4154</v>
      </c>
    </row>
    <row r="47" spans="1:5" x14ac:dyDescent="0.35">
      <c r="A47" t="str">
        <f>"2010-03-10"</f>
        <v>2010-03-10</v>
      </c>
      <c r="B47" s="1" t="str">
        <f t="shared" si="0"/>
        <v>03/10/2010</v>
      </c>
      <c r="C47" t="str">
        <f>"61.5934"</f>
        <v>61.5934</v>
      </c>
      <c r="D47" s="1" t="s">
        <v>38</v>
      </c>
      <c r="E47" t="s">
        <v>4155</v>
      </c>
    </row>
    <row r="48" spans="1:5" x14ac:dyDescent="0.35">
      <c r="A48" t="str">
        <f>"2010-03-11"</f>
        <v>2010-03-11</v>
      </c>
      <c r="B48" s="1" t="str">
        <f t="shared" si="0"/>
        <v>03/11/2010</v>
      </c>
      <c r="C48" t="str">
        <f>"61.6145"</f>
        <v>61.6145</v>
      </c>
      <c r="D48" s="1" t="s">
        <v>39</v>
      </c>
      <c r="E48" t="s">
        <v>4156</v>
      </c>
    </row>
    <row r="49" spans="1:5" x14ac:dyDescent="0.35">
      <c r="A49" t="str">
        <f>"2010-03-12"</f>
        <v>2010-03-12</v>
      </c>
      <c r="B49" s="1" t="str">
        <f t="shared" si="0"/>
        <v>03/12/2010</v>
      </c>
      <c r="C49" t="str">
        <f>"62.7266"</f>
        <v>62.7266</v>
      </c>
      <c r="D49" s="1" t="s">
        <v>40</v>
      </c>
      <c r="E49" t="s">
        <v>4157</v>
      </c>
    </row>
    <row r="50" spans="1:5" x14ac:dyDescent="0.35">
      <c r="A50" t="str">
        <f>"2010-03-15"</f>
        <v>2010-03-15</v>
      </c>
      <c r="B50" s="1" t="str">
        <f t="shared" si="0"/>
        <v>03/15/2010</v>
      </c>
      <c r="C50" t="str">
        <f>"61.3818"</f>
        <v>61.3818</v>
      </c>
      <c r="D50" s="1" t="s">
        <v>41</v>
      </c>
      <c r="E50" t="s">
        <v>4158</v>
      </c>
    </row>
    <row r="51" spans="1:5" x14ac:dyDescent="0.35">
      <c r="A51" t="str">
        <f>"2010-03-16"</f>
        <v>2010-03-16</v>
      </c>
      <c r="B51" s="1" t="str">
        <f t="shared" si="0"/>
        <v>03/16/2010</v>
      </c>
      <c r="C51" t="str">
        <f>"61.267"</f>
        <v>61.267</v>
      </c>
      <c r="D51" s="1" t="s">
        <v>42</v>
      </c>
      <c r="E51" t="s">
        <v>4159</v>
      </c>
    </row>
    <row r="52" spans="1:5" x14ac:dyDescent="0.35">
      <c r="A52" t="str">
        <f>"2010-03-17"</f>
        <v>2010-03-17</v>
      </c>
      <c r="B52" s="1" t="str">
        <f t="shared" si="0"/>
        <v>03/17/2010</v>
      </c>
      <c r="C52" t="str">
        <f>"62.1219"</f>
        <v>62.1219</v>
      </c>
      <c r="D52" s="1" t="s">
        <v>43</v>
      </c>
      <c r="E52" t="s">
        <v>4160</v>
      </c>
    </row>
    <row r="53" spans="1:5" x14ac:dyDescent="0.35">
      <c r="A53" t="str">
        <f>"2010-03-18"</f>
        <v>2010-03-18</v>
      </c>
      <c r="B53" s="1" t="str">
        <f t="shared" si="0"/>
        <v>03/18/2010</v>
      </c>
      <c r="C53" t="str">
        <f>"60.1874"</f>
        <v>60.1874</v>
      </c>
      <c r="D53" s="1" t="s">
        <v>44</v>
      </c>
      <c r="E53" t="s">
        <v>4161</v>
      </c>
    </row>
    <row r="54" spans="1:5" x14ac:dyDescent="0.35">
      <c r="A54" t="str">
        <f>"2010-03-19"</f>
        <v>2010-03-19</v>
      </c>
      <c r="B54" s="1" t="str">
        <f t="shared" si="0"/>
        <v>03/19/2010</v>
      </c>
      <c r="C54" t="str">
        <f>"60.931"</f>
        <v>60.931</v>
      </c>
      <c r="D54" s="1" t="s">
        <v>45</v>
      </c>
      <c r="E54" t="s">
        <v>4162</v>
      </c>
    </row>
    <row r="55" spans="1:5" x14ac:dyDescent="0.35">
      <c r="A55" t="str">
        <f>"2010-03-22"</f>
        <v>2010-03-22</v>
      </c>
      <c r="B55" s="1" t="str">
        <f t="shared" si="0"/>
        <v>03/22/2010</v>
      </c>
      <c r="C55" t="str">
        <f>"60.7083"</f>
        <v>60.7083</v>
      </c>
      <c r="D55" s="1" t="s">
        <v>46</v>
      </c>
      <c r="E55" t="s">
        <v>4163</v>
      </c>
    </row>
    <row r="56" spans="1:5" x14ac:dyDescent="0.35">
      <c r="A56" t="str">
        <f>"2010-03-23"</f>
        <v>2010-03-23</v>
      </c>
      <c r="B56" s="1" t="str">
        <f t="shared" si="0"/>
        <v>03/23/2010</v>
      </c>
      <c r="C56" t="str">
        <f>"59.8802"</f>
        <v>59.8802</v>
      </c>
      <c r="D56" s="1" t="s">
        <v>47</v>
      </c>
      <c r="E56" t="s">
        <v>4164</v>
      </c>
    </row>
    <row r="57" spans="1:5" x14ac:dyDescent="0.35">
      <c r="A57" t="str">
        <f>"2010-03-24"</f>
        <v>2010-03-24</v>
      </c>
      <c r="B57" s="1" t="str">
        <f t="shared" si="0"/>
        <v>03/24/2010</v>
      </c>
      <c r="C57" t="str">
        <f>"60.1829"</f>
        <v>60.1829</v>
      </c>
      <c r="D57" s="1" t="s">
        <v>48</v>
      </c>
      <c r="E57" t="s">
        <v>4165</v>
      </c>
    </row>
    <row r="58" spans="1:5" x14ac:dyDescent="0.35">
      <c r="A58" t="str">
        <f>"2010-03-25"</f>
        <v>2010-03-25</v>
      </c>
      <c r="B58" s="1" t="str">
        <f t="shared" si="0"/>
        <v>03/25/2010</v>
      </c>
      <c r="C58" t="str">
        <f>"61.9953"</f>
        <v>61.9953</v>
      </c>
      <c r="D58" s="1" t="s">
        <v>49</v>
      </c>
      <c r="E58" t="s">
        <v>4166</v>
      </c>
    </row>
    <row r="59" spans="1:5" x14ac:dyDescent="0.35">
      <c r="A59" t="str">
        <f>"2010-03-26"</f>
        <v>2010-03-26</v>
      </c>
      <c r="B59" s="1" t="str">
        <f t="shared" si="0"/>
        <v>03/26/2010</v>
      </c>
      <c r="C59" t="str">
        <f>"59.9241"</f>
        <v>59.9241</v>
      </c>
      <c r="D59" s="1" t="s">
        <v>50</v>
      </c>
      <c r="E59" t="s">
        <v>4167</v>
      </c>
    </row>
    <row r="60" spans="1:5" x14ac:dyDescent="0.35">
      <c r="A60" t="str">
        <f>"2010-03-29"</f>
        <v>2010-03-29</v>
      </c>
      <c r="B60" s="1" t="str">
        <f t="shared" si="0"/>
        <v>03/29/2010</v>
      </c>
      <c r="C60" t="str">
        <f>"60.4808"</f>
        <v>60.4808</v>
      </c>
      <c r="D60" s="1" t="s">
        <v>51</v>
      </c>
      <c r="E60" t="s">
        <v>4168</v>
      </c>
    </row>
    <row r="61" spans="1:5" x14ac:dyDescent="0.35">
      <c r="A61" t="str">
        <f>"2010-03-30"</f>
        <v>2010-03-30</v>
      </c>
      <c r="B61" s="1" t="str">
        <f t="shared" si="0"/>
        <v>03/30/2010</v>
      </c>
      <c r="C61" t="str">
        <f>"60.7586"</f>
        <v>60.7586</v>
      </c>
      <c r="D61" s="1" t="s">
        <v>52</v>
      </c>
      <c r="E61" t="s">
        <v>4169</v>
      </c>
    </row>
    <row r="62" spans="1:5" x14ac:dyDescent="0.35">
      <c r="A62" t="str">
        <f>"2010-03-31"</f>
        <v>2010-03-31</v>
      </c>
      <c r="B62" s="1" t="str">
        <f t="shared" si="0"/>
        <v>03/31/2010</v>
      </c>
      <c r="C62" t="str">
        <f>"60.7755"</f>
        <v>60.7755</v>
      </c>
      <c r="D62" s="1" t="s">
        <v>53</v>
      </c>
      <c r="E62" t="s">
        <v>4170</v>
      </c>
    </row>
    <row r="63" spans="1:5" x14ac:dyDescent="0.35">
      <c r="A63" t="str">
        <f>"2010-04-01"</f>
        <v>2010-04-01</v>
      </c>
      <c r="B63" s="1" t="str">
        <f t="shared" si="0"/>
        <v>04/01/2010</v>
      </c>
      <c r="C63" t="str">
        <f>"60.1817"</f>
        <v>60.1817</v>
      </c>
      <c r="D63" s="1" t="s">
        <v>54</v>
      </c>
      <c r="E63" t="s">
        <v>4171</v>
      </c>
    </row>
    <row r="64" spans="1:5" x14ac:dyDescent="0.35">
      <c r="A64" t="str">
        <f>"2010-04-05"</f>
        <v>2010-04-05</v>
      </c>
      <c r="B64" s="1" t="str">
        <f t="shared" si="0"/>
        <v>04/05/2010</v>
      </c>
      <c r="C64" t="str">
        <f>"61.8344"</f>
        <v>61.8344</v>
      </c>
      <c r="D64" s="1" t="s">
        <v>55</v>
      </c>
      <c r="E64" t="s">
        <v>4172</v>
      </c>
    </row>
    <row r="65" spans="1:5" x14ac:dyDescent="0.35">
      <c r="A65" t="str">
        <f>"2010-04-06"</f>
        <v>2010-04-06</v>
      </c>
      <c r="B65" s="1" t="str">
        <f t="shared" si="0"/>
        <v>04/06/2010</v>
      </c>
      <c r="C65" t="str">
        <f>"60.6658"</f>
        <v>60.6658</v>
      </c>
      <c r="D65" s="1" t="s">
        <v>56</v>
      </c>
      <c r="E65" t="s">
        <v>4173</v>
      </c>
    </row>
    <row r="66" spans="1:5" x14ac:dyDescent="0.35">
      <c r="A66" t="str">
        <f>"2010-04-07"</f>
        <v>2010-04-07</v>
      </c>
      <c r="B66" s="1" t="str">
        <f t="shared" si="0"/>
        <v>04/07/2010</v>
      </c>
      <c r="C66" t="str">
        <f>"58.8372"</f>
        <v>58.8372</v>
      </c>
      <c r="D66" s="1" t="s">
        <v>57</v>
      </c>
      <c r="E66" t="s">
        <v>4174</v>
      </c>
    </row>
    <row r="67" spans="1:5" x14ac:dyDescent="0.35">
      <c r="A67" t="str">
        <f>"2010-04-08"</f>
        <v>2010-04-08</v>
      </c>
      <c r="B67" s="1" t="str">
        <f t="shared" ref="B67:B130" si="1">LEFT(RIGHT(A67,5),2)&amp;"/"&amp;RIGHT(A67,2)&amp;"/"&amp;LEFT(A67,4)</f>
        <v>04/08/2010</v>
      </c>
      <c r="C67" t="str">
        <f>"57.8426"</f>
        <v>57.8426</v>
      </c>
      <c r="D67" s="1" t="s">
        <v>58</v>
      </c>
      <c r="E67" t="s">
        <v>4175</v>
      </c>
    </row>
    <row r="68" spans="1:5" x14ac:dyDescent="0.35">
      <c r="A68" t="str">
        <f>"2010-04-09"</f>
        <v>2010-04-09</v>
      </c>
      <c r="B68" s="1" t="str">
        <f t="shared" si="1"/>
        <v>04/09/2010</v>
      </c>
      <c r="C68" t="str">
        <f>"57.6616"</f>
        <v>57.6616</v>
      </c>
      <c r="D68" s="1" t="s">
        <v>59</v>
      </c>
      <c r="E68" t="s">
        <v>4176</v>
      </c>
    </row>
    <row r="69" spans="1:5" x14ac:dyDescent="0.35">
      <c r="A69" t="str">
        <f>"2010-04-12"</f>
        <v>2010-04-12</v>
      </c>
      <c r="B69" s="1" t="str">
        <f t="shared" si="1"/>
        <v>04/12/2010</v>
      </c>
      <c r="C69" t="str">
        <f>"56.5411"</f>
        <v>56.5411</v>
      </c>
      <c r="D69" s="1" t="s">
        <v>60</v>
      </c>
      <c r="E69" t="s">
        <v>4177</v>
      </c>
    </row>
    <row r="70" spans="1:5" x14ac:dyDescent="0.35">
      <c r="A70" t="str">
        <f>"2010-04-13"</f>
        <v>2010-04-13</v>
      </c>
      <c r="B70" s="1" t="str">
        <f t="shared" si="1"/>
        <v>04/13/2010</v>
      </c>
      <c r="C70" t="str">
        <f>"57.1339"</f>
        <v>57.1339</v>
      </c>
      <c r="D70" s="1" t="s">
        <v>61</v>
      </c>
      <c r="E70" t="s">
        <v>4178</v>
      </c>
    </row>
    <row r="71" spans="1:5" x14ac:dyDescent="0.35">
      <c r="A71" t="str">
        <f>"2010-04-14"</f>
        <v>2010-04-14</v>
      </c>
      <c r="B71" s="1" t="str">
        <f t="shared" si="1"/>
        <v>04/14/2010</v>
      </c>
      <c r="C71" t="str">
        <f>"57.2484"</f>
        <v>57.2484</v>
      </c>
      <c r="D71" s="1" t="s">
        <v>62</v>
      </c>
      <c r="E71" t="s">
        <v>4179</v>
      </c>
    </row>
    <row r="72" spans="1:5" x14ac:dyDescent="0.35">
      <c r="A72" t="str">
        <f>"2010-04-15"</f>
        <v>2010-04-15</v>
      </c>
      <c r="B72" s="1" t="str">
        <f t="shared" si="1"/>
        <v>04/15/2010</v>
      </c>
      <c r="C72" t="str">
        <f>"58.3431"</f>
        <v>58.3431</v>
      </c>
      <c r="D72" s="1" t="s">
        <v>63</v>
      </c>
      <c r="E72" t="s">
        <v>4180</v>
      </c>
    </row>
    <row r="73" spans="1:5" x14ac:dyDescent="0.35">
      <c r="A73" t="str">
        <f>"2010-04-16"</f>
        <v>2010-04-16</v>
      </c>
      <c r="B73" s="1" t="str">
        <f t="shared" si="1"/>
        <v>04/16/2010</v>
      </c>
      <c r="C73" t="str">
        <f>"59.7606"</f>
        <v>59.7606</v>
      </c>
      <c r="D73" s="1" t="s">
        <v>64</v>
      </c>
      <c r="E73" t="s">
        <v>4181</v>
      </c>
    </row>
    <row r="74" spans="1:5" x14ac:dyDescent="0.35">
      <c r="A74" t="str">
        <f>"2010-04-19"</f>
        <v>2010-04-19</v>
      </c>
      <c r="B74" s="1" t="str">
        <f t="shared" si="1"/>
        <v>04/19/2010</v>
      </c>
      <c r="C74" t="str">
        <f>"58.5245"</f>
        <v>58.5245</v>
      </c>
      <c r="D74" s="1" t="s">
        <v>65</v>
      </c>
      <c r="E74" t="s">
        <v>4182</v>
      </c>
    </row>
    <row r="75" spans="1:5" x14ac:dyDescent="0.35">
      <c r="A75" t="str">
        <f>"2010-04-20"</f>
        <v>2010-04-20</v>
      </c>
      <c r="B75" s="1" t="str">
        <f t="shared" si="1"/>
        <v>04/20/2010</v>
      </c>
      <c r="C75" t="str">
        <f>"57.7026"</f>
        <v>57.7026</v>
      </c>
      <c r="D75" s="1" t="s">
        <v>66</v>
      </c>
      <c r="E75" t="s">
        <v>4183</v>
      </c>
    </row>
    <row r="76" spans="1:5" x14ac:dyDescent="0.35">
      <c r="A76" t="str">
        <f>"2010-04-21"</f>
        <v>2010-04-21</v>
      </c>
      <c r="B76" s="1" t="str">
        <f t="shared" si="1"/>
        <v>04/21/2010</v>
      </c>
      <c r="C76" t="str">
        <f>"57.2897"</f>
        <v>57.2897</v>
      </c>
      <c r="D76" s="1" t="s">
        <v>67</v>
      </c>
      <c r="E76" t="s">
        <v>4184</v>
      </c>
    </row>
    <row r="77" spans="1:5" x14ac:dyDescent="0.35">
      <c r="A77" t="str">
        <f>"2010-04-22"</f>
        <v>2010-04-22</v>
      </c>
      <c r="B77" s="1" t="str">
        <f t="shared" si="1"/>
        <v>04/22/2010</v>
      </c>
      <c r="C77" t="str">
        <f>"57.3763"</f>
        <v>57.3763</v>
      </c>
      <c r="D77" s="1" t="s">
        <v>68</v>
      </c>
      <c r="E77" t="s">
        <v>4185</v>
      </c>
    </row>
    <row r="78" spans="1:5" x14ac:dyDescent="0.35">
      <c r="A78" t="str">
        <f>"2010-04-23"</f>
        <v>2010-04-23</v>
      </c>
      <c r="B78" s="1" t="str">
        <f t="shared" si="1"/>
        <v>04/23/2010</v>
      </c>
      <c r="C78" t="str">
        <f>"56.8268"</f>
        <v>56.8268</v>
      </c>
      <c r="D78" s="1" t="s">
        <v>69</v>
      </c>
      <c r="E78" t="s">
        <v>4186</v>
      </c>
    </row>
    <row r="79" spans="1:5" x14ac:dyDescent="0.35">
      <c r="A79" t="str">
        <f>"2010-04-26"</f>
        <v>2010-04-26</v>
      </c>
      <c r="B79" s="1" t="str">
        <f t="shared" si="1"/>
        <v>04/26/2010</v>
      </c>
      <c r="C79" t="str">
        <f>"57.5996"</f>
        <v>57.5996</v>
      </c>
      <c r="D79" s="1" t="s">
        <v>70</v>
      </c>
      <c r="E79" t="s">
        <v>4187</v>
      </c>
    </row>
    <row r="80" spans="1:5" x14ac:dyDescent="0.35">
      <c r="A80" t="str">
        <f>"2010-04-27"</f>
        <v>2010-04-27</v>
      </c>
      <c r="B80" s="1" t="str">
        <f t="shared" si="1"/>
        <v>04/27/2010</v>
      </c>
      <c r="C80" t="str">
        <f>"55.5766"</f>
        <v>55.5766</v>
      </c>
      <c r="D80" s="1" t="s">
        <v>71</v>
      </c>
      <c r="E80" t="s">
        <v>4188</v>
      </c>
    </row>
    <row r="81" spans="1:5" x14ac:dyDescent="0.35">
      <c r="A81" t="str">
        <f>"2010-04-28"</f>
        <v>2010-04-28</v>
      </c>
      <c r="B81" s="1" t="str">
        <f t="shared" si="1"/>
        <v>04/28/2010</v>
      </c>
      <c r="C81" t="str">
        <f>"55.6079"</f>
        <v>55.6079</v>
      </c>
      <c r="D81" s="1" t="s">
        <v>72</v>
      </c>
      <c r="E81" t="s">
        <v>4189</v>
      </c>
    </row>
    <row r="82" spans="1:5" x14ac:dyDescent="0.35">
      <c r="A82" t="str">
        <f>"2010-04-29"</f>
        <v>2010-04-29</v>
      </c>
      <c r="B82" s="1" t="str">
        <f t="shared" si="1"/>
        <v>04/29/2010</v>
      </c>
      <c r="C82" t="str">
        <f>"56.0637"</f>
        <v>56.0637</v>
      </c>
      <c r="D82" s="1" t="s">
        <v>73</v>
      </c>
      <c r="E82" t="s">
        <v>4190</v>
      </c>
    </row>
    <row r="83" spans="1:5" x14ac:dyDescent="0.35">
      <c r="A83" t="str">
        <f>"2010-04-30"</f>
        <v>2010-04-30</v>
      </c>
      <c r="B83" s="1" t="str">
        <f t="shared" si="1"/>
        <v>04/30/2010</v>
      </c>
      <c r="C83" t="str">
        <f>"55.2542"</f>
        <v>55.2542</v>
      </c>
      <c r="D83" s="1" t="s">
        <v>74</v>
      </c>
      <c r="E83" t="s">
        <v>4191</v>
      </c>
    </row>
    <row r="84" spans="1:5" x14ac:dyDescent="0.35">
      <c r="A84" t="str">
        <f>"2010-05-03"</f>
        <v>2010-05-03</v>
      </c>
      <c r="B84" s="1" t="str">
        <f t="shared" si="1"/>
        <v>05/03/2010</v>
      </c>
      <c r="C84" t="str">
        <f>"54.6184"</f>
        <v>54.6184</v>
      </c>
      <c r="D84" s="1" t="s">
        <v>75</v>
      </c>
      <c r="E84" t="s">
        <v>4192</v>
      </c>
    </row>
    <row r="85" spans="1:5" x14ac:dyDescent="0.35">
      <c r="A85" t="str">
        <f>"2010-05-04"</f>
        <v>2010-05-04</v>
      </c>
      <c r="B85" s="1" t="str">
        <f t="shared" si="1"/>
        <v>05/04/2010</v>
      </c>
      <c r="C85" t="str">
        <f>"53.728"</f>
        <v>53.728</v>
      </c>
      <c r="D85" s="1" t="s">
        <v>76</v>
      </c>
      <c r="E85" t="s">
        <v>4193</v>
      </c>
    </row>
    <row r="86" spans="1:5" x14ac:dyDescent="0.35">
      <c r="A86" t="str">
        <f>"2010-05-05"</f>
        <v>2010-05-05</v>
      </c>
      <c r="B86" s="1" t="str">
        <f t="shared" si="1"/>
        <v>05/05/2010</v>
      </c>
      <c r="C86" t="str">
        <f>"51.8444"</f>
        <v>51.8444</v>
      </c>
      <c r="D86" s="1" t="s">
        <v>77</v>
      </c>
      <c r="E86" t="s">
        <v>4194</v>
      </c>
    </row>
    <row r="87" spans="1:5" x14ac:dyDescent="0.35">
      <c r="A87" t="str">
        <f>"2010-05-06"</f>
        <v>2010-05-06</v>
      </c>
      <c r="B87" s="1" t="str">
        <f t="shared" si="1"/>
        <v>05/06/2010</v>
      </c>
      <c r="C87" t="str">
        <f>"47.8901"</f>
        <v>47.8901</v>
      </c>
      <c r="D87" s="1" t="s">
        <v>78</v>
      </c>
      <c r="E87" t="s">
        <v>4195</v>
      </c>
    </row>
    <row r="88" spans="1:5" x14ac:dyDescent="0.35">
      <c r="A88" t="str">
        <f>"2010-05-07"</f>
        <v>2010-05-07</v>
      </c>
      <c r="B88" s="1" t="str">
        <f t="shared" si="1"/>
        <v>05/07/2010</v>
      </c>
      <c r="C88" t="str">
        <f>"45.2985"</f>
        <v>45.2985</v>
      </c>
      <c r="D88" s="1" t="s">
        <v>79</v>
      </c>
      <c r="E88" t="s">
        <v>4196</v>
      </c>
    </row>
    <row r="89" spans="1:5" x14ac:dyDescent="0.35">
      <c r="A89" t="str">
        <f>"2010-05-10"</f>
        <v>2010-05-10</v>
      </c>
      <c r="B89" s="1" t="str">
        <f t="shared" si="1"/>
        <v>05/10/2010</v>
      </c>
      <c r="C89" t="str">
        <f>"49.9855"</f>
        <v>49.9855</v>
      </c>
      <c r="D89" s="1" t="s">
        <v>80</v>
      </c>
      <c r="E89" t="s">
        <v>4197</v>
      </c>
    </row>
    <row r="90" spans="1:5" x14ac:dyDescent="0.35">
      <c r="A90" t="str">
        <f>"2010-05-11"</f>
        <v>2010-05-11</v>
      </c>
      <c r="B90" s="1" t="str">
        <f t="shared" si="1"/>
        <v>05/11/2010</v>
      </c>
      <c r="C90" t="str">
        <f>"49.5916"</f>
        <v>49.5916</v>
      </c>
      <c r="D90" s="1" t="s">
        <v>81</v>
      </c>
      <c r="E90" t="s">
        <v>4198</v>
      </c>
    </row>
    <row r="91" spans="1:5" x14ac:dyDescent="0.35">
      <c r="A91" t="str">
        <f>"2010-05-12"</f>
        <v>2010-05-12</v>
      </c>
      <c r="B91" s="1" t="str">
        <f t="shared" si="1"/>
        <v>05/12/2010</v>
      </c>
      <c r="C91" t="str">
        <f>"50.6465"</f>
        <v>50.6465</v>
      </c>
      <c r="D91" s="1" t="s">
        <v>82</v>
      </c>
      <c r="E91" t="s">
        <v>4199</v>
      </c>
    </row>
    <row r="92" spans="1:5" x14ac:dyDescent="0.35">
      <c r="A92" t="str">
        <f>"2010-05-13"</f>
        <v>2010-05-13</v>
      </c>
      <c r="B92" s="1" t="str">
        <f t="shared" si="1"/>
        <v>05/13/2010</v>
      </c>
      <c r="C92" t="str">
        <f>"50.4193"</f>
        <v>50.4193</v>
      </c>
      <c r="D92" s="1" t="s">
        <v>83</v>
      </c>
      <c r="E92" t="s">
        <v>4200</v>
      </c>
    </row>
    <row r="93" spans="1:5" x14ac:dyDescent="0.35">
      <c r="A93" t="str">
        <f>"2010-05-14"</f>
        <v>2010-05-14</v>
      </c>
      <c r="B93" s="1" t="str">
        <f t="shared" si="1"/>
        <v>05/14/2010</v>
      </c>
      <c r="C93" t="str">
        <f>"48.3313"</f>
        <v>48.3313</v>
      </c>
      <c r="D93" s="1" t="s">
        <v>84</v>
      </c>
      <c r="E93" t="s">
        <v>4201</v>
      </c>
    </row>
    <row r="94" spans="1:5" x14ac:dyDescent="0.35">
      <c r="A94" t="str">
        <f>"2010-05-17"</f>
        <v>2010-05-17</v>
      </c>
      <c r="B94" s="1" t="str">
        <f t="shared" si="1"/>
        <v>05/17/2010</v>
      </c>
      <c r="C94" t="str">
        <f>"46.6775"</f>
        <v>46.6775</v>
      </c>
      <c r="D94" s="1" t="s">
        <v>85</v>
      </c>
      <c r="E94" t="s">
        <v>4202</v>
      </c>
    </row>
    <row r="95" spans="1:5" x14ac:dyDescent="0.35">
      <c r="A95" t="str">
        <f>"2010-05-18"</f>
        <v>2010-05-18</v>
      </c>
      <c r="B95" s="1" t="str">
        <f t="shared" si="1"/>
        <v>05/18/2010</v>
      </c>
      <c r="C95" t="str">
        <f>"45.5629"</f>
        <v>45.5629</v>
      </c>
      <c r="D95" s="1" t="s">
        <v>86</v>
      </c>
      <c r="E95" t="s">
        <v>4203</v>
      </c>
    </row>
    <row r="96" spans="1:5" x14ac:dyDescent="0.35">
      <c r="A96" t="str">
        <f>"2010-05-19"</f>
        <v>2010-05-19</v>
      </c>
      <c r="B96" s="1" t="str">
        <f t="shared" si="1"/>
        <v>05/19/2010</v>
      </c>
      <c r="C96" t="str">
        <f>"46.216"</f>
        <v>46.216</v>
      </c>
      <c r="D96" s="1" t="s">
        <v>87</v>
      </c>
      <c r="E96" t="s">
        <v>4204</v>
      </c>
    </row>
    <row r="97" spans="1:5" x14ac:dyDescent="0.35">
      <c r="A97" t="str">
        <f>"2010-05-20"</f>
        <v>2010-05-20</v>
      </c>
      <c r="B97" s="1" t="str">
        <f t="shared" si="1"/>
        <v>05/20/2010</v>
      </c>
      <c r="C97" t="str">
        <f>"43.2725"</f>
        <v>43.2725</v>
      </c>
      <c r="D97" s="1" t="s">
        <v>88</v>
      </c>
      <c r="E97" t="s">
        <v>4205</v>
      </c>
    </row>
    <row r="98" spans="1:5" x14ac:dyDescent="0.35">
      <c r="A98" t="str">
        <f>"2010-05-21"</f>
        <v>2010-05-21</v>
      </c>
      <c r="B98" s="1" t="str">
        <f t="shared" si="1"/>
        <v>05/21/2010</v>
      </c>
      <c r="C98" t="str">
        <f>"43.2248"</f>
        <v>43.2248</v>
      </c>
      <c r="D98" s="1" t="s">
        <v>89</v>
      </c>
      <c r="E98" t="s">
        <v>4206</v>
      </c>
    </row>
    <row r="99" spans="1:5" x14ac:dyDescent="0.35">
      <c r="A99" t="str">
        <f>"2010-05-24"</f>
        <v>2010-05-24</v>
      </c>
      <c r="B99" s="1" t="str">
        <f t="shared" si="1"/>
        <v>05/24/2010</v>
      </c>
      <c r="C99" t="str">
        <f>"43.6263"</f>
        <v>43.6263</v>
      </c>
      <c r="D99" s="1" t="s">
        <v>90</v>
      </c>
      <c r="E99" t="s">
        <v>4207</v>
      </c>
    </row>
    <row r="100" spans="1:5" x14ac:dyDescent="0.35">
      <c r="A100" t="str">
        <f>"2010-05-25"</f>
        <v>2010-05-25</v>
      </c>
      <c r="B100" s="1" t="str">
        <f t="shared" si="1"/>
        <v>05/25/2010</v>
      </c>
      <c r="C100" t="str">
        <f>"42.1327"</f>
        <v>42.1327</v>
      </c>
      <c r="D100" s="1" t="s">
        <v>91</v>
      </c>
      <c r="E100" t="s">
        <v>4208</v>
      </c>
    </row>
    <row r="101" spans="1:5" x14ac:dyDescent="0.35">
      <c r="A101" t="str">
        <f>"2010-05-26"</f>
        <v>2010-05-26</v>
      </c>
      <c r="B101" s="1" t="str">
        <f t="shared" si="1"/>
        <v>05/26/2010</v>
      </c>
      <c r="C101" t="str">
        <f>"43.0563"</f>
        <v>43.0563</v>
      </c>
      <c r="D101" s="1" t="s">
        <v>92</v>
      </c>
      <c r="E101" t="s">
        <v>4209</v>
      </c>
    </row>
    <row r="102" spans="1:5" x14ac:dyDescent="0.35">
      <c r="A102" t="str">
        <f>"2010-05-27"</f>
        <v>2010-05-27</v>
      </c>
      <c r="B102" s="1" t="str">
        <f t="shared" si="1"/>
        <v>05/27/2010</v>
      </c>
      <c r="C102" t="str">
        <f>"44.9344"</f>
        <v>44.9344</v>
      </c>
      <c r="D102" s="1" t="s">
        <v>93</v>
      </c>
      <c r="E102" t="s">
        <v>4210</v>
      </c>
    </row>
    <row r="103" spans="1:5" x14ac:dyDescent="0.35">
      <c r="A103" t="str">
        <f>"2010-05-28"</f>
        <v>2010-05-28</v>
      </c>
      <c r="B103" s="1" t="str">
        <f t="shared" si="1"/>
        <v>05/28/2010</v>
      </c>
      <c r="C103" t="str">
        <f>"45.7302"</f>
        <v>45.7302</v>
      </c>
      <c r="D103" s="1" t="s">
        <v>94</v>
      </c>
      <c r="E103" t="s">
        <v>4211</v>
      </c>
    </row>
    <row r="104" spans="1:5" x14ac:dyDescent="0.35">
      <c r="A104" t="str">
        <f>"2010-06-01"</f>
        <v>2010-06-01</v>
      </c>
      <c r="B104" s="1" t="str">
        <f t="shared" si="1"/>
        <v>06/01/2010</v>
      </c>
      <c r="C104" t="str">
        <f>"44.3804"</f>
        <v>44.3804</v>
      </c>
      <c r="D104" s="1" t="s">
        <v>95</v>
      </c>
      <c r="E104" t="s">
        <v>4212</v>
      </c>
    </row>
    <row r="105" spans="1:5" x14ac:dyDescent="0.35">
      <c r="A105" t="str">
        <f>"2010-06-02"</f>
        <v>2010-06-02</v>
      </c>
      <c r="B105" s="1" t="str">
        <f t="shared" si="1"/>
        <v>06/02/2010</v>
      </c>
      <c r="C105" t="str">
        <f>"45.0728"</f>
        <v>45.0728</v>
      </c>
      <c r="D105" s="1" t="s">
        <v>96</v>
      </c>
      <c r="E105" t="s">
        <v>4213</v>
      </c>
    </row>
    <row r="106" spans="1:5" x14ac:dyDescent="0.35">
      <c r="A106" t="str">
        <f>"2010-06-03"</f>
        <v>2010-06-03</v>
      </c>
      <c r="B106" s="1" t="str">
        <f t="shared" si="1"/>
        <v>06/03/2010</v>
      </c>
      <c r="C106" t="str">
        <f>"46.5608"</f>
        <v>46.5608</v>
      </c>
      <c r="D106" s="1" t="s">
        <v>97</v>
      </c>
      <c r="E106" t="s">
        <v>4214</v>
      </c>
    </row>
    <row r="107" spans="1:5" x14ac:dyDescent="0.35">
      <c r="A107" t="str">
        <f>"2010-06-04"</f>
        <v>2010-06-04</v>
      </c>
      <c r="B107" s="1" t="str">
        <f t="shared" si="1"/>
        <v>06/04/2010</v>
      </c>
      <c r="C107" t="str">
        <f>"43.3905"</f>
        <v>43.3905</v>
      </c>
      <c r="D107" s="1" t="s">
        <v>98</v>
      </c>
      <c r="E107" t="s">
        <v>4215</v>
      </c>
    </row>
    <row r="108" spans="1:5" x14ac:dyDescent="0.35">
      <c r="A108" t="str">
        <f>"2010-06-07"</f>
        <v>2010-06-07</v>
      </c>
      <c r="B108" s="1" t="str">
        <f t="shared" si="1"/>
        <v>06/07/2010</v>
      </c>
      <c r="C108" t="str">
        <f>"42.4337"</f>
        <v>42.4337</v>
      </c>
      <c r="D108" s="1" t="s">
        <v>99</v>
      </c>
      <c r="E108" t="s">
        <v>4216</v>
      </c>
    </row>
    <row r="109" spans="1:5" x14ac:dyDescent="0.35">
      <c r="A109" t="str">
        <f>"2010-06-08"</f>
        <v>2010-06-08</v>
      </c>
      <c r="B109" s="1" t="str">
        <f t="shared" si="1"/>
        <v>06/08/2010</v>
      </c>
      <c r="C109" t="str">
        <f>"43.5022"</f>
        <v>43.5022</v>
      </c>
      <c r="D109" s="1" t="s">
        <v>100</v>
      </c>
      <c r="E109" t="s">
        <v>4217</v>
      </c>
    </row>
    <row r="110" spans="1:5" x14ac:dyDescent="0.35">
      <c r="A110" t="str">
        <f>"2010-06-09"</f>
        <v>2010-06-09</v>
      </c>
      <c r="B110" s="1" t="str">
        <f t="shared" si="1"/>
        <v>06/09/2010</v>
      </c>
      <c r="C110" t="str">
        <f>"44.6974"</f>
        <v>44.6974</v>
      </c>
      <c r="D110" s="1" t="s">
        <v>101</v>
      </c>
      <c r="E110" t="s">
        <v>4218</v>
      </c>
    </row>
    <row r="111" spans="1:5" x14ac:dyDescent="0.35">
      <c r="A111" t="str">
        <f>"2010-06-10"</f>
        <v>2010-06-10</v>
      </c>
      <c r="B111" s="1" t="str">
        <f t="shared" si="1"/>
        <v>06/10/2010</v>
      </c>
      <c r="C111" t="str">
        <f>"45.6437"</f>
        <v>45.6437</v>
      </c>
      <c r="D111" s="1" t="s">
        <v>102</v>
      </c>
      <c r="E111" t="s">
        <v>4219</v>
      </c>
    </row>
    <row r="112" spans="1:5" x14ac:dyDescent="0.35">
      <c r="A112" t="str">
        <f>"2010-06-11"</f>
        <v>2010-06-11</v>
      </c>
      <c r="B112" s="1" t="str">
        <f t="shared" si="1"/>
        <v>06/11/2010</v>
      </c>
      <c r="C112" t="str">
        <f>"45.4119"</f>
        <v>45.4119</v>
      </c>
      <c r="D112" s="1" t="s">
        <v>103</v>
      </c>
      <c r="E112" t="s">
        <v>4220</v>
      </c>
    </row>
    <row r="113" spans="1:5" x14ac:dyDescent="0.35">
      <c r="A113" t="str">
        <f>"2010-06-14"</f>
        <v>2010-06-14</v>
      </c>
      <c r="B113" s="1" t="str">
        <f t="shared" si="1"/>
        <v>06/14/2010</v>
      </c>
      <c r="C113" t="str">
        <f>"47.5065"</f>
        <v>47.5065</v>
      </c>
      <c r="D113" s="1" t="s">
        <v>104</v>
      </c>
      <c r="E113" t="s">
        <v>4221</v>
      </c>
    </row>
    <row r="114" spans="1:5" x14ac:dyDescent="0.35">
      <c r="A114" t="str">
        <f>"2010-06-15"</f>
        <v>2010-06-15</v>
      </c>
      <c r="B114" s="1" t="str">
        <f t="shared" si="1"/>
        <v>06/15/2010</v>
      </c>
      <c r="C114" t="str">
        <f>"49.2953"</f>
        <v>49.2953</v>
      </c>
      <c r="D114" s="1" t="s">
        <v>105</v>
      </c>
      <c r="E114" t="s">
        <v>4222</v>
      </c>
    </row>
    <row r="115" spans="1:5" x14ac:dyDescent="0.35">
      <c r="A115" t="str">
        <f>"2010-06-16"</f>
        <v>2010-06-16</v>
      </c>
      <c r="B115" s="1" t="str">
        <f t="shared" si="1"/>
        <v>06/16/2010</v>
      </c>
      <c r="C115" t="str">
        <f>"49.1369"</f>
        <v>49.1369</v>
      </c>
      <c r="D115" s="1" t="s">
        <v>106</v>
      </c>
      <c r="E115" t="s">
        <v>4223</v>
      </c>
    </row>
    <row r="116" spans="1:5" x14ac:dyDescent="0.35">
      <c r="A116" t="str">
        <f>"2010-06-17"</f>
        <v>2010-06-17</v>
      </c>
      <c r="B116" s="1" t="str">
        <f t="shared" si="1"/>
        <v>06/17/2010</v>
      </c>
      <c r="C116" t="str">
        <f>"48.8552"</f>
        <v>48.8552</v>
      </c>
      <c r="D116" s="1" t="s">
        <v>107</v>
      </c>
      <c r="E116" t="s">
        <v>4224</v>
      </c>
    </row>
    <row r="117" spans="1:5" x14ac:dyDescent="0.35">
      <c r="A117" t="str">
        <f>"2010-06-18"</f>
        <v>2010-06-18</v>
      </c>
      <c r="B117" s="1" t="str">
        <f t="shared" si="1"/>
        <v>06/18/2010</v>
      </c>
      <c r="C117" t="str">
        <f>"48.4908"</f>
        <v>48.4908</v>
      </c>
      <c r="D117" s="1" t="s">
        <v>108</v>
      </c>
      <c r="E117" t="s">
        <v>4225</v>
      </c>
    </row>
    <row r="118" spans="1:5" x14ac:dyDescent="0.35">
      <c r="A118" t="str">
        <f>"2010-06-21"</f>
        <v>2010-06-21</v>
      </c>
      <c r="B118" s="1" t="str">
        <f t="shared" si="1"/>
        <v>06/21/2010</v>
      </c>
      <c r="C118" t="str">
        <f>"48.8186"</f>
        <v>48.8186</v>
      </c>
      <c r="D118" s="1" t="s">
        <v>109</v>
      </c>
      <c r="E118" t="s">
        <v>4226</v>
      </c>
    </row>
    <row r="119" spans="1:5" x14ac:dyDescent="0.35">
      <c r="A119" t="str">
        <f>"2010-06-22"</f>
        <v>2010-06-22</v>
      </c>
      <c r="B119" s="1" t="str">
        <f t="shared" si="1"/>
        <v>06/22/2010</v>
      </c>
      <c r="C119" t="str">
        <f>"47.3812"</f>
        <v>47.3812</v>
      </c>
      <c r="D119" s="1" t="s">
        <v>110</v>
      </c>
      <c r="E119" t="s">
        <v>4227</v>
      </c>
    </row>
    <row r="120" spans="1:5" x14ac:dyDescent="0.35">
      <c r="A120" t="str">
        <f>"2010-06-23"</f>
        <v>2010-06-23</v>
      </c>
      <c r="B120" s="1" t="str">
        <f t="shared" si="1"/>
        <v>06/23/2010</v>
      </c>
      <c r="C120" t="str">
        <f>"46.3099"</f>
        <v>46.3099</v>
      </c>
      <c r="D120" s="1" t="s">
        <v>111</v>
      </c>
      <c r="E120" t="s">
        <v>4228</v>
      </c>
    </row>
    <row r="121" spans="1:5" x14ac:dyDescent="0.35">
      <c r="A121" t="str">
        <f>"2010-06-24"</f>
        <v>2010-06-24</v>
      </c>
      <c r="B121" s="1" t="str">
        <f t="shared" si="1"/>
        <v>06/24/2010</v>
      </c>
      <c r="C121" t="str">
        <f>"45.7403"</f>
        <v>45.7403</v>
      </c>
      <c r="D121" s="1" t="s">
        <v>112</v>
      </c>
      <c r="E121" t="s">
        <v>4229</v>
      </c>
    </row>
    <row r="122" spans="1:5" x14ac:dyDescent="0.35">
      <c r="A122" t="str">
        <f>"2010-06-25"</f>
        <v>2010-06-25</v>
      </c>
      <c r="B122" s="1" t="str">
        <f t="shared" si="1"/>
        <v>06/25/2010</v>
      </c>
      <c r="C122" t="str">
        <f>"44.9835"</f>
        <v>44.9835</v>
      </c>
      <c r="D122" s="1" t="s">
        <v>113</v>
      </c>
      <c r="E122" t="s">
        <v>4230</v>
      </c>
    </row>
    <row r="123" spans="1:5" x14ac:dyDescent="0.35">
      <c r="A123" t="str">
        <f>"2010-06-28"</f>
        <v>2010-06-28</v>
      </c>
      <c r="B123" s="1" t="str">
        <f t="shared" si="1"/>
        <v>06/28/2010</v>
      </c>
      <c r="C123" t="str">
        <f>"45.8195"</f>
        <v>45.8195</v>
      </c>
      <c r="D123" s="1" t="s">
        <v>114</v>
      </c>
      <c r="E123" t="s">
        <v>4231</v>
      </c>
    </row>
    <row r="124" spans="1:5" x14ac:dyDescent="0.35">
      <c r="A124" t="str">
        <f>"2010-06-29"</f>
        <v>2010-06-29</v>
      </c>
      <c r="B124" s="1" t="str">
        <f t="shared" si="1"/>
        <v>06/29/2010</v>
      </c>
      <c r="C124" t="str">
        <f>"44.7401"</f>
        <v>44.7401</v>
      </c>
      <c r="D124" s="1" t="s">
        <v>115</v>
      </c>
      <c r="E124" t="s">
        <v>4232</v>
      </c>
    </row>
    <row r="125" spans="1:5" x14ac:dyDescent="0.35">
      <c r="A125" t="str">
        <f>"2010-06-30"</f>
        <v>2010-06-30</v>
      </c>
      <c r="B125" s="1" t="str">
        <f t="shared" si="1"/>
        <v>06/30/2010</v>
      </c>
      <c r="C125" t="str">
        <f>"44.8627"</f>
        <v>44.8627</v>
      </c>
      <c r="D125" s="1" t="s">
        <v>116</v>
      </c>
      <c r="E125" t="s">
        <v>4233</v>
      </c>
    </row>
    <row r="126" spans="1:5" x14ac:dyDescent="0.35">
      <c r="A126" t="str">
        <f>"2010-07-01"</f>
        <v>2010-07-01</v>
      </c>
      <c r="B126" s="1" t="str">
        <f t="shared" si="1"/>
        <v>07/01/2010</v>
      </c>
      <c r="C126" t="str">
        <f>"45.9526"</f>
        <v>45.9526</v>
      </c>
      <c r="D126" s="1" t="s">
        <v>117</v>
      </c>
      <c r="E126" t="s">
        <v>4234</v>
      </c>
    </row>
    <row r="127" spans="1:5" x14ac:dyDescent="0.35">
      <c r="A127" t="str">
        <f>"2010-07-02"</f>
        <v>2010-07-02</v>
      </c>
      <c r="B127" s="1" t="str">
        <f t="shared" si="1"/>
        <v>07/02/2010</v>
      </c>
      <c r="C127" t="str">
        <f>"48.7719"</f>
        <v>48.7719</v>
      </c>
      <c r="D127" s="1" t="s">
        <v>118</v>
      </c>
      <c r="E127" t="s">
        <v>4235</v>
      </c>
    </row>
    <row r="128" spans="1:5" x14ac:dyDescent="0.35">
      <c r="A128" t="str">
        <f>"2010-07-06"</f>
        <v>2010-07-06</v>
      </c>
      <c r="B128" s="1" t="str">
        <f t="shared" si="1"/>
        <v>07/06/2010</v>
      </c>
      <c r="C128" t="str">
        <f>"50.5309"</f>
        <v>50.5309</v>
      </c>
      <c r="D128" s="1" t="s">
        <v>119</v>
      </c>
      <c r="E128" t="s">
        <v>4236</v>
      </c>
    </row>
    <row r="129" spans="1:5" x14ac:dyDescent="0.35">
      <c r="A129" t="str">
        <f>"2010-07-07"</f>
        <v>2010-07-07</v>
      </c>
      <c r="B129" s="1" t="str">
        <f t="shared" si="1"/>
        <v>07/07/2010</v>
      </c>
      <c r="C129" t="str">
        <f>"49.9636"</f>
        <v>49.9636</v>
      </c>
      <c r="D129" s="1" t="s">
        <v>120</v>
      </c>
      <c r="E129" t="s">
        <v>4237</v>
      </c>
    </row>
    <row r="130" spans="1:5" x14ac:dyDescent="0.35">
      <c r="A130" t="str">
        <f>"2010-07-08"</f>
        <v>2010-07-08</v>
      </c>
      <c r="B130" s="1" t="str">
        <f t="shared" si="1"/>
        <v>07/08/2010</v>
      </c>
      <c r="C130" t="str">
        <f>"50.9446"</f>
        <v>50.9446</v>
      </c>
      <c r="D130" s="1" t="s">
        <v>121</v>
      </c>
      <c r="E130" t="s">
        <v>4238</v>
      </c>
    </row>
    <row r="131" spans="1:5" x14ac:dyDescent="0.35">
      <c r="A131" t="str">
        <f>"2010-07-09"</f>
        <v>2010-07-09</v>
      </c>
      <c r="B131" s="1" t="str">
        <f t="shared" ref="B131:B194" si="2">LEFT(RIGHT(A131,5),2)&amp;"/"&amp;RIGHT(A131,2)&amp;"/"&amp;LEFT(A131,4)</f>
        <v>07/09/2010</v>
      </c>
      <c r="C131" t="str">
        <f>"49.9705"</f>
        <v>49.9705</v>
      </c>
      <c r="D131" s="1" t="s">
        <v>122</v>
      </c>
      <c r="E131" t="s">
        <v>4239</v>
      </c>
    </row>
    <row r="132" spans="1:5" x14ac:dyDescent="0.35">
      <c r="A132" t="str">
        <f>"2010-07-12"</f>
        <v>2010-07-12</v>
      </c>
      <c r="B132" s="1" t="str">
        <f t="shared" si="2"/>
        <v>07/12/2010</v>
      </c>
      <c r="C132" t="str">
        <f>"50.3651"</f>
        <v>50.3651</v>
      </c>
      <c r="D132" s="1" t="s">
        <v>123</v>
      </c>
      <c r="E132" t="s">
        <v>4240</v>
      </c>
    </row>
    <row r="133" spans="1:5" x14ac:dyDescent="0.35">
      <c r="A133" t="str">
        <f>"2010-07-13"</f>
        <v>2010-07-13</v>
      </c>
      <c r="B133" s="1" t="str">
        <f t="shared" si="2"/>
        <v>07/13/2010</v>
      </c>
      <c r="C133" t="str">
        <f>"50.5874"</f>
        <v>50.5874</v>
      </c>
      <c r="D133" s="1" t="s">
        <v>124</v>
      </c>
      <c r="E133" t="s">
        <v>4241</v>
      </c>
    </row>
    <row r="134" spans="1:5" x14ac:dyDescent="0.35">
      <c r="A134" t="str">
        <f>"2010-07-14"</f>
        <v>2010-07-14</v>
      </c>
      <c r="B134" s="1" t="str">
        <f t="shared" si="2"/>
        <v>07/14/2010</v>
      </c>
      <c r="C134" t="str">
        <f>"51.2549"</f>
        <v>51.2549</v>
      </c>
      <c r="D134" s="1" t="s">
        <v>125</v>
      </c>
      <c r="E134" t="s">
        <v>4242</v>
      </c>
    </row>
    <row r="135" spans="1:5" x14ac:dyDescent="0.35">
      <c r="A135" t="str">
        <f>"2010-07-15"</f>
        <v>2010-07-15</v>
      </c>
      <c r="B135" s="1" t="str">
        <f t="shared" si="2"/>
        <v>07/15/2010</v>
      </c>
      <c r="C135" t="str">
        <f>"52.1516"</f>
        <v>52.1516</v>
      </c>
      <c r="D135" s="1" t="s">
        <v>126</v>
      </c>
      <c r="E135" t="s">
        <v>4243</v>
      </c>
    </row>
    <row r="136" spans="1:5" x14ac:dyDescent="0.35">
      <c r="A136" t="str">
        <f>"2010-07-16"</f>
        <v>2010-07-16</v>
      </c>
      <c r="B136" s="1" t="str">
        <f t="shared" si="2"/>
        <v>07/16/2010</v>
      </c>
      <c r="C136" t="str">
        <f>"53.2548"</f>
        <v>53.2548</v>
      </c>
      <c r="D136" s="1" t="s">
        <v>127</v>
      </c>
      <c r="E136" t="s">
        <v>4244</v>
      </c>
    </row>
    <row r="137" spans="1:5" x14ac:dyDescent="0.35">
      <c r="A137" t="str">
        <f>"2010-07-19"</f>
        <v>2010-07-19</v>
      </c>
      <c r="B137" s="1" t="str">
        <f t="shared" si="2"/>
        <v>07/19/2010</v>
      </c>
      <c r="C137" t="str">
        <f>"54.3636"</f>
        <v>54.3636</v>
      </c>
      <c r="D137" s="1" t="s">
        <v>128</v>
      </c>
      <c r="E137" t="s">
        <v>4245</v>
      </c>
    </row>
    <row r="138" spans="1:5" x14ac:dyDescent="0.35">
      <c r="A138" t="str">
        <f>"2010-07-20"</f>
        <v>2010-07-20</v>
      </c>
      <c r="B138" s="1" t="str">
        <f t="shared" si="2"/>
        <v>07/20/2010</v>
      </c>
      <c r="C138" t="str">
        <f>"55.2319"</f>
        <v>55.2319</v>
      </c>
      <c r="D138" s="1" t="s">
        <v>129</v>
      </c>
      <c r="E138" t="s">
        <v>4246</v>
      </c>
    </row>
    <row r="139" spans="1:5" x14ac:dyDescent="0.35">
      <c r="A139" t="str">
        <f>"2010-07-21"</f>
        <v>2010-07-21</v>
      </c>
      <c r="B139" s="1" t="str">
        <f t="shared" si="2"/>
        <v>07/21/2010</v>
      </c>
      <c r="C139" t="str">
        <f>"55.5806"</f>
        <v>55.5806</v>
      </c>
      <c r="D139" s="1" t="s">
        <v>130</v>
      </c>
      <c r="E139" t="s">
        <v>4247</v>
      </c>
    </row>
    <row r="140" spans="1:5" x14ac:dyDescent="0.35">
      <c r="A140" t="str">
        <f>"2010-07-22"</f>
        <v>2010-07-22</v>
      </c>
      <c r="B140" s="1" t="str">
        <f t="shared" si="2"/>
        <v>07/22/2010</v>
      </c>
      <c r="C140" t="str">
        <f>"55.4317"</f>
        <v>55.4317</v>
      </c>
      <c r="D140" s="1" t="s">
        <v>131</v>
      </c>
      <c r="E140" t="s">
        <v>4248</v>
      </c>
    </row>
    <row r="141" spans="1:5" x14ac:dyDescent="0.35">
      <c r="A141" t="str">
        <f>"2010-07-23"</f>
        <v>2010-07-23</v>
      </c>
      <c r="B141" s="1" t="str">
        <f t="shared" si="2"/>
        <v>07/23/2010</v>
      </c>
      <c r="C141" t="str">
        <f>"55.4359"</f>
        <v>55.4359</v>
      </c>
      <c r="D141" s="1" t="s">
        <v>132</v>
      </c>
      <c r="E141" t="s">
        <v>4249</v>
      </c>
    </row>
    <row r="142" spans="1:5" x14ac:dyDescent="0.35">
      <c r="A142" t="str">
        <f>"2010-07-26"</f>
        <v>2010-07-26</v>
      </c>
      <c r="B142" s="1" t="str">
        <f t="shared" si="2"/>
        <v>07/26/2010</v>
      </c>
      <c r="C142" t="str">
        <f>"55.9359"</f>
        <v>55.9359</v>
      </c>
      <c r="D142" s="1" t="s">
        <v>133</v>
      </c>
      <c r="E142" t="s">
        <v>4250</v>
      </c>
    </row>
    <row r="143" spans="1:5" x14ac:dyDescent="0.35">
      <c r="A143" t="str">
        <f>"2010-07-27"</f>
        <v>2010-07-27</v>
      </c>
      <c r="B143" s="1" t="str">
        <f t="shared" si="2"/>
        <v>07/27/2010</v>
      </c>
      <c r="C143" t="str">
        <f>"58.5699"</f>
        <v>58.5699</v>
      </c>
      <c r="D143" s="1" t="s">
        <v>134</v>
      </c>
      <c r="E143" t="s">
        <v>4251</v>
      </c>
    </row>
    <row r="144" spans="1:5" x14ac:dyDescent="0.35">
      <c r="A144" t="str">
        <f>"2010-07-28"</f>
        <v>2010-07-28</v>
      </c>
      <c r="B144" s="1" t="str">
        <f t="shared" si="2"/>
        <v>07/28/2010</v>
      </c>
      <c r="C144" t="str">
        <f>"57.8533"</f>
        <v>57.8533</v>
      </c>
      <c r="D144" s="1" t="s">
        <v>135</v>
      </c>
      <c r="E144" t="s">
        <v>4252</v>
      </c>
    </row>
    <row r="145" spans="1:5" x14ac:dyDescent="0.35">
      <c r="A145" t="str">
        <f>"2010-07-29"</f>
        <v>2010-07-29</v>
      </c>
      <c r="B145" s="1" t="str">
        <f t="shared" si="2"/>
        <v>07/29/2010</v>
      </c>
      <c r="C145" t="str">
        <f>"56.9766"</f>
        <v>56.9766</v>
      </c>
      <c r="D145" s="1" t="s">
        <v>136</v>
      </c>
      <c r="E145" t="s">
        <v>4253</v>
      </c>
    </row>
    <row r="146" spans="1:5" x14ac:dyDescent="0.35">
      <c r="A146" t="str">
        <f>"2010-07-30"</f>
        <v>2010-07-30</v>
      </c>
      <c r="B146" s="1" t="str">
        <f t="shared" si="2"/>
        <v>07/30/2010</v>
      </c>
      <c r="C146" t="str">
        <f>"55.2625"</f>
        <v>55.2625</v>
      </c>
      <c r="D146" s="1" t="s">
        <v>137</v>
      </c>
      <c r="E146" t="s">
        <v>4254</v>
      </c>
    </row>
    <row r="147" spans="1:5" x14ac:dyDescent="0.35">
      <c r="A147" t="str">
        <f>"2010-08-02"</f>
        <v>2010-08-02</v>
      </c>
      <c r="B147" s="1" t="str">
        <f t="shared" si="2"/>
        <v>08/02/2010</v>
      </c>
      <c r="C147" t="str">
        <f>"55.6379"</f>
        <v>55.6379</v>
      </c>
      <c r="D147" s="1" t="s">
        <v>138</v>
      </c>
      <c r="E147" t="s">
        <v>4255</v>
      </c>
    </row>
    <row r="148" spans="1:5" x14ac:dyDescent="0.35">
      <c r="A148" t="str">
        <f>"2010-08-03"</f>
        <v>2010-08-03</v>
      </c>
      <c r="B148" s="1" t="str">
        <f t="shared" si="2"/>
        <v>08/03/2010</v>
      </c>
      <c r="C148" t="str">
        <f>"56.3594"</f>
        <v>56.3594</v>
      </c>
      <c r="D148" s="1" t="s">
        <v>139</v>
      </c>
      <c r="E148" t="s">
        <v>4256</v>
      </c>
    </row>
    <row r="149" spans="1:5" x14ac:dyDescent="0.35">
      <c r="A149" t="str">
        <f>"2010-08-04"</f>
        <v>2010-08-04</v>
      </c>
      <c r="B149" s="1" t="str">
        <f t="shared" si="2"/>
        <v>08/04/2010</v>
      </c>
      <c r="C149" t="str">
        <f>"55.7049"</f>
        <v>55.7049</v>
      </c>
      <c r="D149" s="1" t="s">
        <v>140</v>
      </c>
      <c r="E149" t="s">
        <v>4257</v>
      </c>
    </row>
    <row r="150" spans="1:5" x14ac:dyDescent="0.35">
      <c r="A150" t="str">
        <f>"2010-08-05"</f>
        <v>2010-08-05</v>
      </c>
      <c r="B150" s="1" t="str">
        <f t="shared" si="2"/>
        <v>08/05/2010</v>
      </c>
      <c r="C150" t="str">
        <f>"56.3291"</f>
        <v>56.3291</v>
      </c>
      <c r="D150" s="1" t="s">
        <v>141</v>
      </c>
      <c r="E150" t="s">
        <v>4258</v>
      </c>
    </row>
    <row r="151" spans="1:5" x14ac:dyDescent="0.35">
      <c r="A151" t="str">
        <f>"2010-08-06"</f>
        <v>2010-08-06</v>
      </c>
      <c r="B151" s="1" t="str">
        <f t="shared" si="2"/>
        <v>08/06/2010</v>
      </c>
      <c r="C151" t="str">
        <f>"55.6883"</f>
        <v>55.6883</v>
      </c>
      <c r="D151" s="1" t="s">
        <v>142</v>
      </c>
      <c r="E151" t="s">
        <v>4259</v>
      </c>
    </row>
    <row r="152" spans="1:5" x14ac:dyDescent="0.35">
      <c r="A152" t="str">
        <f>"2010-08-09"</f>
        <v>2010-08-09</v>
      </c>
      <c r="B152" s="1" t="str">
        <f t="shared" si="2"/>
        <v>08/09/2010</v>
      </c>
      <c r="C152" t="str">
        <f>"56.8293"</f>
        <v>56.8293</v>
      </c>
      <c r="D152" s="1" t="s">
        <v>143</v>
      </c>
      <c r="E152" t="s">
        <v>4260</v>
      </c>
    </row>
    <row r="153" spans="1:5" x14ac:dyDescent="0.35">
      <c r="A153" t="str">
        <f>"2010-08-10"</f>
        <v>2010-08-10</v>
      </c>
      <c r="B153" s="1" t="str">
        <f t="shared" si="2"/>
        <v>08/10/2010</v>
      </c>
      <c r="C153" t="str">
        <f>"56.6372"</f>
        <v>56.6372</v>
      </c>
      <c r="D153" s="1" t="s">
        <v>144</v>
      </c>
      <c r="E153" t="s">
        <v>4261</v>
      </c>
    </row>
    <row r="154" spans="1:5" x14ac:dyDescent="0.35">
      <c r="A154" t="str">
        <f>"2010-08-11"</f>
        <v>2010-08-11</v>
      </c>
      <c r="B154" s="1" t="str">
        <f t="shared" si="2"/>
        <v>08/11/2010</v>
      </c>
      <c r="C154" t="str">
        <f>"55.8383"</f>
        <v>55.8383</v>
      </c>
      <c r="D154" s="1" t="s">
        <v>145</v>
      </c>
      <c r="E154" t="s">
        <v>4262</v>
      </c>
    </row>
    <row r="155" spans="1:5" x14ac:dyDescent="0.35">
      <c r="A155" t="str">
        <f>"2010-08-12"</f>
        <v>2010-08-12</v>
      </c>
      <c r="B155" s="1" t="str">
        <f t="shared" si="2"/>
        <v>08/12/2010</v>
      </c>
      <c r="C155" t="str">
        <f>"55.0491"</f>
        <v>55.0491</v>
      </c>
      <c r="D155" s="1" t="s">
        <v>146</v>
      </c>
      <c r="E155" t="s">
        <v>4263</v>
      </c>
    </row>
    <row r="156" spans="1:5" x14ac:dyDescent="0.35">
      <c r="A156" t="str">
        <f>"2010-08-13"</f>
        <v>2010-08-13</v>
      </c>
      <c r="B156" s="1" t="str">
        <f t="shared" si="2"/>
        <v>08/13/2010</v>
      </c>
      <c r="C156" t="str">
        <f>"55.503"</f>
        <v>55.503</v>
      </c>
      <c r="D156" s="1" t="s">
        <v>147</v>
      </c>
      <c r="E156" t="s">
        <v>4264</v>
      </c>
    </row>
    <row r="157" spans="1:5" x14ac:dyDescent="0.35">
      <c r="A157" t="str">
        <f>"2010-08-16"</f>
        <v>2010-08-16</v>
      </c>
      <c r="B157" s="1" t="str">
        <f t="shared" si="2"/>
        <v>08/16/2010</v>
      </c>
      <c r="C157" t="str">
        <f>"55.6484"</f>
        <v>55.6484</v>
      </c>
      <c r="D157" s="1" t="s">
        <v>148</v>
      </c>
      <c r="E157" t="s">
        <v>4265</v>
      </c>
    </row>
    <row r="158" spans="1:5" x14ac:dyDescent="0.35">
      <c r="A158" t="str">
        <f>"2010-08-17"</f>
        <v>2010-08-17</v>
      </c>
      <c r="B158" s="1" t="str">
        <f t="shared" si="2"/>
        <v>08/17/2010</v>
      </c>
      <c r="C158" t="str">
        <f>"56.0473"</f>
        <v>56.0473</v>
      </c>
      <c r="D158" s="1" t="s">
        <v>149</v>
      </c>
      <c r="E158" t="s">
        <v>4266</v>
      </c>
    </row>
    <row r="159" spans="1:5" x14ac:dyDescent="0.35">
      <c r="A159" t="str">
        <f>"2010-08-18"</f>
        <v>2010-08-18</v>
      </c>
      <c r="B159" s="1" t="str">
        <f t="shared" si="2"/>
        <v>08/18/2010</v>
      </c>
      <c r="C159" t="str">
        <f>"57.8478"</f>
        <v>57.8478</v>
      </c>
      <c r="D159" s="1" t="s">
        <v>150</v>
      </c>
      <c r="E159" t="s">
        <v>4267</v>
      </c>
    </row>
    <row r="160" spans="1:5" x14ac:dyDescent="0.35">
      <c r="A160" t="str">
        <f>"2010-08-19"</f>
        <v>2010-08-19</v>
      </c>
      <c r="B160" s="1" t="str">
        <f t="shared" si="2"/>
        <v>08/19/2010</v>
      </c>
      <c r="C160" t="str">
        <f>"58.0355"</f>
        <v>58.0355</v>
      </c>
      <c r="D160" s="1" t="s">
        <v>151</v>
      </c>
      <c r="E160" t="s">
        <v>4268</v>
      </c>
    </row>
    <row r="161" spans="1:5" x14ac:dyDescent="0.35">
      <c r="A161" t="str">
        <f>"2010-08-20"</f>
        <v>2010-08-20</v>
      </c>
      <c r="B161" s="1" t="str">
        <f t="shared" si="2"/>
        <v>08/20/2010</v>
      </c>
      <c r="C161" t="str">
        <f>"58.212"</f>
        <v>58.212</v>
      </c>
      <c r="D161" s="1" t="s">
        <v>152</v>
      </c>
      <c r="E161" t="s">
        <v>4269</v>
      </c>
    </row>
    <row r="162" spans="1:5" x14ac:dyDescent="0.35">
      <c r="A162" t="str">
        <f>"2010-08-23"</f>
        <v>2010-08-23</v>
      </c>
      <c r="B162" s="1" t="str">
        <f t="shared" si="2"/>
        <v>08/23/2010</v>
      </c>
      <c r="C162" t="str">
        <f>"55.8153"</f>
        <v>55.8153</v>
      </c>
      <c r="D162" s="1" t="s">
        <v>153</v>
      </c>
      <c r="E162" t="s">
        <v>4270</v>
      </c>
    </row>
    <row r="163" spans="1:5" x14ac:dyDescent="0.35">
      <c r="A163" t="str">
        <f>"2010-08-24"</f>
        <v>2010-08-24</v>
      </c>
      <c r="B163" s="1" t="str">
        <f t="shared" si="2"/>
        <v>08/24/2010</v>
      </c>
      <c r="C163" t="str">
        <f>"56.5245"</f>
        <v>56.5245</v>
      </c>
      <c r="D163" s="1" t="s">
        <v>154</v>
      </c>
      <c r="E163" t="s">
        <v>4271</v>
      </c>
    </row>
    <row r="164" spans="1:5" x14ac:dyDescent="0.35">
      <c r="A164" t="str">
        <f>"2010-08-25"</f>
        <v>2010-08-25</v>
      </c>
      <c r="B164" s="1" t="str">
        <f t="shared" si="2"/>
        <v>08/25/2010</v>
      </c>
      <c r="C164" t="str">
        <f>"55.7857"</f>
        <v>55.7857</v>
      </c>
      <c r="D164" s="1" t="s">
        <v>155</v>
      </c>
      <c r="E164" t="s">
        <v>4272</v>
      </c>
    </row>
    <row r="165" spans="1:5" x14ac:dyDescent="0.35">
      <c r="A165" t="str">
        <f>"2010-08-26"</f>
        <v>2010-08-26</v>
      </c>
      <c r="B165" s="1" t="str">
        <f t="shared" si="2"/>
        <v>08/26/2010</v>
      </c>
      <c r="C165" t="str">
        <f>"56.9455"</f>
        <v>56.9455</v>
      </c>
      <c r="D165" s="1" t="s">
        <v>156</v>
      </c>
      <c r="E165" t="s">
        <v>4273</v>
      </c>
    </row>
    <row r="166" spans="1:5" x14ac:dyDescent="0.35">
      <c r="A166" t="str">
        <f>"2010-08-27"</f>
        <v>2010-08-27</v>
      </c>
      <c r="B166" s="1" t="str">
        <f t="shared" si="2"/>
        <v>08/27/2010</v>
      </c>
      <c r="C166" t="str">
        <f>"56.8353"</f>
        <v>56.8353</v>
      </c>
      <c r="D166" s="1" t="s">
        <v>157</v>
      </c>
      <c r="E166" t="s">
        <v>4274</v>
      </c>
    </row>
    <row r="167" spans="1:5" x14ac:dyDescent="0.35">
      <c r="A167" t="str">
        <f>"2010-08-30"</f>
        <v>2010-08-30</v>
      </c>
      <c r="B167" s="1" t="str">
        <f t="shared" si="2"/>
        <v>08/30/2010</v>
      </c>
      <c r="C167" t="str">
        <f>"57.3524"</f>
        <v>57.3524</v>
      </c>
      <c r="D167" s="1" t="s">
        <v>158</v>
      </c>
      <c r="E167" t="s">
        <v>4275</v>
      </c>
    </row>
    <row r="168" spans="1:5" x14ac:dyDescent="0.35">
      <c r="A168" t="str">
        <f>"2010-08-31"</f>
        <v>2010-08-31</v>
      </c>
      <c r="B168" s="1" t="str">
        <f t="shared" si="2"/>
        <v>08/31/2010</v>
      </c>
      <c r="C168" t="str">
        <f>"56.8978"</f>
        <v>56.8978</v>
      </c>
      <c r="D168" s="1" t="s">
        <v>159</v>
      </c>
      <c r="E168" t="s">
        <v>4276</v>
      </c>
    </row>
    <row r="169" spans="1:5" x14ac:dyDescent="0.35">
      <c r="A169" t="str">
        <f>"2010-09-01"</f>
        <v>2010-09-01</v>
      </c>
      <c r="B169" s="1" t="str">
        <f t="shared" si="2"/>
        <v>09/01/2010</v>
      </c>
      <c r="C169" t="str">
        <f>"58.1191"</f>
        <v>58.1191</v>
      </c>
      <c r="D169" s="1" t="s">
        <v>160</v>
      </c>
      <c r="E169" t="s">
        <v>4277</v>
      </c>
    </row>
    <row r="170" spans="1:5" x14ac:dyDescent="0.35">
      <c r="A170" t="str">
        <f>"2010-09-02"</f>
        <v>2010-09-02</v>
      </c>
      <c r="B170" s="1" t="str">
        <f t="shared" si="2"/>
        <v>09/02/2010</v>
      </c>
      <c r="C170" t="str">
        <f>"58.0526"</f>
        <v>58.0526</v>
      </c>
      <c r="D170" s="1" t="s">
        <v>161</v>
      </c>
      <c r="E170" t="s">
        <v>4278</v>
      </c>
    </row>
    <row r="171" spans="1:5" x14ac:dyDescent="0.35">
      <c r="A171" t="str">
        <f>"2010-09-03"</f>
        <v>2010-09-03</v>
      </c>
      <c r="B171" s="1" t="str">
        <f t="shared" si="2"/>
        <v>09/03/2010</v>
      </c>
      <c r="C171" t="str">
        <f>"58.3445"</f>
        <v>58.3445</v>
      </c>
      <c r="D171" s="1" t="s">
        <v>162</v>
      </c>
      <c r="E171" t="s">
        <v>4279</v>
      </c>
    </row>
    <row r="172" spans="1:5" x14ac:dyDescent="0.35">
      <c r="A172" t="str">
        <f>"2010-09-07"</f>
        <v>2010-09-07</v>
      </c>
      <c r="B172" s="1" t="str">
        <f t="shared" si="2"/>
        <v>09/07/2010</v>
      </c>
      <c r="C172" t="str">
        <f>"58.0581"</f>
        <v>58.0581</v>
      </c>
      <c r="D172" s="1" t="s">
        <v>163</v>
      </c>
      <c r="E172" t="s">
        <v>4280</v>
      </c>
    </row>
    <row r="173" spans="1:5" x14ac:dyDescent="0.35">
      <c r="A173" t="str">
        <f>"2010-09-08"</f>
        <v>2010-09-08</v>
      </c>
      <c r="B173" s="1" t="str">
        <f t="shared" si="2"/>
        <v>09/08/2010</v>
      </c>
      <c r="C173" t="str">
        <f>"57.6145"</f>
        <v>57.6145</v>
      </c>
      <c r="D173" s="1" t="s">
        <v>164</v>
      </c>
      <c r="E173" t="s">
        <v>4281</v>
      </c>
    </row>
    <row r="174" spans="1:5" x14ac:dyDescent="0.35">
      <c r="A174" t="str">
        <f>"2010-09-09"</f>
        <v>2010-09-09</v>
      </c>
      <c r="B174" s="1" t="str">
        <f t="shared" si="2"/>
        <v>09/09/2010</v>
      </c>
      <c r="C174" t="str">
        <f>"57.9274"</f>
        <v>57.9274</v>
      </c>
      <c r="D174" s="1" t="s">
        <v>165</v>
      </c>
      <c r="E174" t="s">
        <v>4282</v>
      </c>
    </row>
    <row r="175" spans="1:5" x14ac:dyDescent="0.35">
      <c r="A175" t="str">
        <f>"2010-09-10"</f>
        <v>2010-09-10</v>
      </c>
      <c r="B175" s="1" t="str">
        <f t="shared" si="2"/>
        <v>09/10/2010</v>
      </c>
      <c r="C175" t="str">
        <f>"58.348"</f>
        <v>58.348</v>
      </c>
      <c r="D175" s="1" t="s">
        <v>166</v>
      </c>
      <c r="E175" t="s">
        <v>4283</v>
      </c>
    </row>
    <row r="176" spans="1:5" x14ac:dyDescent="0.35">
      <c r="A176" t="str">
        <f>"2010-09-13"</f>
        <v>2010-09-13</v>
      </c>
      <c r="B176" s="1" t="str">
        <f t="shared" si="2"/>
        <v>09/13/2010</v>
      </c>
      <c r="C176" t="str">
        <f>"59.6728"</f>
        <v>59.6728</v>
      </c>
      <c r="D176" s="1" t="s">
        <v>167</v>
      </c>
      <c r="E176" t="s">
        <v>4284</v>
      </c>
    </row>
    <row r="177" spans="1:5" x14ac:dyDescent="0.35">
      <c r="A177" t="str">
        <f>"2010-09-14"</f>
        <v>2010-09-14</v>
      </c>
      <c r="B177" s="1" t="str">
        <f t="shared" si="2"/>
        <v>09/14/2010</v>
      </c>
      <c r="C177" t="str">
        <f>"60.355"</f>
        <v>60.355</v>
      </c>
      <c r="D177" s="1" t="s">
        <v>168</v>
      </c>
      <c r="E177" t="s">
        <v>4285</v>
      </c>
    </row>
    <row r="178" spans="1:5" x14ac:dyDescent="0.35">
      <c r="A178" t="str">
        <f>"2010-09-15"</f>
        <v>2010-09-15</v>
      </c>
      <c r="B178" s="1" t="str">
        <f t="shared" si="2"/>
        <v>09/15/2010</v>
      </c>
      <c r="C178" t="str">
        <f>"62.1141"</f>
        <v>62.1141</v>
      </c>
      <c r="D178" s="1" t="s">
        <v>169</v>
      </c>
      <c r="E178" t="s">
        <v>4286</v>
      </c>
    </row>
    <row r="179" spans="1:5" x14ac:dyDescent="0.35">
      <c r="A179" t="str">
        <f>"2010-09-16"</f>
        <v>2010-09-16</v>
      </c>
      <c r="B179" s="1" t="str">
        <f t="shared" si="2"/>
        <v>09/16/2010</v>
      </c>
      <c r="C179" t="str">
        <f>"61.935"</f>
        <v>61.935</v>
      </c>
      <c r="D179" s="1" t="s">
        <v>170</v>
      </c>
      <c r="E179" t="s">
        <v>4287</v>
      </c>
    </row>
    <row r="180" spans="1:5" x14ac:dyDescent="0.35">
      <c r="A180" t="str">
        <f>"2010-09-17"</f>
        <v>2010-09-17</v>
      </c>
      <c r="B180" s="1" t="str">
        <f t="shared" si="2"/>
        <v>09/17/2010</v>
      </c>
      <c r="C180" t="str">
        <f>"61.5032"</f>
        <v>61.5032</v>
      </c>
      <c r="D180" s="1" t="s">
        <v>171</v>
      </c>
      <c r="E180" t="s">
        <v>4288</v>
      </c>
    </row>
    <row r="181" spans="1:5" x14ac:dyDescent="0.35">
      <c r="A181" t="str">
        <f>"2010-09-20"</f>
        <v>2010-09-20</v>
      </c>
      <c r="B181" s="1" t="str">
        <f t="shared" si="2"/>
        <v>09/20/2010</v>
      </c>
      <c r="C181" t="str">
        <f>"62.6283"</f>
        <v>62.6283</v>
      </c>
      <c r="D181" s="1" t="s">
        <v>172</v>
      </c>
      <c r="E181" t="s">
        <v>4289</v>
      </c>
    </row>
    <row r="182" spans="1:5" x14ac:dyDescent="0.35">
      <c r="A182" t="str">
        <f>"2010-09-21"</f>
        <v>2010-09-21</v>
      </c>
      <c r="B182" s="1" t="str">
        <f t="shared" si="2"/>
        <v>09/21/2010</v>
      </c>
      <c r="C182" t="str">
        <f>"63.0758"</f>
        <v>63.0758</v>
      </c>
      <c r="D182" s="1" t="s">
        <v>173</v>
      </c>
      <c r="E182" t="s">
        <v>4290</v>
      </c>
    </row>
    <row r="183" spans="1:5" x14ac:dyDescent="0.35">
      <c r="A183" t="str">
        <f>"2010-09-22"</f>
        <v>2010-09-22</v>
      </c>
      <c r="B183" s="1" t="str">
        <f t="shared" si="2"/>
        <v>09/22/2010</v>
      </c>
      <c r="C183" t="str">
        <f>"62.3186"</f>
        <v>62.3186</v>
      </c>
      <c r="D183" s="1" t="s">
        <v>174</v>
      </c>
      <c r="E183" t="s">
        <v>4291</v>
      </c>
    </row>
    <row r="184" spans="1:5" x14ac:dyDescent="0.35">
      <c r="A184" t="str">
        <f>"2010-09-23"</f>
        <v>2010-09-23</v>
      </c>
      <c r="B184" s="1" t="str">
        <f t="shared" si="2"/>
        <v>09/23/2010</v>
      </c>
      <c r="C184" t="str">
        <f>"61.6513"</f>
        <v>61.6513</v>
      </c>
      <c r="D184" s="1" t="s">
        <v>175</v>
      </c>
      <c r="E184" t="s">
        <v>4292</v>
      </c>
    </row>
    <row r="185" spans="1:5" x14ac:dyDescent="0.35">
      <c r="A185" t="str">
        <f>"2010-09-24"</f>
        <v>2010-09-24</v>
      </c>
      <c r="B185" s="1" t="str">
        <f t="shared" si="2"/>
        <v>09/24/2010</v>
      </c>
      <c r="C185" t="str">
        <f>"61.4834"</f>
        <v>61.4834</v>
      </c>
      <c r="D185" s="1" t="s">
        <v>176</v>
      </c>
      <c r="E185" t="s">
        <v>4293</v>
      </c>
    </row>
    <row r="186" spans="1:5" x14ac:dyDescent="0.35">
      <c r="A186" t="str">
        <f>"2010-09-27"</f>
        <v>2010-09-27</v>
      </c>
      <c r="B186" s="1" t="str">
        <f t="shared" si="2"/>
        <v>09/27/2010</v>
      </c>
      <c r="C186" t="str">
        <f>"62.4645"</f>
        <v>62.4645</v>
      </c>
      <c r="D186" s="1" t="s">
        <v>177</v>
      </c>
      <c r="E186" t="s">
        <v>4294</v>
      </c>
    </row>
    <row r="187" spans="1:5" x14ac:dyDescent="0.35">
      <c r="A187" t="str">
        <f>"2010-09-28"</f>
        <v>2010-09-28</v>
      </c>
      <c r="B187" s="1" t="str">
        <f t="shared" si="2"/>
        <v>09/28/2010</v>
      </c>
      <c r="C187" t="str">
        <f>"65.1583"</f>
        <v>65.1583</v>
      </c>
      <c r="D187" s="1" t="s">
        <v>178</v>
      </c>
      <c r="E187" t="s">
        <v>4295</v>
      </c>
    </row>
    <row r="188" spans="1:5" x14ac:dyDescent="0.35">
      <c r="A188" t="str">
        <f>"2010-09-29"</f>
        <v>2010-09-29</v>
      </c>
      <c r="B188" s="1" t="str">
        <f t="shared" si="2"/>
        <v>09/29/2010</v>
      </c>
      <c r="C188" t="str">
        <f>"67.1145"</f>
        <v>67.1145</v>
      </c>
      <c r="D188" s="1" t="s">
        <v>179</v>
      </c>
      <c r="E188" t="s">
        <v>4296</v>
      </c>
    </row>
    <row r="189" spans="1:5" x14ac:dyDescent="0.35">
      <c r="A189" t="str">
        <f>"2010-09-30"</f>
        <v>2010-09-30</v>
      </c>
      <c r="B189" s="1" t="str">
        <f t="shared" si="2"/>
        <v>09/30/2010</v>
      </c>
      <c r="C189" t="str">
        <f>"70.1008"</f>
        <v>70.1008</v>
      </c>
      <c r="D189" s="1" t="s">
        <v>180</v>
      </c>
      <c r="E189" t="s">
        <v>4297</v>
      </c>
    </row>
    <row r="190" spans="1:5" x14ac:dyDescent="0.35">
      <c r="A190" t="str">
        <f>"2010-10-01"</f>
        <v>2010-10-01</v>
      </c>
      <c r="B190" s="1" t="str">
        <f t="shared" si="2"/>
        <v>10/01/2010</v>
      </c>
      <c r="C190" t="str">
        <f>"68.7007"</f>
        <v>68.7007</v>
      </c>
      <c r="D190" s="1" t="s">
        <v>181</v>
      </c>
      <c r="E190" t="s">
        <v>4298</v>
      </c>
    </row>
    <row r="191" spans="1:5" x14ac:dyDescent="0.35">
      <c r="A191" t="str">
        <f>"2010-10-04"</f>
        <v>2010-10-04</v>
      </c>
      <c r="B191" s="1" t="str">
        <f t="shared" si="2"/>
        <v>10/04/2010</v>
      </c>
      <c r="C191" t="str">
        <f>"70.0969"</f>
        <v>70.0969</v>
      </c>
      <c r="D191" s="1" t="s">
        <v>182</v>
      </c>
      <c r="E191" t="s">
        <v>4299</v>
      </c>
    </row>
    <row r="192" spans="1:5" x14ac:dyDescent="0.35">
      <c r="A192" t="str">
        <f>"2010-10-05"</f>
        <v>2010-10-05</v>
      </c>
      <c r="B192" s="1" t="str">
        <f t="shared" si="2"/>
        <v>10/05/2010</v>
      </c>
      <c r="C192" t="str">
        <f>"71.7366"</f>
        <v>71.7366</v>
      </c>
      <c r="D192" s="1" t="s">
        <v>183</v>
      </c>
      <c r="E192" t="s">
        <v>4300</v>
      </c>
    </row>
    <row r="193" spans="1:5" x14ac:dyDescent="0.35">
      <c r="A193" t="str">
        <f>"2010-10-06"</f>
        <v>2010-10-06</v>
      </c>
      <c r="B193" s="1" t="str">
        <f t="shared" si="2"/>
        <v>10/06/2010</v>
      </c>
      <c r="C193" t="str">
        <f>"71.5736"</f>
        <v>71.5736</v>
      </c>
      <c r="D193" s="1" t="s">
        <v>184</v>
      </c>
      <c r="E193" t="s">
        <v>4301</v>
      </c>
    </row>
    <row r="194" spans="1:5" x14ac:dyDescent="0.35">
      <c r="A194" t="str">
        <f>"2010-10-07"</f>
        <v>2010-10-07</v>
      </c>
      <c r="B194" s="1" t="str">
        <f t="shared" si="2"/>
        <v>10/07/2010</v>
      </c>
      <c r="C194" t="str">
        <f>"71.5869"</f>
        <v>71.5869</v>
      </c>
      <c r="D194" s="1" t="s">
        <v>185</v>
      </c>
      <c r="E194" t="s">
        <v>4302</v>
      </c>
    </row>
    <row r="195" spans="1:5" x14ac:dyDescent="0.35">
      <c r="A195" t="str">
        <f>"2010-10-08"</f>
        <v>2010-10-08</v>
      </c>
      <c r="B195" s="1" t="str">
        <f t="shared" ref="B195:B258" si="3">LEFT(RIGHT(A195,5),2)&amp;"/"&amp;RIGHT(A195,2)&amp;"/"&amp;LEFT(A195,4)</f>
        <v>10/08/2010</v>
      </c>
      <c r="C195" t="str">
        <f>"70.5848"</f>
        <v>70.5848</v>
      </c>
      <c r="D195" s="1" t="s">
        <v>186</v>
      </c>
      <c r="E195" t="s">
        <v>4303</v>
      </c>
    </row>
    <row r="196" spans="1:5" x14ac:dyDescent="0.35">
      <c r="A196" t="str">
        <f>"2010-10-11"</f>
        <v>2010-10-11</v>
      </c>
      <c r="B196" s="1" t="str">
        <f t="shared" si="3"/>
        <v>10/11/2010</v>
      </c>
      <c r="C196" t="str">
        <f>"72.0777"</f>
        <v>72.0777</v>
      </c>
      <c r="D196" s="1" t="s">
        <v>187</v>
      </c>
      <c r="E196" t="s">
        <v>4304</v>
      </c>
    </row>
    <row r="197" spans="1:5" x14ac:dyDescent="0.35">
      <c r="A197" t="str">
        <f>"2010-10-12"</f>
        <v>2010-10-12</v>
      </c>
      <c r="B197" s="1" t="str">
        <f t="shared" si="3"/>
        <v>10/12/2010</v>
      </c>
      <c r="C197" t="str">
        <f>"72.8103"</f>
        <v>72.8103</v>
      </c>
      <c r="D197" s="1" t="s">
        <v>188</v>
      </c>
      <c r="E197" t="s">
        <v>4305</v>
      </c>
    </row>
    <row r="198" spans="1:5" x14ac:dyDescent="0.35">
      <c r="A198" t="str">
        <f>"2010-10-13"</f>
        <v>2010-10-13</v>
      </c>
      <c r="B198" s="1" t="str">
        <f t="shared" si="3"/>
        <v>10/13/2010</v>
      </c>
      <c r="C198" t="str">
        <f>"70.0227"</f>
        <v>70.0227</v>
      </c>
      <c r="D198" s="1" t="s">
        <v>189</v>
      </c>
      <c r="E198" t="s">
        <v>4306</v>
      </c>
    </row>
    <row r="199" spans="1:5" x14ac:dyDescent="0.35">
      <c r="A199" t="str">
        <f>"2010-10-14"</f>
        <v>2010-10-14</v>
      </c>
      <c r="B199" s="1" t="str">
        <f t="shared" si="3"/>
        <v>10/14/2010</v>
      </c>
      <c r="C199" t="str">
        <f>"67.5886"</f>
        <v>67.5886</v>
      </c>
      <c r="D199" s="1" t="s">
        <v>190</v>
      </c>
      <c r="E199" t="s">
        <v>4307</v>
      </c>
    </row>
    <row r="200" spans="1:5" x14ac:dyDescent="0.35">
      <c r="A200" t="str">
        <f>"2010-10-15"</f>
        <v>2010-10-15</v>
      </c>
      <c r="B200" s="1" t="str">
        <f t="shared" si="3"/>
        <v>10/15/2010</v>
      </c>
      <c r="C200" t="str">
        <f>"68.367"</f>
        <v>68.367</v>
      </c>
      <c r="D200" s="1" t="s">
        <v>191</v>
      </c>
      <c r="E200" t="s">
        <v>4308</v>
      </c>
    </row>
    <row r="201" spans="1:5" x14ac:dyDescent="0.35">
      <c r="A201" t="str">
        <f>"2010-10-18"</f>
        <v>2010-10-18</v>
      </c>
      <c r="B201" s="1" t="str">
        <f t="shared" si="3"/>
        <v>10/18/2010</v>
      </c>
      <c r="C201" t="str">
        <f>"68.1875"</f>
        <v>68.1875</v>
      </c>
      <c r="D201" s="1" t="s">
        <v>192</v>
      </c>
      <c r="E201" t="s">
        <v>4309</v>
      </c>
    </row>
    <row r="202" spans="1:5" x14ac:dyDescent="0.35">
      <c r="A202" t="str">
        <f>"2010-10-19"</f>
        <v>2010-10-19</v>
      </c>
      <c r="B202" s="1" t="str">
        <f t="shared" si="3"/>
        <v>10/19/2010</v>
      </c>
      <c r="C202" t="str">
        <f>"69.9221"</f>
        <v>69.9221</v>
      </c>
      <c r="D202" s="1" t="s">
        <v>193</v>
      </c>
      <c r="E202" t="s">
        <v>4310</v>
      </c>
    </row>
    <row r="203" spans="1:5" x14ac:dyDescent="0.35">
      <c r="A203" t="str">
        <f>"2010-10-20"</f>
        <v>2010-10-20</v>
      </c>
      <c r="B203" s="1" t="str">
        <f t="shared" si="3"/>
        <v>10/20/2010</v>
      </c>
      <c r="C203" t="str">
        <f>"69.4587"</f>
        <v>69.4587</v>
      </c>
      <c r="D203" s="1" t="s">
        <v>194</v>
      </c>
      <c r="E203" t="s">
        <v>4311</v>
      </c>
    </row>
    <row r="204" spans="1:5" x14ac:dyDescent="0.35">
      <c r="A204" t="str">
        <f>"2010-10-21"</f>
        <v>2010-10-21</v>
      </c>
      <c r="B204" s="1" t="str">
        <f t="shared" si="3"/>
        <v>10/21/2010</v>
      </c>
      <c r="C204" t="str">
        <f>"71.2219"</f>
        <v>71.2219</v>
      </c>
      <c r="D204" s="1" t="s">
        <v>195</v>
      </c>
      <c r="E204" t="s">
        <v>4312</v>
      </c>
    </row>
    <row r="205" spans="1:5" x14ac:dyDescent="0.35">
      <c r="A205" t="str">
        <f>"2010-10-22"</f>
        <v>2010-10-22</v>
      </c>
      <c r="B205" s="1" t="str">
        <f t="shared" si="3"/>
        <v>10/22/2010</v>
      </c>
      <c r="C205" t="str">
        <f>"72.2269"</f>
        <v>72.2269</v>
      </c>
      <c r="D205" s="1" t="s">
        <v>196</v>
      </c>
      <c r="E205" t="s">
        <v>4313</v>
      </c>
    </row>
    <row r="206" spans="1:5" x14ac:dyDescent="0.35">
      <c r="A206" t="str">
        <f>"2010-10-25"</f>
        <v>2010-10-25</v>
      </c>
      <c r="B206" s="1" t="str">
        <f t="shared" si="3"/>
        <v>10/25/2010</v>
      </c>
      <c r="C206" t="str">
        <f>"72.2499"</f>
        <v>72.2499</v>
      </c>
      <c r="D206" s="1" t="s">
        <v>197</v>
      </c>
      <c r="E206" t="s">
        <v>4314</v>
      </c>
    </row>
    <row r="207" spans="1:5" x14ac:dyDescent="0.35">
      <c r="A207" t="str">
        <f>"2010-10-26"</f>
        <v>2010-10-26</v>
      </c>
      <c r="B207" s="1" t="str">
        <f t="shared" si="3"/>
        <v>10/26/2010</v>
      </c>
      <c r="C207" t="str">
        <f>"73.162"</f>
        <v>73.162</v>
      </c>
      <c r="D207" s="1" t="s">
        <v>198</v>
      </c>
      <c r="E207" t="s">
        <v>4315</v>
      </c>
    </row>
    <row r="208" spans="1:5" x14ac:dyDescent="0.35">
      <c r="A208" t="str">
        <f>"2010-10-27"</f>
        <v>2010-10-27</v>
      </c>
      <c r="B208" s="1" t="str">
        <f t="shared" si="3"/>
        <v>10/27/2010</v>
      </c>
      <c r="C208" t="str">
        <f>"71.1713"</f>
        <v>71.1713</v>
      </c>
      <c r="D208" s="1" t="s">
        <v>199</v>
      </c>
      <c r="E208" t="s">
        <v>4316</v>
      </c>
    </row>
    <row r="209" spans="1:5" x14ac:dyDescent="0.35">
      <c r="A209" t="str">
        <f>"2010-10-28"</f>
        <v>2010-10-28</v>
      </c>
      <c r="B209" s="1" t="str">
        <f t="shared" si="3"/>
        <v>10/28/2010</v>
      </c>
      <c r="C209" t="str">
        <f>"69.275"</f>
        <v>69.275</v>
      </c>
      <c r="D209" s="1" t="s">
        <v>200</v>
      </c>
      <c r="E209" t="s">
        <v>4317</v>
      </c>
    </row>
    <row r="210" spans="1:5" x14ac:dyDescent="0.35">
      <c r="A210" t="str">
        <f>"2010-10-29"</f>
        <v>2010-10-29</v>
      </c>
      <c r="B210" s="1" t="str">
        <f t="shared" si="3"/>
        <v>10/29/2010</v>
      </c>
      <c r="C210" t="str">
        <f>"69.1372"</f>
        <v>69.1372</v>
      </c>
      <c r="D210" s="1" t="s">
        <v>201</v>
      </c>
      <c r="E210" t="s">
        <v>4318</v>
      </c>
    </row>
    <row r="211" spans="1:5" x14ac:dyDescent="0.35">
      <c r="A211" t="str">
        <f>"2010-11-01"</f>
        <v>2010-11-01</v>
      </c>
      <c r="B211" s="1" t="str">
        <f t="shared" si="3"/>
        <v>11/01/2010</v>
      </c>
      <c r="C211" t="str">
        <f>"68.7911"</f>
        <v>68.7911</v>
      </c>
      <c r="D211" s="1" t="s">
        <v>202</v>
      </c>
      <c r="E211" t="s">
        <v>4319</v>
      </c>
    </row>
    <row r="212" spans="1:5" x14ac:dyDescent="0.35">
      <c r="A212" t="str">
        <f>"2010-11-02"</f>
        <v>2010-11-02</v>
      </c>
      <c r="B212" s="1" t="str">
        <f t="shared" si="3"/>
        <v>11/02/2010</v>
      </c>
      <c r="C212" t="str">
        <f>"68.3417"</f>
        <v>68.3417</v>
      </c>
      <c r="D212" s="1" t="s">
        <v>203</v>
      </c>
      <c r="E212" t="s">
        <v>4320</v>
      </c>
    </row>
    <row r="213" spans="1:5" x14ac:dyDescent="0.35">
      <c r="A213" t="str">
        <f>"2010-11-03"</f>
        <v>2010-11-03</v>
      </c>
      <c r="B213" s="1" t="str">
        <f t="shared" si="3"/>
        <v>11/03/2010</v>
      </c>
      <c r="C213" t="str">
        <f>"70.7983"</f>
        <v>70.7983</v>
      </c>
      <c r="D213" s="1" t="s">
        <v>204</v>
      </c>
      <c r="E213" t="s">
        <v>4321</v>
      </c>
    </row>
    <row r="214" spans="1:5" x14ac:dyDescent="0.35">
      <c r="A214" t="str">
        <f>"2010-11-04"</f>
        <v>2010-11-04</v>
      </c>
      <c r="B214" s="1" t="str">
        <f t="shared" si="3"/>
        <v>11/04/2010</v>
      </c>
      <c r="C214" t="str">
        <f>"71.3774"</f>
        <v>71.3774</v>
      </c>
      <c r="D214" s="1" t="s">
        <v>205</v>
      </c>
      <c r="E214" t="s">
        <v>4322</v>
      </c>
    </row>
    <row r="215" spans="1:5" x14ac:dyDescent="0.35">
      <c r="A215" t="str">
        <f>"2010-11-05"</f>
        <v>2010-11-05</v>
      </c>
      <c r="B215" s="1" t="str">
        <f t="shared" si="3"/>
        <v>11/05/2010</v>
      </c>
      <c r="C215" t="str">
        <f>"70.4083"</f>
        <v>70.4083</v>
      </c>
      <c r="D215" s="1" t="s">
        <v>206</v>
      </c>
      <c r="E215" t="s">
        <v>4323</v>
      </c>
    </row>
    <row r="216" spans="1:5" x14ac:dyDescent="0.35">
      <c r="A216" t="str">
        <f>"2010-11-08"</f>
        <v>2010-11-08</v>
      </c>
      <c r="B216" s="1" t="str">
        <f t="shared" si="3"/>
        <v>11/08/2010</v>
      </c>
      <c r="C216" t="str">
        <f>"70.2118"</f>
        <v>70.2118</v>
      </c>
      <c r="D216" s="1" t="s">
        <v>207</v>
      </c>
      <c r="E216" t="s">
        <v>4324</v>
      </c>
    </row>
    <row r="217" spans="1:5" x14ac:dyDescent="0.35">
      <c r="A217" t="str">
        <f>"2010-11-09"</f>
        <v>2010-11-09</v>
      </c>
      <c r="B217" s="1" t="str">
        <f t="shared" si="3"/>
        <v>11/09/2010</v>
      </c>
      <c r="C217" t="str">
        <f>"70.0815"</f>
        <v>70.0815</v>
      </c>
      <c r="D217" s="1" t="s">
        <v>208</v>
      </c>
      <c r="E217" t="s">
        <v>4325</v>
      </c>
    </row>
    <row r="218" spans="1:5" x14ac:dyDescent="0.35">
      <c r="A218" t="str">
        <f>"2010-11-10"</f>
        <v>2010-11-10</v>
      </c>
      <c r="B218" s="1" t="str">
        <f t="shared" si="3"/>
        <v>11/10/2010</v>
      </c>
      <c r="C218" t="str">
        <f>"69.4767"</f>
        <v>69.4767</v>
      </c>
      <c r="D218" s="1" t="s">
        <v>209</v>
      </c>
      <c r="E218" t="s">
        <v>4326</v>
      </c>
    </row>
    <row r="219" spans="1:5" x14ac:dyDescent="0.35">
      <c r="A219" t="str">
        <f>"2010-11-11"</f>
        <v>2010-11-11</v>
      </c>
      <c r="B219" s="1" t="str">
        <f t="shared" si="3"/>
        <v>11/11/2010</v>
      </c>
      <c r="C219" t="str">
        <f>"69.2737"</f>
        <v>69.2737</v>
      </c>
      <c r="D219" s="1" t="s">
        <v>210</v>
      </c>
      <c r="E219" t="s">
        <v>4327</v>
      </c>
    </row>
    <row r="220" spans="1:5" x14ac:dyDescent="0.35">
      <c r="A220" t="str">
        <f>"2010-11-12"</f>
        <v>2010-11-12</v>
      </c>
      <c r="B220" s="1" t="str">
        <f t="shared" si="3"/>
        <v>11/12/2010</v>
      </c>
      <c r="C220" t="str">
        <f>"67.6859"</f>
        <v>67.6859</v>
      </c>
      <c r="D220" s="1" t="s">
        <v>211</v>
      </c>
      <c r="E220" t="s">
        <v>4328</v>
      </c>
    </row>
    <row r="221" spans="1:5" x14ac:dyDescent="0.35">
      <c r="A221" t="str">
        <f>"2010-11-15"</f>
        <v>2010-11-15</v>
      </c>
      <c r="B221" s="1" t="str">
        <f t="shared" si="3"/>
        <v>11/15/2010</v>
      </c>
      <c r="C221" t="str">
        <f>"68.0511"</f>
        <v>68.0511</v>
      </c>
      <c r="D221" s="1" t="s">
        <v>212</v>
      </c>
      <c r="E221" t="s">
        <v>4329</v>
      </c>
    </row>
    <row r="222" spans="1:5" x14ac:dyDescent="0.35">
      <c r="A222" t="str">
        <f>"2010-11-16"</f>
        <v>2010-11-16</v>
      </c>
      <c r="B222" s="1" t="str">
        <f t="shared" si="3"/>
        <v>11/16/2010</v>
      </c>
      <c r="C222" t="str">
        <f>"69.2541"</f>
        <v>69.2541</v>
      </c>
      <c r="D222" s="1" t="s">
        <v>213</v>
      </c>
      <c r="E222" t="s">
        <v>4330</v>
      </c>
    </row>
    <row r="223" spans="1:5" x14ac:dyDescent="0.35">
      <c r="A223" t="str">
        <f>"2010-11-17"</f>
        <v>2010-11-17</v>
      </c>
      <c r="B223" s="1" t="str">
        <f t="shared" si="3"/>
        <v>11/17/2010</v>
      </c>
      <c r="C223" t="str">
        <f>"68.5066"</f>
        <v>68.5066</v>
      </c>
      <c r="D223" s="1" t="s">
        <v>214</v>
      </c>
      <c r="E223" t="s">
        <v>4331</v>
      </c>
    </row>
    <row r="224" spans="1:5" x14ac:dyDescent="0.35">
      <c r="A224" t="str">
        <f>"2010-11-18"</f>
        <v>2010-11-18</v>
      </c>
      <c r="B224" s="1" t="str">
        <f t="shared" si="3"/>
        <v>11/18/2010</v>
      </c>
      <c r="C224" t="str">
        <f>"68.1388"</f>
        <v>68.1388</v>
      </c>
      <c r="D224" s="1" t="s">
        <v>215</v>
      </c>
      <c r="E224" t="s">
        <v>4332</v>
      </c>
    </row>
    <row r="225" spans="1:5" x14ac:dyDescent="0.35">
      <c r="A225" t="str">
        <f>"2010-11-19"</f>
        <v>2010-11-19</v>
      </c>
      <c r="B225" s="1" t="str">
        <f t="shared" si="3"/>
        <v>11/19/2010</v>
      </c>
      <c r="C225" t="str">
        <f>"68.7135"</f>
        <v>68.7135</v>
      </c>
      <c r="D225" s="1" t="s">
        <v>216</v>
      </c>
      <c r="E225" t="s">
        <v>4333</v>
      </c>
    </row>
    <row r="226" spans="1:5" x14ac:dyDescent="0.35">
      <c r="A226" t="str">
        <f>"2010-11-22"</f>
        <v>2010-11-22</v>
      </c>
      <c r="B226" s="1" t="str">
        <f t="shared" si="3"/>
        <v>11/22/2010</v>
      </c>
      <c r="C226" t="str">
        <f>"66.9895"</f>
        <v>66.9895</v>
      </c>
      <c r="D226" s="1" t="s">
        <v>217</v>
      </c>
      <c r="E226" t="s">
        <v>4334</v>
      </c>
    </row>
    <row r="227" spans="1:5" x14ac:dyDescent="0.35">
      <c r="A227" t="str">
        <f>"2010-11-23"</f>
        <v>2010-11-23</v>
      </c>
      <c r="B227" s="1" t="str">
        <f t="shared" si="3"/>
        <v>11/23/2010</v>
      </c>
      <c r="C227" t="str">
        <f>"62.3896"</f>
        <v>62.3896</v>
      </c>
      <c r="D227" s="1" t="s">
        <v>218</v>
      </c>
      <c r="E227" t="s">
        <v>4335</v>
      </c>
    </row>
    <row r="228" spans="1:5" x14ac:dyDescent="0.35">
      <c r="A228" t="str">
        <f>"2010-11-24"</f>
        <v>2010-11-24</v>
      </c>
      <c r="B228" s="1" t="str">
        <f t="shared" si="3"/>
        <v>11/24/2010</v>
      </c>
      <c r="C228" t="str">
        <f>"61.6077"</f>
        <v>61.6077</v>
      </c>
      <c r="D228" s="1" t="s">
        <v>219</v>
      </c>
      <c r="E228" t="s">
        <v>4336</v>
      </c>
    </row>
    <row r="229" spans="1:5" x14ac:dyDescent="0.35">
      <c r="A229" t="str">
        <f>"2010-11-26"</f>
        <v>2010-11-26</v>
      </c>
      <c r="B229" s="1" t="str">
        <f t="shared" si="3"/>
        <v>11/26/2010</v>
      </c>
      <c r="C229" t="str">
        <f>"63.2136"</f>
        <v>63.2136</v>
      </c>
      <c r="D229" s="1" t="s">
        <v>220</v>
      </c>
      <c r="E229" t="s">
        <v>4337</v>
      </c>
    </row>
    <row r="230" spans="1:5" x14ac:dyDescent="0.35">
      <c r="A230" t="str">
        <f>"2010-11-29"</f>
        <v>2010-11-29</v>
      </c>
      <c r="B230" s="1" t="str">
        <f t="shared" si="3"/>
        <v>11/29/2010</v>
      </c>
      <c r="C230" t="str">
        <f>"59.0946"</f>
        <v>59.0946</v>
      </c>
      <c r="D230" s="1" t="s">
        <v>221</v>
      </c>
      <c r="E230" t="s">
        <v>4338</v>
      </c>
    </row>
    <row r="231" spans="1:5" x14ac:dyDescent="0.35">
      <c r="A231" t="str">
        <f>"2010-11-30"</f>
        <v>2010-11-30</v>
      </c>
      <c r="B231" s="1" t="str">
        <f t="shared" si="3"/>
        <v>11/30/2010</v>
      </c>
      <c r="C231" t="str">
        <f>"59.129"</f>
        <v>59.129</v>
      </c>
      <c r="D231" s="1" t="s">
        <v>222</v>
      </c>
      <c r="E231" t="s">
        <v>4339</v>
      </c>
    </row>
    <row r="232" spans="1:5" x14ac:dyDescent="0.35">
      <c r="A232" t="str">
        <f>"2010-12-01"</f>
        <v>2010-12-01</v>
      </c>
      <c r="B232" s="1" t="str">
        <f t="shared" si="3"/>
        <v>12/01/2010</v>
      </c>
      <c r="C232" t="str">
        <f>"59.9039"</f>
        <v>59.9039</v>
      </c>
      <c r="D232" s="1" t="s">
        <v>223</v>
      </c>
      <c r="E232" t="s">
        <v>4340</v>
      </c>
    </row>
    <row r="233" spans="1:5" x14ac:dyDescent="0.35">
      <c r="A233" t="str">
        <f>"2010-12-02"</f>
        <v>2010-12-02</v>
      </c>
      <c r="B233" s="1" t="str">
        <f t="shared" si="3"/>
        <v>12/02/2010</v>
      </c>
      <c r="C233" t="str">
        <f>"61.0776"</f>
        <v>61.0776</v>
      </c>
      <c r="D233" s="1" t="s">
        <v>224</v>
      </c>
      <c r="E233" t="s">
        <v>4341</v>
      </c>
    </row>
    <row r="234" spans="1:5" x14ac:dyDescent="0.35">
      <c r="A234" t="str">
        <f>"2010-12-03"</f>
        <v>2010-12-03</v>
      </c>
      <c r="B234" s="1" t="str">
        <f t="shared" si="3"/>
        <v>12/03/2010</v>
      </c>
      <c r="C234" t="str">
        <f>"58.5025"</f>
        <v>58.5025</v>
      </c>
      <c r="D234" s="1" t="s">
        <v>225</v>
      </c>
      <c r="E234" t="s">
        <v>4342</v>
      </c>
    </row>
    <row r="235" spans="1:5" x14ac:dyDescent="0.35">
      <c r="A235" t="str">
        <f>"2010-12-06"</f>
        <v>2010-12-06</v>
      </c>
      <c r="B235" s="1" t="str">
        <f t="shared" si="3"/>
        <v>12/06/2010</v>
      </c>
      <c r="C235" t="str">
        <f>"57.4616"</f>
        <v>57.4616</v>
      </c>
      <c r="D235" s="1" t="s">
        <v>226</v>
      </c>
      <c r="E235" t="s">
        <v>4343</v>
      </c>
    </row>
    <row r="236" spans="1:5" x14ac:dyDescent="0.35">
      <c r="A236" t="str">
        <f>"2010-12-07"</f>
        <v>2010-12-07</v>
      </c>
      <c r="B236" s="1" t="str">
        <f t="shared" si="3"/>
        <v>12/07/2010</v>
      </c>
      <c r="C236" t="str">
        <f>"56.7649"</f>
        <v>56.7649</v>
      </c>
      <c r="D236" s="1" t="s">
        <v>227</v>
      </c>
      <c r="E236" t="s">
        <v>4344</v>
      </c>
    </row>
    <row r="237" spans="1:5" x14ac:dyDescent="0.35">
      <c r="A237" t="str">
        <f>"2010-12-08"</f>
        <v>2010-12-08</v>
      </c>
      <c r="B237" s="1" t="str">
        <f t="shared" si="3"/>
        <v>12/08/2010</v>
      </c>
      <c r="C237" t="str">
        <f>"57.8775"</f>
        <v>57.8775</v>
      </c>
      <c r="D237" s="1" t="s">
        <v>228</v>
      </c>
      <c r="E237" t="s">
        <v>4345</v>
      </c>
    </row>
    <row r="238" spans="1:5" x14ac:dyDescent="0.35">
      <c r="A238" t="str">
        <f>"2010-12-09"</f>
        <v>2010-12-09</v>
      </c>
      <c r="B238" s="1" t="str">
        <f t="shared" si="3"/>
        <v>12/09/2010</v>
      </c>
      <c r="C238" t="str">
        <f>"55.3243"</f>
        <v>55.3243</v>
      </c>
      <c r="D238" s="1" t="s">
        <v>229</v>
      </c>
      <c r="E238" t="s">
        <v>4346</v>
      </c>
    </row>
    <row r="239" spans="1:5" x14ac:dyDescent="0.35">
      <c r="A239" t="str">
        <f>"2010-12-10"</f>
        <v>2010-12-10</v>
      </c>
      <c r="B239" s="1" t="str">
        <f t="shared" si="3"/>
        <v>12/10/2010</v>
      </c>
      <c r="C239" t="str">
        <f>"54.0203"</f>
        <v>54.0203</v>
      </c>
      <c r="D239" s="1" t="s">
        <v>230</v>
      </c>
      <c r="E239" t="s">
        <v>4347</v>
      </c>
    </row>
    <row r="240" spans="1:5" x14ac:dyDescent="0.35">
      <c r="A240" t="str">
        <f>"2010-12-13"</f>
        <v>2010-12-13</v>
      </c>
      <c r="B240" s="1" t="str">
        <f t="shared" si="3"/>
        <v>12/13/2010</v>
      </c>
      <c r="C240" t="str">
        <f>"54.304"</f>
        <v>54.304</v>
      </c>
      <c r="D240" s="1" t="s">
        <v>231</v>
      </c>
      <c r="E240" t="s">
        <v>4348</v>
      </c>
    </row>
    <row r="241" spans="1:5" x14ac:dyDescent="0.35">
      <c r="A241" t="str">
        <f>"2010-12-14"</f>
        <v>2010-12-14</v>
      </c>
      <c r="B241" s="1" t="str">
        <f t="shared" si="3"/>
        <v>12/14/2010</v>
      </c>
      <c r="C241" t="str">
        <f>"55.8904"</f>
        <v>55.8904</v>
      </c>
      <c r="D241" s="1" t="s">
        <v>232</v>
      </c>
      <c r="E241" t="s">
        <v>4349</v>
      </c>
    </row>
    <row r="242" spans="1:5" x14ac:dyDescent="0.35">
      <c r="A242" t="str">
        <f>"2010-12-15"</f>
        <v>2010-12-15</v>
      </c>
      <c r="B242" s="1" t="str">
        <f t="shared" si="3"/>
        <v>12/15/2010</v>
      </c>
      <c r="C242" t="str">
        <f>"55.4075"</f>
        <v>55.4075</v>
      </c>
      <c r="D242" s="1" t="s">
        <v>233</v>
      </c>
      <c r="E242" t="s">
        <v>4350</v>
      </c>
    </row>
    <row r="243" spans="1:5" x14ac:dyDescent="0.35">
      <c r="A243" t="str">
        <f>"2010-12-16"</f>
        <v>2010-12-16</v>
      </c>
      <c r="B243" s="1" t="str">
        <f t="shared" si="3"/>
        <v>12/16/2010</v>
      </c>
      <c r="C243" t="str">
        <f>"54.607"</f>
        <v>54.607</v>
      </c>
      <c r="D243" s="1" t="s">
        <v>234</v>
      </c>
      <c r="E243" t="s">
        <v>4351</v>
      </c>
    </row>
    <row r="244" spans="1:5" x14ac:dyDescent="0.35">
      <c r="A244" t="str">
        <f>"2010-12-17"</f>
        <v>2010-12-17</v>
      </c>
      <c r="B244" s="1" t="str">
        <f t="shared" si="3"/>
        <v>12/17/2010</v>
      </c>
      <c r="C244" t="str">
        <f>"52.7527"</f>
        <v>52.7527</v>
      </c>
      <c r="D244" s="1" t="s">
        <v>235</v>
      </c>
      <c r="E244" t="s">
        <v>4352</v>
      </c>
    </row>
    <row r="245" spans="1:5" x14ac:dyDescent="0.35">
      <c r="A245" t="str">
        <f>"2010-12-20"</f>
        <v>2010-12-20</v>
      </c>
      <c r="B245" s="1" t="str">
        <f t="shared" si="3"/>
        <v>12/20/2010</v>
      </c>
      <c r="C245" t="str">
        <f>"51.5397"</f>
        <v>51.5397</v>
      </c>
      <c r="D245" s="1" t="s">
        <v>236</v>
      </c>
      <c r="E245" t="s">
        <v>4353</v>
      </c>
    </row>
    <row r="246" spans="1:5" x14ac:dyDescent="0.35">
      <c r="A246" t="str">
        <f>"2010-12-21"</f>
        <v>2010-12-21</v>
      </c>
      <c r="B246" s="1" t="str">
        <f t="shared" si="3"/>
        <v>12/21/2010</v>
      </c>
      <c r="C246" t="str">
        <f>"52.5497"</f>
        <v>52.5497</v>
      </c>
      <c r="D246" s="1" t="s">
        <v>237</v>
      </c>
      <c r="E246" t="s">
        <v>4354</v>
      </c>
    </row>
    <row r="247" spans="1:5" x14ac:dyDescent="0.35">
      <c r="A247" t="str">
        <f>"2010-12-22"</f>
        <v>2010-12-22</v>
      </c>
      <c r="B247" s="1" t="str">
        <f t="shared" si="3"/>
        <v>12/22/2010</v>
      </c>
      <c r="C247" t="str">
        <f>"54.5964"</f>
        <v>54.5964</v>
      </c>
      <c r="D247" s="1" t="s">
        <v>238</v>
      </c>
      <c r="E247" t="s">
        <v>4355</v>
      </c>
    </row>
    <row r="248" spans="1:5" x14ac:dyDescent="0.35">
      <c r="A248" t="str">
        <f>"2010-12-23"</f>
        <v>2010-12-23</v>
      </c>
      <c r="B248" s="1" t="str">
        <f t="shared" si="3"/>
        <v>12/23/2010</v>
      </c>
      <c r="C248" t="str">
        <f>"55.3179"</f>
        <v>55.3179</v>
      </c>
      <c r="D248" s="1" t="s">
        <v>239</v>
      </c>
      <c r="E248" t="s">
        <v>4356</v>
      </c>
    </row>
    <row r="249" spans="1:5" x14ac:dyDescent="0.35">
      <c r="A249" t="str">
        <f>"2010-12-27"</f>
        <v>2010-12-27</v>
      </c>
      <c r="B249" s="1" t="str">
        <f t="shared" si="3"/>
        <v>12/27/2010</v>
      </c>
      <c r="C249" t="str">
        <f>"55.5437"</f>
        <v>55.5437</v>
      </c>
      <c r="D249" s="1" t="s">
        <v>240</v>
      </c>
      <c r="E249" t="s">
        <v>4357</v>
      </c>
    </row>
    <row r="250" spans="1:5" x14ac:dyDescent="0.35">
      <c r="A250" t="str">
        <f>"2010-12-28"</f>
        <v>2010-12-28</v>
      </c>
      <c r="B250" s="1" t="str">
        <f t="shared" si="3"/>
        <v>12/28/2010</v>
      </c>
      <c r="C250" t="str">
        <f>"55.1223"</f>
        <v>55.1223</v>
      </c>
      <c r="D250" s="1" t="s">
        <v>241</v>
      </c>
      <c r="E250" t="s">
        <v>4358</v>
      </c>
    </row>
    <row r="251" spans="1:5" x14ac:dyDescent="0.35">
      <c r="A251" t="str">
        <f>"2010-12-29"</f>
        <v>2010-12-29</v>
      </c>
      <c r="B251" s="1" t="str">
        <f t="shared" si="3"/>
        <v>12/29/2010</v>
      </c>
      <c r="C251" t="str">
        <f>"55.0384"</f>
        <v>55.0384</v>
      </c>
      <c r="D251" s="1" t="s">
        <v>242</v>
      </c>
      <c r="E251" t="s">
        <v>4359</v>
      </c>
    </row>
    <row r="252" spans="1:5" x14ac:dyDescent="0.35">
      <c r="A252" t="str">
        <f>"2010-12-30"</f>
        <v>2010-12-30</v>
      </c>
      <c r="B252" s="1" t="str">
        <f t="shared" si="3"/>
        <v>12/30/2010</v>
      </c>
      <c r="C252" t="str">
        <f>"56.3139"</f>
        <v>56.3139</v>
      </c>
      <c r="D252" s="1" t="s">
        <v>243</v>
      </c>
      <c r="E252" t="s">
        <v>4360</v>
      </c>
    </row>
    <row r="253" spans="1:5" x14ac:dyDescent="0.35">
      <c r="A253" t="str">
        <f>"2010-12-31"</f>
        <v>2010-12-31</v>
      </c>
      <c r="B253" s="1" t="str">
        <f t="shared" si="3"/>
        <v>12/31/2010</v>
      </c>
      <c r="C253" t="str">
        <f>"55.1726"</f>
        <v>55.1726</v>
      </c>
      <c r="D253" s="1" t="s">
        <v>244</v>
      </c>
      <c r="E253" t="s">
        <v>4361</v>
      </c>
    </row>
    <row r="254" spans="1:5" x14ac:dyDescent="0.35">
      <c r="A254" t="str">
        <f>"2011-01-03"</f>
        <v>2011-01-03</v>
      </c>
      <c r="B254" s="1" t="str">
        <f t="shared" si="3"/>
        <v>01/03/2011</v>
      </c>
      <c r="C254" t="str">
        <f>"57.1413"</f>
        <v>57.1413</v>
      </c>
      <c r="D254" s="1" t="s">
        <v>245</v>
      </c>
      <c r="E254" t="s">
        <v>4362</v>
      </c>
    </row>
    <row r="255" spans="1:5" x14ac:dyDescent="0.35">
      <c r="A255" t="str">
        <f>"2011-01-04"</f>
        <v>2011-01-04</v>
      </c>
      <c r="B255" s="1" t="str">
        <f t="shared" si="3"/>
        <v>01/04/2011</v>
      </c>
      <c r="C255" t="str">
        <f>"58.2734"</f>
        <v>58.2734</v>
      </c>
      <c r="D255" s="1" t="s">
        <v>246</v>
      </c>
      <c r="E255" t="s">
        <v>4363</v>
      </c>
    </row>
    <row r="256" spans="1:5" x14ac:dyDescent="0.35">
      <c r="A256" t="str">
        <f>"2011-01-05"</f>
        <v>2011-01-05</v>
      </c>
      <c r="B256" s="1" t="str">
        <f t="shared" si="3"/>
        <v>01/05/2011</v>
      </c>
      <c r="C256" t="str">
        <f>"58.0276"</f>
        <v>58.0276</v>
      </c>
      <c r="D256" s="1" t="s">
        <v>247</v>
      </c>
      <c r="E256" t="s">
        <v>4364</v>
      </c>
    </row>
    <row r="257" spans="1:5" x14ac:dyDescent="0.35">
      <c r="A257" t="str">
        <f>"2011-01-06"</f>
        <v>2011-01-06</v>
      </c>
      <c r="B257" s="1" t="str">
        <f t="shared" si="3"/>
        <v>01/06/2011</v>
      </c>
      <c r="C257" t="str">
        <f>"57.939"</f>
        <v>57.939</v>
      </c>
      <c r="D257" s="1" t="s">
        <v>248</v>
      </c>
      <c r="E257" t="s">
        <v>4365</v>
      </c>
    </row>
    <row r="258" spans="1:5" x14ac:dyDescent="0.35">
      <c r="A258" t="str">
        <f>"2011-01-07"</f>
        <v>2011-01-07</v>
      </c>
      <c r="B258" s="1" t="str">
        <f t="shared" si="3"/>
        <v>01/07/2011</v>
      </c>
      <c r="C258" t="str">
        <f>"57.5388"</f>
        <v>57.5388</v>
      </c>
      <c r="D258" s="1" t="s">
        <v>249</v>
      </c>
      <c r="E258" t="s">
        <v>4366</v>
      </c>
    </row>
    <row r="259" spans="1:5" x14ac:dyDescent="0.35">
      <c r="A259" t="str">
        <f>"2011-01-10"</f>
        <v>2011-01-10</v>
      </c>
      <c r="B259" s="1" t="str">
        <f t="shared" ref="B259:B322" si="4">LEFT(RIGHT(A259,5),2)&amp;"/"&amp;RIGHT(A259,2)&amp;"/"&amp;LEFT(A259,4)</f>
        <v>01/10/2011</v>
      </c>
      <c r="C259" t="str">
        <f>"53.9007"</f>
        <v>53.9007</v>
      </c>
      <c r="D259" s="1" t="s">
        <v>250</v>
      </c>
      <c r="E259" t="s">
        <v>4367</v>
      </c>
    </row>
    <row r="260" spans="1:5" x14ac:dyDescent="0.35">
      <c r="A260" t="str">
        <f>"2011-01-11"</f>
        <v>2011-01-11</v>
      </c>
      <c r="B260" s="1" t="str">
        <f t="shared" si="4"/>
        <v>01/11/2011</v>
      </c>
      <c r="C260" t="str">
        <f>"52.9299"</f>
        <v>52.9299</v>
      </c>
      <c r="D260" s="1" t="s">
        <v>251</v>
      </c>
      <c r="E260" t="s">
        <v>4368</v>
      </c>
    </row>
    <row r="261" spans="1:5" x14ac:dyDescent="0.35">
      <c r="A261" t="str">
        <f>"2011-01-12"</f>
        <v>2011-01-12</v>
      </c>
      <c r="B261" s="1" t="str">
        <f t="shared" si="4"/>
        <v>01/12/2011</v>
      </c>
      <c r="C261" t="str">
        <f>"53.4709"</f>
        <v>53.4709</v>
      </c>
      <c r="D261" s="1" t="s">
        <v>252</v>
      </c>
      <c r="E261" t="s">
        <v>4369</v>
      </c>
    </row>
    <row r="262" spans="1:5" x14ac:dyDescent="0.35">
      <c r="A262" t="str">
        <f>"2011-01-13"</f>
        <v>2011-01-13</v>
      </c>
      <c r="B262" s="1" t="str">
        <f t="shared" si="4"/>
        <v>01/13/2011</v>
      </c>
      <c r="C262" t="str">
        <f>"54.1914"</f>
        <v>54.1914</v>
      </c>
      <c r="D262" s="1" t="s">
        <v>253</v>
      </c>
      <c r="E262" t="s">
        <v>4370</v>
      </c>
    </row>
    <row r="263" spans="1:5" x14ac:dyDescent="0.35">
      <c r="A263" t="str">
        <f>"2011-01-14"</f>
        <v>2011-01-14</v>
      </c>
      <c r="B263" s="1" t="str">
        <f t="shared" si="4"/>
        <v>01/14/2011</v>
      </c>
      <c r="C263" t="str">
        <f>"55.3152"</f>
        <v>55.3152</v>
      </c>
      <c r="D263" s="1" t="s">
        <v>254</v>
      </c>
      <c r="E263" t="s">
        <v>4371</v>
      </c>
    </row>
    <row r="264" spans="1:5" x14ac:dyDescent="0.35">
      <c r="A264" t="str">
        <f>"2011-01-18"</f>
        <v>2011-01-18</v>
      </c>
      <c r="B264" s="1" t="str">
        <f t="shared" si="4"/>
        <v>01/18/2011</v>
      </c>
      <c r="C264" t="str">
        <f>"53.4956"</f>
        <v>53.4956</v>
      </c>
      <c r="D264" s="1" t="s">
        <v>255</v>
      </c>
      <c r="E264" t="s">
        <v>4372</v>
      </c>
    </row>
    <row r="265" spans="1:5" x14ac:dyDescent="0.35">
      <c r="A265" t="str">
        <f>"2011-01-19"</f>
        <v>2011-01-19</v>
      </c>
      <c r="B265" s="1" t="str">
        <f t="shared" si="4"/>
        <v>01/19/2011</v>
      </c>
      <c r="C265" t="str">
        <f>"54.2565"</f>
        <v>54.2565</v>
      </c>
      <c r="D265" s="1" t="s">
        <v>256</v>
      </c>
      <c r="E265" t="s">
        <v>4373</v>
      </c>
    </row>
    <row r="266" spans="1:5" x14ac:dyDescent="0.35">
      <c r="A266" t="str">
        <f>"2011-01-20"</f>
        <v>2011-01-20</v>
      </c>
      <c r="B266" s="1" t="str">
        <f t="shared" si="4"/>
        <v>01/20/2011</v>
      </c>
      <c r="C266" t="str">
        <f>"53.4447"</f>
        <v>53.4447</v>
      </c>
      <c r="D266" s="1" t="s">
        <v>257</v>
      </c>
      <c r="E266" t="s">
        <v>4374</v>
      </c>
    </row>
    <row r="267" spans="1:5" x14ac:dyDescent="0.35">
      <c r="A267" t="str">
        <f>"2011-01-21"</f>
        <v>2011-01-21</v>
      </c>
      <c r="B267" s="1" t="str">
        <f t="shared" si="4"/>
        <v>01/21/2011</v>
      </c>
      <c r="C267" t="str">
        <f>"52.9586"</f>
        <v>52.9586</v>
      </c>
      <c r="D267" s="1" t="s">
        <v>258</v>
      </c>
      <c r="E267" t="s">
        <v>4375</v>
      </c>
    </row>
    <row r="268" spans="1:5" x14ac:dyDescent="0.35">
      <c r="A268" t="str">
        <f>"2011-01-24"</f>
        <v>2011-01-24</v>
      </c>
      <c r="B268" s="1" t="str">
        <f t="shared" si="4"/>
        <v>01/24/2011</v>
      </c>
      <c r="C268" t="str">
        <f>"52.767"</f>
        <v>52.767</v>
      </c>
      <c r="D268" s="1" t="s">
        <v>259</v>
      </c>
      <c r="E268" t="s">
        <v>4376</v>
      </c>
    </row>
    <row r="269" spans="1:5" x14ac:dyDescent="0.35">
      <c r="A269" t="str">
        <f>"2011-01-25"</f>
        <v>2011-01-25</v>
      </c>
      <c r="B269" s="1" t="str">
        <f t="shared" si="4"/>
        <v>01/25/2011</v>
      </c>
      <c r="C269" t="str">
        <f>"56.3653"</f>
        <v>56.3653</v>
      </c>
      <c r="D269" s="1" t="s">
        <v>260</v>
      </c>
      <c r="E269" t="s">
        <v>4377</v>
      </c>
    </row>
    <row r="270" spans="1:5" x14ac:dyDescent="0.35">
      <c r="A270" t="str">
        <f>"2011-01-26"</f>
        <v>2011-01-26</v>
      </c>
      <c r="B270" s="1" t="str">
        <f t="shared" si="4"/>
        <v>01/26/2011</v>
      </c>
      <c r="C270" t="str">
        <f>"57.2138"</f>
        <v>57.2138</v>
      </c>
      <c r="D270" s="1" t="s">
        <v>261</v>
      </c>
      <c r="E270" t="s">
        <v>4378</v>
      </c>
    </row>
    <row r="271" spans="1:5" x14ac:dyDescent="0.35">
      <c r="A271" t="str">
        <f>"2011-01-27"</f>
        <v>2011-01-27</v>
      </c>
      <c r="B271" s="1" t="str">
        <f t="shared" si="4"/>
        <v>01/27/2011</v>
      </c>
      <c r="C271" t="str">
        <f>"57.3545"</f>
        <v>57.3545</v>
      </c>
      <c r="D271" s="1" t="s">
        <v>262</v>
      </c>
      <c r="E271" t="s">
        <v>4379</v>
      </c>
    </row>
    <row r="272" spans="1:5" x14ac:dyDescent="0.35">
      <c r="A272" t="str">
        <f>"2011-01-28"</f>
        <v>2011-01-28</v>
      </c>
      <c r="B272" s="1" t="str">
        <f t="shared" si="4"/>
        <v>01/28/2011</v>
      </c>
      <c r="C272" t="str">
        <f>"55.2095"</f>
        <v>55.2095</v>
      </c>
      <c r="D272" s="1" t="s">
        <v>263</v>
      </c>
      <c r="E272" t="s">
        <v>4380</v>
      </c>
    </row>
    <row r="273" spans="1:5" x14ac:dyDescent="0.35">
      <c r="A273" t="str">
        <f>"2011-01-31"</f>
        <v>2011-01-31</v>
      </c>
      <c r="B273" s="1" t="str">
        <f t="shared" si="4"/>
        <v>01/31/2011</v>
      </c>
      <c r="C273" t="str">
        <f>"54.368"</f>
        <v>54.368</v>
      </c>
      <c r="D273" s="1" t="s">
        <v>264</v>
      </c>
      <c r="E273" t="s">
        <v>4381</v>
      </c>
    </row>
    <row r="274" spans="1:5" x14ac:dyDescent="0.35">
      <c r="A274" t="str">
        <f>"2011-02-01"</f>
        <v>2011-02-01</v>
      </c>
      <c r="B274" s="1" t="str">
        <f t="shared" si="4"/>
        <v>02/01/2011</v>
      </c>
      <c r="C274" t="str">
        <f>"55.3737"</f>
        <v>55.3737</v>
      </c>
      <c r="D274" s="1" t="s">
        <v>265</v>
      </c>
      <c r="E274" t="s">
        <v>4382</v>
      </c>
    </row>
    <row r="275" spans="1:5" x14ac:dyDescent="0.35">
      <c r="A275" t="str">
        <f>"2011-02-02"</f>
        <v>2011-02-02</v>
      </c>
      <c r="B275" s="1" t="str">
        <f t="shared" si="4"/>
        <v>02/02/2011</v>
      </c>
      <c r="C275" t="str">
        <f>"55.598"</f>
        <v>55.598</v>
      </c>
      <c r="D275" s="1" t="s">
        <v>266</v>
      </c>
      <c r="E275" t="s">
        <v>4383</v>
      </c>
    </row>
    <row r="276" spans="1:5" x14ac:dyDescent="0.35">
      <c r="A276" t="str">
        <f>"2011-02-03"</f>
        <v>2011-02-03</v>
      </c>
      <c r="B276" s="1" t="str">
        <f t="shared" si="4"/>
        <v>02/03/2011</v>
      </c>
      <c r="C276" t="str">
        <f>"53.5188"</f>
        <v>53.5188</v>
      </c>
      <c r="D276" s="1" t="s">
        <v>267</v>
      </c>
      <c r="E276" t="s">
        <v>4384</v>
      </c>
    </row>
    <row r="277" spans="1:5" x14ac:dyDescent="0.35">
      <c r="A277" t="str">
        <f>"2011-02-04"</f>
        <v>2011-02-04</v>
      </c>
      <c r="B277" s="1" t="str">
        <f t="shared" si="4"/>
        <v>02/04/2011</v>
      </c>
      <c r="C277" t="str">
        <f>"53.7074"</f>
        <v>53.7074</v>
      </c>
      <c r="D277" s="1" t="s">
        <v>268</v>
      </c>
      <c r="E277" t="s">
        <v>4385</v>
      </c>
    </row>
    <row r="278" spans="1:5" x14ac:dyDescent="0.35">
      <c r="A278" t="str">
        <f>"2011-02-07"</f>
        <v>2011-02-07</v>
      </c>
      <c r="B278" s="1" t="str">
        <f t="shared" si="4"/>
        <v>02/07/2011</v>
      </c>
      <c r="C278" t="str">
        <f>"54.078"</f>
        <v>54.078</v>
      </c>
      <c r="D278" s="1" t="s">
        <v>269</v>
      </c>
      <c r="E278" t="s">
        <v>4386</v>
      </c>
    </row>
    <row r="279" spans="1:5" x14ac:dyDescent="0.35">
      <c r="A279" t="str">
        <f>"2011-02-08"</f>
        <v>2011-02-08</v>
      </c>
      <c r="B279" s="1" t="str">
        <f t="shared" si="4"/>
        <v>02/08/2011</v>
      </c>
      <c r="C279" t="str">
        <f>"53.5027"</f>
        <v>53.5027</v>
      </c>
      <c r="D279" s="1" t="s">
        <v>270</v>
      </c>
      <c r="E279" t="s">
        <v>4387</v>
      </c>
    </row>
    <row r="280" spans="1:5" x14ac:dyDescent="0.35">
      <c r="A280" t="str">
        <f>"2011-02-09"</f>
        <v>2011-02-09</v>
      </c>
      <c r="B280" s="1" t="str">
        <f t="shared" si="4"/>
        <v>02/09/2011</v>
      </c>
      <c r="C280" t="str">
        <f>"54.5616"</f>
        <v>54.5616</v>
      </c>
      <c r="D280" s="1" t="s">
        <v>271</v>
      </c>
      <c r="E280" t="s">
        <v>4388</v>
      </c>
    </row>
    <row r="281" spans="1:5" x14ac:dyDescent="0.35">
      <c r="A281" t="str">
        <f>"2011-02-10"</f>
        <v>2011-02-10</v>
      </c>
      <c r="B281" s="1" t="str">
        <f t="shared" si="4"/>
        <v>02/10/2011</v>
      </c>
      <c r="C281" t="str">
        <f>"53.5569"</f>
        <v>53.5569</v>
      </c>
      <c r="D281" s="1" t="s">
        <v>272</v>
      </c>
      <c r="E281" t="s">
        <v>4389</v>
      </c>
    </row>
    <row r="282" spans="1:5" x14ac:dyDescent="0.35">
      <c r="A282" t="str">
        <f>"2011-02-11"</f>
        <v>2011-02-11</v>
      </c>
      <c r="B282" s="1" t="str">
        <f t="shared" si="4"/>
        <v>02/11/2011</v>
      </c>
      <c r="C282" t="str">
        <f>"54.7637"</f>
        <v>54.7637</v>
      </c>
      <c r="D282" s="1" t="s">
        <v>273</v>
      </c>
      <c r="E282" t="s">
        <v>4390</v>
      </c>
    </row>
    <row r="283" spans="1:5" x14ac:dyDescent="0.35">
      <c r="A283" t="str">
        <f>"2011-02-14"</f>
        <v>2011-02-14</v>
      </c>
      <c r="B283" s="1" t="str">
        <f t="shared" si="4"/>
        <v>02/14/2011</v>
      </c>
      <c r="C283" t="str">
        <f>"53.5285"</f>
        <v>53.5285</v>
      </c>
      <c r="D283" s="1" t="s">
        <v>274</v>
      </c>
      <c r="E283" t="s">
        <v>4391</v>
      </c>
    </row>
    <row r="284" spans="1:5" x14ac:dyDescent="0.35">
      <c r="A284" t="str">
        <f>"2011-02-15"</f>
        <v>2011-02-15</v>
      </c>
      <c r="B284" s="1" t="str">
        <f t="shared" si="4"/>
        <v>02/15/2011</v>
      </c>
      <c r="C284" t="str">
        <f>"52.1037"</f>
        <v>52.1037</v>
      </c>
      <c r="D284" s="1" t="s">
        <v>275</v>
      </c>
      <c r="E284" t="s">
        <v>4392</v>
      </c>
    </row>
    <row r="285" spans="1:5" x14ac:dyDescent="0.35">
      <c r="A285" t="str">
        <f>"2011-02-16"</f>
        <v>2011-02-16</v>
      </c>
      <c r="B285" s="1" t="str">
        <f t="shared" si="4"/>
        <v>02/16/2011</v>
      </c>
      <c r="C285" t="str">
        <f>"52.2448"</f>
        <v>52.2448</v>
      </c>
      <c r="D285" s="1" t="s">
        <v>276</v>
      </c>
      <c r="E285" t="s">
        <v>4393</v>
      </c>
    </row>
    <row r="286" spans="1:5" x14ac:dyDescent="0.35">
      <c r="A286" t="str">
        <f>"2011-02-17"</f>
        <v>2011-02-17</v>
      </c>
      <c r="B286" s="1" t="str">
        <f t="shared" si="4"/>
        <v>02/17/2011</v>
      </c>
      <c r="C286" t="str">
        <f>"52.0815"</f>
        <v>52.0815</v>
      </c>
      <c r="D286" s="1" t="s">
        <v>277</v>
      </c>
      <c r="E286" t="s">
        <v>4394</v>
      </c>
    </row>
    <row r="287" spans="1:5" x14ac:dyDescent="0.35">
      <c r="A287" t="str">
        <f>"2011-02-18"</f>
        <v>2011-02-18</v>
      </c>
      <c r="B287" s="1" t="str">
        <f t="shared" si="4"/>
        <v>02/18/2011</v>
      </c>
      <c r="C287" t="str">
        <f>"52.1977"</f>
        <v>52.1977</v>
      </c>
      <c r="D287" s="1" t="s">
        <v>278</v>
      </c>
      <c r="E287" t="s">
        <v>4395</v>
      </c>
    </row>
    <row r="288" spans="1:5" x14ac:dyDescent="0.35">
      <c r="A288" t="str">
        <f>"2011-02-22"</f>
        <v>2011-02-22</v>
      </c>
      <c r="B288" s="1" t="str">
        <f t="shared" si="4"/>
        <v>02/22/2011</v>
      </c>
      <c r="C288" t="str">
        <f>"47.5985"</f>
        <v>47.5985</v>
      </c>
      <c r="D288" s="1" t="s">
        <v>279</v>
      </c>
      <c r="E288" t="s">
        <v>4396</v>
      </c>
    </row>
    <row r="289" spans="1:5" x14ac:dyDescent="0.35">
      <c r="A289" t="str">
        <f>"2011-02-23"</f>
        <v>2011-02-23</v>
      </c>
      <c r="B289" s="1" t="str">
        <f t="shared" si="4"/>
        <v>02/23/2011</v>
      </c>
      <c r="C289" t="str">
        <f>"44.293"</f>
        <v>44.293</v>
      </c>
      <c r="D289" s="1" t="s">
        <v>280</v>
      </c>
      <c r="E289" t="s">
        <v>4397</v>
      </c>
    </row>
    <row r="290" spans="1:5" x14ac:dyDescent="0.35">
      <c r="A290" t="str">
        <f>"2011-02-24"</f>
        <v>2011-02-24</v>
      </c>
      <c r="B290" s="1" t="str">
        <f t="shared" si="4"/>
        <v>02/24/2011</v>
      </c>
      <c r="C290" t="str">
        <f>"42.9122"</f>
        <v>42.9122</v>
      </c>
      <c r="D290" s="1" t="s">
        <v>281</v>
      </c>
      <c r="E290" t="s">
        <v>4398</v>
      </c>
    </row>
    <row r="291" spans="1:5" x14ac:dyDescent="0.35">
      <c r="A291" t="str">
        <f>"2011-02-25"</f>
        <v>2011-02-25</v>
      </c>
      <c r="B291" s="1" t="str">
        <f t="shared" si="4"/>
        <v>02/25/2011</v>
      </c>
      <c r="C291" t="str">
        <f>"46.0703"</f>
        <v>46.0703</v>
      </c>
      <c r="D291" s="1" t="s">
        <v>282</v>
      </c>
      <c r="E291" t="s">
        <v>4399</v>
      </c>
    </row>
    <row r="292" spans="1:5" x14ac:dyDescent="0.35">
      <c r="A292" t="str">
        <f>"2011-02-28"</f>
        <v>2011-02-28</v>
      </c>
      <c r="B292" s="1" t="str">
        <f t="shared" si="4"/>
        <v>02/28/2011</v>
      </c>
      <c r="C292" t="str">
        <f>"45.0447"</f>
        <v>45.0447</v>
      </c>
      <c r="D292" s="1" t="s">
        <v>283</v>
      </c>
      <c r="E292" t="s">
        <v>4400</v>
      </c>
    </row>
    <row r="293" spans="1:5" x14ac:dyDescent="0.35">
      <c r="A293" t="str">
        <f>"2011-03-01"</f>
        <v>2011-03-01</v>
      </c>
      <c r="B293" s="1" t="str">
        <f t="shared" si="4"/>
        <v>03/01/2011</v>
      </c>
      <c r="C293" t="str">
        <f>"41.5557"</f>
        <v>41.5557</v>
      </c>
      <c r="D293" s="1" t="s">
        <v>284</v>
      </c>
      <c r="E293" t="s">
        <v>4401</v>
      </c>
    </row>
    <row r="294" spans="1:5" x14ac:dyDescent="0.35">
      <c r="A294" t="str">
        <f>"2011-03-02"</f>
        <v>2011-03-02</v>
      </c>
      <c r="B294" s="1" t="str">
        <f t="shared" si="4"/>
        <v>03/02/2011</v>
      </c>
      <c r="C294" t="str">
        <f>"40.7991"</f>
        <v>40.7991</v>
      </c>
      <c r="D294" s="1" t="s">
        <v>285</v>
      </c>
      <c r="E294" t="s">
        <v>4402</v>
      </c>
    </row>
    <row r="295" spans="1:5" x14ac:dyDescent="0.35">
      <c r="A295" t="str">
        <f>"2011-03-03"</f>
        <v>2011-03-03</v>
      </c>
      <c r="B295" s="1" t="str">
        <f t="shared" si="4"/>
        <v>03/03/2011</v>
      </c>
      <c r="C295" t="str">
        <f>"43.9326"</f>
        <v>43.9326</v>
      </c>
      <c r="D295" s="1" t="s">
        <v>286</v>
      </c>
      <c r="E295" t="s">
        <v>4403</v>
      </c>
    </row>
    <row r="296" spans="1:5" x14ac:dyDescent="0.35">
      <c r="A296" t="str">
        <f>"2011-03-04"</f>
        <v>2011-03-04</v>
      </c>
      <c r="B296" s="1" t="str">
        <f t="shared" si="4"/>
        <v>03/04/2011</v>
      </c>
      <c r="C296" t="str">
        <f>"43.7736"</f>
        <v>43.7736</v>
      </c>
      <c r="D296" s="1" t="s">
        <v>287</v>
      </c>
      <c r="E296" t="s">
        <v>4404</v>
      </c>
    </row>
    <row r="297" spans="1:5" x14ac:dyDescent="0.35">
      <c r="A297" t="str">
        <f>"2011-03-07"</f>
        <v>2011-03-07</v>
      </c>
      <c r="B297" s="1" t="str">
        <f t="shared" si="4"/>
        <v>03/07/2011</v>
      </c>
      <c r="C297" t="str">
        <f>"42.8832"</f>
        <v>42.8832</v>
      </c>
      <c r="D297" s="1" t="s">
        <v>288</v>
      </c>
      <c r="E297" t="s">
        <v>4405</v>
      </c>
    </row>
    <row r="298" spans="1:5" x14ac:dyDescent="0.35">
      <c r="A298" t="str">
        <f>"2011-03-08"</f>
        <v>2011-03-08</v>
      </c>
      <c r="B298" s="1" t="str">
        <f t="shared" si="4"/>
        <v>03/08/2011</v>
      </c>
      <c r="C298" t="str">
        <f>"44.2091"</f>
        <v>44.2091</v>
      </c>
      <c r="D298" s="1" t="s">
        <v>289</v>
      </c>
      <c r="E298" t="s">
        <v>4406</v>
      </c>
    </row>
    <row r="299" spans="1:5" x14ac:dyDescent="0.35">
      <c r="A299" t="str">
        <f>"2011-03-09"</f>
        <v>2011-03-09</v>
      </c>
      <c r="B299" s="1" t="str">
        <f t="shared" si="4"/>
        <v>03/09/2011</v>
      </c>
      <c r="C299" t="str">
        <f>"44.6773"</f>
        <v>44.6773</v>
      </c>
      <c r="D299" s="1" t="s">
        <v>290</v>
      </c>
      <c r="E299" t="s">
        <v>4407</v>
      </c>
    </row>
    <row r="300" spans="1:5" x14ac:dyDescent="0.35">
      <c r="A300" t="str">
        <f>"2011-03-10"</f>
        <v>2011-03-10</v>
      </c>
      <c r="B300" s="1" t="str">
        <f t="shared" si="4"/>
        <v>03/10/2011</v>
      </c>
      <c r="C300" t="str">
        <f>"45.4759"</f>
        <v>45.4759</v>
      </c>
      <c r="D300" s="1" t="s">
        <v>291</v>
      </c>
      <c r="E300" t="s">
        <v>4408</v>
      </c>
    </row>
    <row r="301" spans="1:5" x14ac:dyDescent="0.35">
      <c r="A301" t="str">
        <f>"2011-03-11"</f>
        <v>2011-03-11</v>
      </c>
      <c r="B301" s="1" t="str">
        <f t="shared" si="4"/>
        <v>03/11/2011</v>
      </c>
      <c r="C301" t="str">
        <f>"46.0179"</f>
        <v>46.0179</v>
      </c>
      <c r="D301" s="1" t="s">
        <v>292</v>
      </c>
      <c r="E301" t="s">
        <v>4409</v>
      </c>
    </row>
    <row r="302" spans="1:5" x14ac:dyDescent="0.35">
      <c r="A302" t="str">
        <f>"2011-03-14"</f>
        <v>2011-03-14</v>
      </c>
      <c r="B302" s="1" t="str">
        <f t="shared" si="4"/>
        <v>03/14/2011</v>
      </c>
      <c r="C302" t="str">
        <f>"46.6885"</f>
        <v>46.6885</v>
      </c>
      <c r="D302" s="1" t="s">
        <v>293</v>
      </c>
      <c r="E302" t="s">
        <v>4410</v>
      </c>
    </row>
    <row r="303" spans="1:5" x14ac:dyDescent="0.35">
      <c r="A303" t="str">
        <f>"2011-03-15"</f>
        <v>2011-03-15</v>
      </c>
      <c r="B303" s="1" t="str">
        <f t="shared" si="4"/>
        <v>03/15/2011</v>
      </c>
      <c r="C303" t="str">
        <f>"47.602"</f>
        <v>47.602</v>
      </c>
      <c r="D303" s="1" t="s">
        <v>294</v>
      </c>
      <c r="E303" t="s">
        <v>4411</v>
      </c>
    </row>
    <row r="304" spans="1:5" x14ac:dyDescent="0.35">
      <c r="A304" t="str">
        <f>"2011-03-16"</f>
        <v>2011-03-16</v>
      </c>
      <c r="B304" s="1" t="str">
        <f t="shared" si="4"/>
        <v>03/16/2011</v>
      </c>
      <c r="C304" t="str">
        <f>"45.7607"</f>
        <v>45.7607</v>
      </c>
      <c r="D304" s="1" t="s">
        <v>295</v>
      </c>
      <c r="E304" t="s">
        <v>4412</v>
      </c>
    </row>
    <row r="305" spans="1:5" x14ac:dyDescent="0.35">
      <c r="A305" t="str">
        <f>"2011-03-17"</f>
        <v>2011-03-17</v>
      </c>
      <c r="B305" s="1" t="str">
        <f t="shared" si="4"/>
        <v>03/17/2011</v>
      </c>
      <c r="C305" t="str">
        <f>"45.9009"</f>
        <v>45.9009</v>
      </c>
      <c r="D305" s="1" t="s">
        <v>296</v>
      </c>
      <c r="E305" t="s">
        <v>4413</v>
      </c>
    </row>
    <row r="306" spans="1:5" x14ac:dyDescent="0.35">
      <c r="A306" t="str">
        <f>"2011-03-18"</f>
        <v>2011-03-18</v>
      </c>
      <c r="B306" s="1" t="str">
        <f t="shared" si="4"/>
        <v>03/18/2011</v>
      </c>
      <c r="C306" t="str">
        <f>"46.0833"</f>
        <v>46.0833</v>
      </c>
      <c r="D306" s="1" t="s">
        <v>297</v>
      </c>
      <c r="E306" t="s">
        <v>4414</v>
      </c>
    </row>
    <row r="307" spans="1:5" x14ac:dyDescent="0.35">
      <c r="A307" t="str">
        <f>"2011-03-21"</f>
        <v>2011-03-21</v>
      </c>
      <c r="B307" s="1" t="str">
        <f t="shared" si="4"/>
        <v>03/21/2011</v>
      </c>
      <c r="C307" t="str">
        <f>"45.711"</f>
        <v>45.711</v>
      </c>
      <c r="D307" s="1" t="s">
        <v>298</v>
      </c>
      <c r="E307" t="s">
        <v>4415</v>
      </c>
    </row>
    <row r="308" spans="1:5" x14ac:dyDescent="0.35">
      <c r="A308" t="str">
        <f>"2011-03-22"</f>
        <v>2011-03-22</v>
      </c>
      <c r="B308" s="1" t="str">
        <f t="shared" si="4"/>
        <v>03/22/2011</v>
      </c>
      <c r="C308" t="str">
        <f>"45.7303"</f>
        <v>45.7303</v>
      </c>
      <c r="D308" s="1" t="s">
        <v>299</v>
      </c>
      <c r="E308" t="s">
        <v>4416</v>
      </c>
    </row>
    <row r="309" spans="1:5" x14ac:dyDescent="0.35">
      <c r="A309" t="str">
        <f>"2011-03-23"</f>
        <v>2011-03-23</v>
      </c>
      <c r="B309" s="1" t="str">
        <f t="shared" si="4"/>
        <v>03/23/2011</v>
      </c>
      <c r="C309" t="str">
        <f>"45.2466"</f>
        <v>45.2466</v>
      </c>
      <c r="D309" s="1" t="s">
        <v>300</v>
      </c>
      <c r="E309" t="s">
        <v>4417</v>
      </c>
    </row>
    <row r="310" spans="1:5" x14ac:dyDescent="0.35">
      <c r="A310" t="str">
        <f>"2011-03-24"</f>
        <v>2011-03-24</v>
      </c>
      <c r="B310" s="1" t="str">
        <f t="shared" si="4"/>
        <v>03/24/2011</v>
      </c>
      <c r="C310" t="str">
        <f>"43.941"</f>
        <v>43.941</v>
      </c>
      <c r="D310" s="1" t="s">
        <v>301</v>
      </c>
      <c r="E310" t="s">
        <v>4418</v>
      </c>
    </row>
    <row r="311" spans="1:5" x14ac:dyDescent="0.35">
      <c r="A311" t="str">
        <f>"2011-03-25"</f>
        <v>2011-03-25</v>
      </c>
      <c r="B311" s="1" t="str">
        <f t="shared" si="4"/>
        <v>03/25/2011</v>
      </c>
      <c r="C311" t="str">
        <f>"43.388"</f>
        <v>43.388</v>
      </c>
      <c r="D311" s="1" t="s">
        <v>302</v>
      </c>
      <c r="E311" t="s">
        <v>4419</v>
      </c>
    </row>
    <row r="312" spans="1:5" x14ac:dyDescent="0.35">
      <c r="A312" t="str">
        <f>"2011-03-28"</f>
        <v>2011-03-28</v>
      </c>
      <c r="B312" s="1" t="str">
        <f t="shared" si="4"/>
        <v>03/28/2011</v>
      </c>
      <c r="C312" t="str">
        <f>"43.5521"</f>
        <v>43.5521</v>
      </c>
      <c r="D312" s="1" t="s">
        <v>303</v>
      </c>
      <c r="E312" t="s">
        <v>4420</v>
      </c>
    </row>
    <row r="313" spans="1:5" x14ac:dyDescent="0.35">
      <c r="A313" t="str">
        <f>"2011-03-29"</f>
        <v>2011-03-29</v>
      </c>
      <c r="B313" s="1" t="str">
        <f t="shared" si="4"/>
        <v>03/29/2011</v>
      </c>
      <c r="C313" t="str">
        <f>"43.2871"</f>
        <v>43.2871</v>
      </c>
      <c r="D313" s="1" t="s">
        <v>304</v>
      </c>
      <c r="E313" t="s">
        <v>4421</v>
      </c>
    </row>
    <row r="314" spans="1:5" x14ac:dyDescent="0.35">
      <c r="A314" t="str">
        <f>"2011-03-30"</f>
        <v>2011-03-30</v>
      </c>
      <c r="B314" s="1" t="str">
        <f t="shared" si="4"/>
        <v>03/30/2011</v>
      </c>
      <c r="C314" t="str">
        <f>"44.091"</f>
        <v>44.091</v>
      </c>
      <c r="D314" s="1" t="s">
        <v>305</v>
      </c>
      <c r="E314" t="s">
        <v>4422</v>
      </c>
    </row>
    <row r="315" spans="1:5" x14ac:dyDescent="0.35">
      <c r="A315" t="str">
        <f>"2011-03-31"</f>
        <v>2011-03-31</v>
      </c>
      <c r="B315" s="1" t="str">
        <f t="shared" si="4"/>
        <v>03/31/2011</v>
      </c>
      <c r="C315" t="str">
        <f>"43.4238"</f>
        <v>43.4238</v>
      </c>
      <c r="D315" s="1" t="s">
        <v>306</v>
      </c>
      <c r="E315" t="s">
        <v>4423</v>
      </c>
    </row>
    <row r="316" spans="1:5" x14ac:dyDescent="0.35">
      <c r="A316" t="str">
        <f>"2011-04-01"</f>
        <v>2011-04-01</v>
      </c>
      <c r="B316" s="1" t="str">
        <f t="shared" si="4"/>
        <v>04/01/2011</v>
      </c>
      <c r="C316" t="str">
        <f>"44.5638"</f>
        <v>44.5638</v>
      </c>
      <c r="D316" s="1" t="s">
        <v>307</v>
      </c>
      <c r="E316" t="s">
        <v>4424</v>
      </c>
    </row>
    <row r="317" spans="1:5" x14ac:dyDescent="0.35">
      <c r="A317" t="str">
        <f>"2011-04-04"</f>
        <v>2011-04-04</v>
      </c>
      <c r="B317" s="1" t="str">
        <f t="shared" si="4"/>
        <v>04/04/2011</v>
      </c>
      <c r="C317" t="str">
        <f>"45.594"</f>
        <v>45.594</v>
      </c>
      <c r="D317" s="1" t="s">
        <v>308</v>
      </c>
      <c r="E317" t="s">
        <v>4425</v>
      </c>
    </row>
    <row r="318" spans="1:5" x14ac:dyDescent="0.35">
      <c r="A318" t="str">
        <f>"2011-04-05"</f>
        <v>2011-04-05</v>
      </c>
      <c r="B318" s="1" t="str">
        <f t="shared" si="4"/>
        <v>04/05/2011</v>
      </c>
      <c r="C318" t="str">
        <f>"45.3595"</f>
        <v>45.3595</v>
      </c>
      <c r="D318" s="1" t="s">
        <v>309</v>
      </c>
      <c r="E318" t="s">
        <v>4426</v>
      </c>
    </row>
    <row r="319" spans="1:5" x14ac:dyDescent="0.35">
      <c r="A319" t="str">
        <f>"2011-04-06"</f>
        <v>2011-04-06</v>
      </c>
      <c r="B319" s="1" t="str">
        <f t="shared" si="4"/>
        <v>04/06/2011</v>
      </c>
      <c r="C319" t="str">
        <f>"45.5565"</f>
        <v>45.5565</v>
      </c>
      <c r="D319" s="1" t="s">
        <v>310</v>
      </c>
      <c r="E319" t="s">
        <v>4427</v>
      </c>
    </row>
    <row r="320" spans="1:5" x14ac:dyDescent="0.35">
      <c r="A320" t="str">
        <f>"2011-04-07"</f>
        <v>2011-04-07</v>
      </c>
      <c r="B320" s="1" t="str">
        <f t="shared" si="4"/>
        <v>04/07/2011</v>
      </c>
      <c r="C320" t="str">
        <f>"45.9466"</f>
        <v>45.9466</v>
      </c>
      <c r="D320" s="1" t="s">
        <v>311</v>
      </c>
      <c r="E320" t="s">
        <v>4428</v>
      </c>
    </row>
    <row r="321" spans="1:5" x14ac:dyDescent="0.35">
      <c r="A321" t="str">
        <f>"2011-04-08"</f>
        <v>2011-04-08</v>
      </c>
      <c r="B321" s="1" t="str">
        <f t="shared" si="4"/>
        <v>04/08/2011</v>
      </c>
      <c r="C321" t="str">
        <f>"44.4731"</f>
        <v>44.4731</v>
      </c>
      <c r="D321" s="1" t="s">
        <v>312</v>
      </c>
      <c r="E321" t="s">
        <v>4429</v>
      </c>
    </row>
    <row r="322" spans="1:5" x14ac:dyDescent="0.35">
      <c r="A322" t="str">
        <f>"2011-04-11"</f>
        <v>2011-04-11</v>
      </c>
      <c r="B322" s="1" t="str">
        <f t="shared" si="4"/>
        <v>04/11/2011</v>
      </c>
      <c r="C322" t="str">
        <f>"45.0496"</f>
        <v>45.0496</v>
      </c>
      <c r="D322" s="1" t="s">
        <v>313</v>
      </c>
      <c r="E322" t="s">
        <v>4430</v>
      </c>
    </row>
    <row r="323" spans="1:5" x14ac:dyDescent="0.35">
      <c r="A323" t="str">
        <f>"2011-04-12"</f>
        <v>2011-04-12</v>
      </c>
      <c r="B323" s="1" t="str">
        <f t="shared" ref="B323:B386" si="5">LEFT(RIGHT(A323,5),2)&amp;"/"&amp;RIGHT(A323,2)&amp;"/"&amp;LEFT(A323,4)</f>
        <v>04/12/2011</v>
      </c>
      <c r="C323" t="str">
        <f>"45.9666"</f>
        <v>45.9666</v>
      </c>
      <c r="D323" s="1" t="s">
        <v>314</v>
      </c>
      <c r="E323" t="s">
        <v>4431</v>
      </c>
    </row>
    <row r="324" spans="1:5" x14ac:dyDescent="0.35">
      <c r="A324" t="str">
        <f>"2011-04-13"</f>
        <v>2011-04-13</v>
      </c>
      <c r="B324" s="1" t="str">
        <f t="shared" si="5"/>
        <v>04/13/2011</v>
      </c>
      <c r="C324" t="str">
        <f>"45.5127"</f>
        <v>45.5127</v>
      </c>
      <c r="D324" s="1" t="s">
        <v>315</v>
      </c>
      <c r="E324" t="s">
        <v>4432</v>
      </c>
    </row>
    <row r="325" spans="1:5" x14ac:dyDescent="0.35">
      <c r="A325" t="str">
        <f>"2011-04-14"</f>
        <v>2011-04-14</v>
      </c>
      <c r="B325" s="1" t="str">
        <f t="shared" si="5"/>
        <v>04/14/2011</v>
      </c>
      <c r="C325" t="str">
        <f>"44.7353"</f>
        <v>44.7353</v>
      </c>
      <c r="D325" s="1" t="s">
        <v>316</v>
      </c>
      <c r="E325" t="s">
        <v>4433</v>
      </c>
    </row>
    <row r="326" spans="1:5" x14ac:dyDescent="0.35">
      <c r="A326" t="str">
        <f>"2011-04-18"</f>
        <v>2011-04-18</v>
      </c>
      <c r="B326" s="1" t="str">
        <f t="shared" si="5"/>
        <v>04/18/2011</v>
      </c>
      <c r="C326" t="str">
        <f>"42.8387"</f>
        <v>42.8387</v>
      </c>
      <c r="D326" s="1" t="s">
        <v>317</v>
      </c>
      <c r="E326" t="s">
        <v>4434</v>
      </c>
    </row>
    <row r="327" spans="1:5" x14ac:dyDescent="0.35">
      <c r="A327" t="str">
        <f>"2011-04-19"</f>
        <v>2011-04-19</v>
      </c>
      <c r="B327" s="1" t="str">
        <f t="shared" si="5"/>
        <v>04/19/2011</v>
      </c>
      <c r="C327" t="str">
        <f>"43.3912"</f>
        <v>43.3912</v>
      </c>
      <c r="D327" s="1" t="s">
        <v>318</v>
      </c>
      <c r="E327" t="s">
        <v>4435</v>
      </c>
    </row>
    <row r="328" spans="1:5" x14ac:dyDescent="0.35">
      <c r="A328" t="str">
        <f>"2011-04-20"</f>
        <v>2011-04-20</v>
      </c>
      <c r="B328" s="1" t="str">
        <f t="shared" si="5"/>
        <v>04/20/2011</v>
      </c>
      <c r="C328" t="str">
        <f>"43.6268"</f>
        <v>43.6268</v>
      </c>
      <c r="D328" s="1" t="s">
        <v>319</v>
      </c>
      <c r="E328" t="s">
        <v>4436</v>
      </c>
    </row>
    <row r="329" spans="1:5" x14ac:dyDescent="0.35">
      <c r="A329" t="str">
        <f>"2011-04-21"</f>
        <v>2011-04-21</v>
      </c>
      <c r="B329" s="1" t="str">
        <f t="shared" si="5"/>
        <v>04/21/2011</v>
      </c>
      <c r="C329" t="str">
        <f>"43.8729"</f>
        <v>43.8729</v>
      </c>
      <c r="D329" s="1" t="s">
        <v>320</v>
      </c>
      <c r="E329" t="s">
        <v>4437</v>
      </c>
    </row>
    <row r="330" spans="1:5" x14ac:dyDescent="0.35">
      <c r="A330" t="str">
        <f>"2011-04-25"</f>
        <v>2011-04-25</v>
      </c>
      <c r="B330" s="1" t="str">
        <f t="shared" si="5"/>
        <v>04/25/2011</v>
      </c>
      <c r="C330" t="str">
        <f>"44.4871"</f>
        <v>44.4871</v>
      </c>
      <c r="D330" s="1" t="s">
        <v>321</v>
      </c>
      <c r="E330" t="s">
        <v>4438</v>
      </c>
    </row>
    <row r="331" spans="1:5" x14ac:dyDescent="0.35">
      <c r="A331" t="str">
        <f>"2011-04-26"</f>
        <v>2011-04-26</v>
      </c>
      <c r="B331" s="1" t="str">
        <f t="shared" si="5"/>
        <v>04/26/2011</v>
      </c>
      <c r="C331" t="str">
        <f>"44.062"</f>
        <v>44.062</v>
      </c>
      <c r="D331" s="1" t="s">
        <v>322</v>
      </c>
      <c r="E331" t="s">
        <v>4439</v>
      </c>
    </row>
    <row r="332" spans="1:5" x14ac:dyDescent="0.35">
      <c r="A332" t="str">
        <f>"2011-04-27"</f>
        <v>2011-04-27</v>
      </c>
      <c r="B332" s="1" t="str">
        <f t="shared" si="5"/>
        <v>04/27/2011</v>
      </c>
      <c r="C332" t="str">
        <f>"43.2334"</f>
        <v>43.2334</v>
      </c>
      <c r="D332" s="1" t="s">
        <v>323</v>
      </c>
      <c r="E332" t="s">
        <v>4440</v>
      </c>
    </row>
    <row r="333" spans="1:5" x14ac:dyDescent="0.35">
      <c r="A333" t="str">
        <f>"2011-04-28"</f>
        <v>2011-04-28</v>
      </c>
      <c r="B333" s="1" t="str">
        <f t="shared" si="5"/>
        <v>04/28/2011</v>
      </c>
      <c r="C333" t="str">
        <f>"43.4044"</f>
        <v>43.4044</v>
      </c>
      <c r="D333" s="1" t="s">
        <v>324</v>
      </c>
      <c r="E333" t="s">
        <v>4441</v>
      </c>
    </row>
    <row r="334" spans="1:5" x14ac:dyDescent="0.35">
      <c r="A334" t="str">
        <f>"2011-04-29"</f>
        <v>2011-04-29</v>
      </c>
      <c r="B334" s="1" t="str">
        <f t="shared" si="5"/>
        <v>04/29/2011</v>
      </c>
      <c r="C334" t="str">
        <f>"42.7877"</f>
        <v>42.7877</v>
      </c>
      <c r="D334" s="1" t="s">
        <v>325</v>
      </c>
      <c r="E334" t="s">
        <v>4442</v>
      </c>
    </row>
    <row r="335" spans="1:5" x14ac:dyDescent="0.35">
      <c r="A335" t="str">
        <f>"2011-05-02"</f>
        <v>2011-05-02</v>
      </c>
      <c r="B335" s="1" t="str">
        <f t="shared" si="5"/>
        <v>05/02/2011</v>
      </c>
      <c r="C335" t="str">
        <f>"42.7548"</f>
        <v>42.7548</v>
      </c>
      <c r="D335" s="1" t="s">
        <v>326</v>
      </c>
      <c r="E335" t="s">
        <v>4443</v>
      </c>
    </row>
    <row r="336" spans="1:5" x14ac:dyDescent="0.35">
      <c r="A336" t="str">
        <f>"2011-05-03"</f>
        <v>2011-05-03</v>
      </c>
      <c r="B336" s="1" t="str">
        <f t="shared" si="5"/>
        <v>05/03/2011</v>
      </c>
      <c r="C336" t="str">
        <f>"43.5044"</f>
        <v>43.5044</v>
      </c>
      <c r="D336" s="1" t="s">
        <v>327</v>
      </c>
      <c r="E336" t="s">
        <v>4444</v>
      </c>
    </row>
    <row r="337" spans="1:5" x14ac:dyDescent="0.35">
      <c r="A337" t="str">
        <f>"2011-05-04"</f>
        <v>2011-05-04</v>
      </c>
      <c r="B337" s="1" t="str">
        <f t="shared" si="5"/>
        <v>05/04/2011</v>
      </c>
      <c r="C337" t="str">
        <f>"44.9497"</f>
        <v>44.9497</v>
      </c>
      <c r="D337" s="1" t="s">
        <v>328</v>
      </c>
      <c r="E337" t="s">
        <v>4445</v>
      </c>
    </row>
    <row r="338" spans="1:5" x14ac:dyDescent="0.35">
      <c r="A338" t="str">
        <f>"2011-05-05"</f>
        <v>2011-05-05</v>
      </c>
      <c r="B338" s="1" t="str">
        <f t="shared" si="5"/>
        <v>05/05/2011</v>
      </c>
      <c r="C338" t="str">
        <f>"45.7771"</f>
        <v>45.7771</v>
      </c>
      <c r="D338" s="1" t="s">
        <v>329</v>
      </c>
      <c r="E338" t="s">
        <v>4446</v>
      </c>
    </row>
    <row r="339" spans="1:5" x14ac:dyDescent="0.35">
      <c r="A339" t="str">
        <f>"2011-05-06"</f>
        <v>2011-05-06</v>
      </c>
      <c r="B339" s="1" t="str">
        <f t="shared" si="5"/>
        <v>05/06/2011</v>
      </c>
      <c r="C339" t="str">
        <f>"45.7779"</f>
        <v>45.7779</v>
      </c>
      <c r="D339" s="1" t="s">
        <v>330</v>
      </c>
      <c r="E339" t="s">
        <v>4447</v>
      </c>
    </row>
    <row r="340" spans="1:5" x14ac:dyDescent="0.35">
      <c r="A340" t="str">
        <f>"2011-05-09"</f>
        <v>2011-05-09</v>
      </c>
      <c r="B340" s="1" t="str">
        <f t="shared" si="5"/>
        <v>05/09/2011</v>
      </c>
      <c r="C340" t="str">
        <f>"45.1947"</f>
        <v>45.1947</v>
      </c>
      <c r="D340" s="1" t="s">
        <v>331</v>
      </c>
      <c r="E340" t="s">
        <v>4448</v>
      </c>
    </row>
    <row r="341" spans="1:5" x14ac:dyDescent="0.35">
      <c r="A341" t="str">
        <f>"2011-05-10"</f>
        <v>2011-05-10</v>
      </c>
      <c r="B341" s="1" t="str">
        <f t="shared" si="5"/>
        <v>05/10/2011</v>
      </c>
      <c r="C341" t="str">
        <f>"43.9617"</f>
        <v>43.9617</v>
      </c>
      <c r="D341" s="1" t="s">
        <v>332</v>
      </c>
      <c r="E341" t="s">
        <v>4449</v>
      </c>
    </row>
    <row r="342" spans="1:5" x14ac:dyDescent="0.35">
      <c r="A342" t="str">
        <f>"2011-05-11"</f>
        <v>2011-05-11</v>
      </c>
      <c r="B342" s="1" t="str">
        <f t="shared" si="5"/>
        <v>05/11/2011</v>
      </c>
      <c r="C342" t="str">
        <f>"42.9739"</f>
        <v>42.9739</v>
      </c>
      <c r="D342" s="1" t="s">
        <v>333</v>
      </c>
      <c r="E342" t="s">
        <v>4450</v>
      </c>
    </row>
    <row r="343" spans="1:5" x14ac:dyDescent="0.35">
      <c r="A343" t="str">
        <f>"2011-05-12"</f>
        <v>2011-05-12</v>
      </c>
      <c r="B343" s="1" t="str">
        <f t="shared" si="5"/>
        <v>05/12/2011</v>
      </c>
      <c r="C343" t="str">
        <f>"43.1394"</f>
        <v>43.1394</v>
      </c>
      <c r="D343" s="1" t="s">
        <v>334</v>
      </c>
      <c r="E343" t="s">
        <v>4451</v>
      </c>
    </row>
    <row r="344" spans="1:5" x14ac:dyDescent="0.35">
      <c r="A344" t="str">
        <f>"2011-05-13"</f>
        <v>2011-05-13</v>
      </c>
      <c r="B344" s="1" t="str">
        <f t="shared" si="5"/>
        <v>05/13/2011</v>
      </c>
      <c r="C344" t="str">
        <f>"42.3961"</f>
        <v>42.3961</v>
      </c>
      <c r="D344" s="1" t="s">
        <v>335</v>
      </c>
      <c r="E344" t="s">
        <v>4452</v>
      </c>
    </row>
    <row r="345" spans="1:5" x14ac:dyDescent="0.35">
      <c r="A345" t="str">
        <f>"2011-05-16"</f>
        <v>2011-05-16</v>
      </c>
      <c r="B345" s="1" t="str">
        <f t="shared" si="5"/>
        <v>05/16/2011</v>
      </c>
      <c r="C345" t="str">
        <f>"41.6941"</f>
        <v>41.6941</v>
      </c>
      <c r="D345" s="1" t="s">
        <v>336</v>
      </c>
      <c r="E345" t="s">
        <v>4453</v>
      </c>
    </row>
    <row r="346" spans="1:5" x14ac:dyDescent="0.35">
      <c r="A346" t="str">
        <f>"2011-05-17"</f>
        <v>2011-05-17</v>
      </c>
      <c r="B346" s="1" t="str">
        <f t="shared" si="5"/>
        <v>05/17/2011</v>
      </c>
      <c r="C346" t="str">
        <f>"43.2023"</f>
        <v>43.2023</v>
      </c>
      <c r="D346" s="1" t="s">
        <v>337</v>
      </c>
      <c r="E346" t="s">
        <v>4454</v>
      </c>
    </row>
    <row r="347" spans="1:5" x14ac:dyDescent="0.35">
      <c r="A347" t="str">
        <f>"2011-05-18"</f>
        <v>2011-05-18</v>
      </c>
      <c r="B347" s="1" t="str">
        <f t="shared" si="5"/>
        <v>05/18/2011</v>
      </c>
      <c r="C347" t="str">
        <f>"41.0076"</f>
        <v>41.0076</v>
      </c>
      <c r="D347" s="1" t="s">
        <v>338</v>
      </c>
      <c r="E347" t="s">
        <v>4455</v>
      </c>
    </row>
    <row r="348" spans="1:5" x14ac:dyDescent="0.35">
      <c r="A348" t="str">
        <f>"2011-05-19"</f>
        <v>2011-05-19</v>
      </c>
      <c r="B348" s="1" t="str">
        <f t="shared" si="5"/>
        <v>05/19/2011</v>
      </c>
      <c r="C348" t="str">
        <f>"42.1142"</f>
        <v>42.1142</v>
      </c>
      <c r="D348" s="1" t="s">
        <v>339</v>
      </c>
      <c r="E348" t="s">
        <v>4456</v>
      </c>
    </row>
    <row r="349" spans="1:5" x14ac:dyDescent="0.35">
      <c r="A349" t="str">
        <f>"2011-05-20"</f>
        <v>2011-05-20</v>
      </c>
      <c r="B349" s="1" t="str">
        <f t="shared" si="5"/>
        <v>05/20/2011</v>
      </c>
      <c r="C349" t="str">
        <f>"40.7561"</f>
        <v>40.7561</v>
      </c>
      <c r="D349" s="1" t="s">
        <v>340</v>
      </c>
      <c r="E349" t="s">
        <v>4457</v>
      </c>
    </row>
    <row r="350" spans="1:5" x14ac:dyDescent="0.35">
      <c r="A350" t="str">
        <f>"2011-05-23"</f>
        <v>2011-05-23</v>
      </c>
      <c r="B350" s="1" t="str">
        <f t="shared" si="5"/>
        <v>05/23/2011</v>
      </c>
      <c r="C350" t="str">
        <f>"40.1472"</f>
        <v>40.1472</v>
      </c>
      <c r="D350" s="1" t="s">
        <v>341</v>
      </c>
      <c r="E350" t="s">
        <v>4458</v>
      </c>
    </row>
    <row r="351" spans="1:5" x14ac:dyDescent="0.35">
      <c r="A351" t="str">
        <f>"2011-05-24"</f>
        <v>2011-05-24</v>
      </c>
      <c r="B351" s="1" t="str">
        <f t="shared" si="5"/>
        <v>05/24/2011</v>
      </c>
      <c r="C351" t="str">
        <f>"40.1265"</f>
        <v>40.1265</v>
      </c>
      <c r="D351" s="1" t="s">
        <v>342</v>
      </c>
      <c r="E351" t="s">
        <v>4459</v>
      </c>
    </row>
    <row r="352" spans="1:5" x14ac:dyDescent="0.35">
      <c r="A352" t="str">
        <f>"2011-05-25"</f>
        <v>2011-05-25</v>
      </c>
      <c r="B352" s="1" t="str">
        <f t="shared" si="5"/>
        <v>05/25/2011</v>
      </c>
      <c r="C352" t="str">
        <f>"39.5828"</f>
        <v>39.5828</v>
      </c>
      <c r="D352" s="1" t="s">
        <v>343</v>
      </c>
      <c r="E352" t="s">
        <v>4460</v>
      </c>
    </row>
    <row r="353" spans="1:5" x14ac:dyDescent="0.35">
      <c r="A353" t="str">
        <f>"2011-05-26"</f>
        <v>2011-05-26</v>
      </c>
      <c r="B353" s="1" t="str">
        <f t="shared" si="5"/>
        <v>05/26/2011</v>
      </c>
      <c r="C353" t="str">
        <f>"39.4714"</f>
        <v>39.4714</v>
      </c>
      <c r="D353" s="1" t="s">
        <v>344</v>
      </c>
      <c r="E353" t="s">
        <v>4461</v>
      </c>
    </row>
    <row r="354" spans="1:5" x14ac:dyDescent="0.35">
      <c r="A354" t="str">
        <f>"2011-05-27"</f>
        <v>2011-05-27</v>
      </c>
      <c r="B354" s="1" t="str">
        <f t="shared" si="5"/>
        <v>05/27/2011</v>
      </c>
      <c r="C354" t="str">
        <f>"38.0965"</f>
        <v>38.0965</v>
      </c>
      <c r="D354" s="1" t="s">
        <v>345</v>
      </c>
      <c r="E354" t="s">
        <v>4462</v>
      </c>
    </row>
    <row r="355" spans="1:5" x14ac:dyDescent="0.35">
      <c r="A355" t="str">
        <f>"2011-05-31"</f>
        <v>2011-05-31</v>
      </c>
      <c r="B355" s="1" t="str">
        <f t="shared" si="5"/>
        <v>05/31/2011</v>
      </c>
      <c r="C355" t="str">
        <f>"38.9722"</f>
        <v>38.9722</v>
      </c>
      <c r="D355" s="1" t="s">
        <v>346</v>
      </c>
      <c r="E355" t="s">
        <v>4463</v>
      </c>
    </row>
    <row r="356" spans="1:5" x14ac:dyDescent="0.35">
      <c r="A356" t="str">
        <f>"2011-06-01"</f>
        <v>2011-06-01</v>
      </c>
      <c r="B356" s="1" t="str">
        <f t="shared" si="5"/>
        <v>06/01/2011</v>
      </c>
      <c r="C356" t="str">
        <f>"39.2856"</f>
        <v>39.2856</v>
      </c>
      <c r="D356" s="1" t="s">
        <v>347</v>
      </c>
      <c r="E356" t="s">
        <v>4464</v>
      </c>
    </row>
    <row r="357" spans="1:5" x14ac:dyDescent="0.35">
      <c r="A357" t="str">
        <f>"2011-06-02"</f>
        <v>2011-06-02</v>
      </c>
      <c r="B357" s="1" t="str">
        <f t="shared" si="5"/>
        <v>06/02/2011</v>
      </c>
      <c r="C357" t="str">
        <f>"39.1448"</f>
        <v>39.1448</v>
      </c>
      <c r="D357" s="1" t="s">
        <v>348</v>
      </c>
      <c r="E357" t="s">
        <v>4465</v>
      </c>
    </row>
    <row r="358" spans="1:5" x14ac:dyDescent="0.35">
      <c r="A358" t="str">
        <f>"2011-06-03"</f>
        <v>2011-06-03</v>
      </c>
      <c r="B358" s="1" t="str">
        <f t="shared" si="5"/>
        <v>06/03/2011</v>
      </c>
      <c r="C358" t="str">
        <f>"39.1748"</f>
        <v>39.1748</v>
      </c>
      <c r="D358" s="1" t="s">
        <v>349</v>
      </c>
      <c r="E358" t="s">
        <v>4466</v>
      </c>
    </row>
    <row r="359" spans="1:5" x14ac:dyDescent="0.35">
      <c r="A359" t="str">
        <f>"2011-06-06"</f>
        <v>2011-06-06</v>
      </c>
      <c r="B359" s="1" t="str">
        <f t="shared" si="5"/>
        <v>06/06/2011</v>
      </c>
      <c r="C359" t="str">
        <f>"39.437"</f>
        <v>39.437</v>
      </c>
      <c r="D359" s="1" t="s">
        <v>350</v>
      </c>
      <c r="E359" t="s">
        <v>4467</v>
      </c>
    </row>
    <row r="360" spans="1:5" x14ac:dyDescent="0.35">
      <c r="A360" t="str">
        <f>"2011-06-07"</f>
        <v>2011-06-07</v>
      </c>
      <c r="B360" s="1" t="str">
        <f t="shared" si="5"/>
        <v>06/07/2011</v>
      </c>
      <c r="C360" t="str">
        <f>"39.8943"</f>
        <v>39.8943</v>
      </c>
      <c r="D360" s="1" t="s">
        <v>351</v>
      </c>
      <c r="E360" t="s">
        <v>4468</v>
      </c>
    </row>
    <row r="361" spans="1:5" x14ac:dyDescent="0.35">
      <c r="A361" t="str">
        <f>"2011-06-08"</f>
        <v>2011-06-08</v>
      </c>
      <c r="B361" s="1" t="str">
        <f t="shared" si="5"/>
        <v>06/08/2011</v>
      </c>
      <c r="C361" t="str">
        <f>"39.6019"</f>
        <v>39.6019</v>
      </c>
      <c r="D361" s="1" t="s">
        <v>352</v>
      </c>
      <c r="E361" t="s">
        <v>4469</v>
      </c>
    </row>
    <row r="362" spans="1:5" x14ac:dyDescent="0.35">
      <c r="A362" t="str">
        <f>"2011-06-09"</f>
        <v>2011-06-09</v>
      </c>
      <c r="B362" s="1" t="str">
        <f t="shared" si="5"/>
        <v>06/09/2011</v>
      </c>
      <c r="C362" t="str">
        <f>"39.1044"</f>
        <v>39.1044</v>
      </c>
      <c r="D362" s="1" t="s">
        <v>353</v>
      </c>
      <c r="E362" t="s">
        <v>4470</v>
      </c>
    </row>
    <row r="363" spans="1:5" x14ac:dyDescent="0.35">
      <c r="A363" t="str">
        <f>"2011-06-10"</f>
        <v>2011-06-10</v>
      </c>
      <c r="B363" s="1" t="str">
        <f t="shared" si="5"/>
        <v>06/10/2011</v>
      </c>
      <c r="C363" t="str">
        <f>"39.5995"</f>
        <v>39.5995</v>
      </c>
      <c r="D363" s="1" t="s">
        <v>354</v>
      </c>
      <c r="E363" t="s">
        <v>4471</v>
      </c>
    </row>
    <row r="364" spans="1:5" x14ac:dyDescent="0.35">
      <c r="A364" t="str">
        <f>"2011-06-13"</f>
        <v>2011-06-13</v>
      </c>
      <c r="B364" s="1" t="str">
        <f t="shared" si="5"/>
        <v>06/13/2011</v>
      </c>
      <c r="C364" t="str">
        <f>"40.1111"</f>
        <v>40.1111</v>
      </c>
      <c r="D364" s="1" t="s">
        <v>355</v>
      </c>
      <c r="E364" t="s">
        <v>4472</v>
      </c>
    </row>
    <row r="365" spans="1:5" x14ac:dyDescent="0.35">
      <c r="A365" t="str">
        <f>"2011-06-14"</f>
        <v>2011-06-14</v>
      </c>
      <c r="B365" s="1" t="str">
        <f t="shared" si="5"/>
        <v>06/14/2011</v>
      </c>
      <c r="C365" t="str">
        <f>"39.0231"</f>
        <v>39.0231</v>
      </c>
      <c r="D365" s="1" t="s">
        <v>356</v>
      </c>
      <c r="E365" t="s">
        <v>4473</v>
      </c>
    </row>
    <row r="366" spans="1:5" x14ac:dyDescent="0.35">
      <c r="A366" t="str">
        <f>"2011-06-15"</f>
        <v>2011-06-15</v>
      </c>
      <c r="B366" s="1" t="str">
        <f t="shared" si="5"/>
        <v>06/15/2011</v>
      </c>
      <c r="C366" t="str">
        <f>"38.1636"</f>
        <v>38.1636</v>
      </c>
      <c r="D366" s="1" t="s">
        <v>357</v>
      </c>
      <c r="E366" t="s">
        <v>4474</v>
      </c>
    </row>
    <row r="367" spans="1:5" x14ac:dyDescent="0.35">
      <c r="A367" t="str">
        <f>"2011-06-16"</f>
        <v>2011-06-16</v>
      </c>
      <c r="B367" s="1" t="str">
        <f t="shared" si="5"/>
        <v>06/16/2011</v>
      </c>
      <c r="C367" t="str">
        <f>"37.5168"</f>
        <v>37.5168</v>
      </c>
      <c r="D367" s="1" t="s">
        <v>358</v>
      </c>
      <c r="E367" t="s">
        <v>4475</v>
      </c>
    </row>
    <row r="368" spans="1:5" x14ac:dyDescent="0.35">
      <c r="A368" t="str">
        <f>"2011-06-17"</f>
        <v>2011-06-17</v>
      </c>
      <c r="B368" s="1" t="str">
        <f t="shared" si="5"/>
        <v>06/17/2011</v>
      </c>
      <c r="C368" t="str">
        <f>"37.7201"</f>
        <v>37.7201</v>
      </c>
      <c r="D368" s="1" t="s">
        <v>359</v>
      </c>
      <c r="E368" t="s">
        <v>4476</v>
      </c>
    </row>
    <row r="369" spans="1:5" x14ac:dyDescent="0.35">
      <c r="A369" t="str">
        <f>"2011-06-20"</f>
        <v>2011-06-20</v>
      </c>
      <c r="B369" s="1" t="str">
        <f t="shared" si="5"/>
        <v>06/20/2011</v>
      </c>
      <c r="C369" t="str">
        <f>"38.1114"</f>
        <v>38.1114</v>
      </c>
      <c r="D369" s="1" t="s">
        <v>360</v>
      </c>
      <c r="E369" t="s">
        <v>4477</v>
      </c>
    </row>
    <row r="370" spans="1:5" x14ac:dyDescent="0.35">
      <c r="A370" t="str">
        <f>"2011-06-21"</f>
        <v>2011-06-21</v>
      </c>
      <c r="B370" s="1" t="str">
        <f t="shared" si="5"/>
        <v>06/21/2011</v>
      </c>
      <c r="C370" t="str">
        <f>"38.1781"</f>
        <v>38.1781</v>
      </c>
      <c r="D370" s="1" t="s">
        <v>361</v>
      </c>
      <c r="E370" t="s">
        <v>4478</v>
      </c>
    </row>
    <row r="371" spans="1:5" x14ac:dyDescent="0.35">
      <c r="A371" t="str">
        <f>"2011-06-22"</f>
        <v>2011-06-22</v>
      </c>
      <c r="B371" s="1" t="str">
        <f t="shared" si="5"/>
        <v>06/22/2011</v>
      </c>
      <c r="C371" t="str">
        <f>"37.4601"</f>
        <v>37.4601</v>
      </c>
      <c r="D371" s="1" t="s">
        <v>362</v>
      </c>
      <c r="E371" t="s">
        <v>4479</v>
      </c>
    </row>
    <row r="372" spans="1:5" x14ac:dyDescent="0.35">
      <c r="A372" t="str">
        <f>"2011-06-23"</f>
        <v>2011-06-23</v>
      </c>
      <c r="B372" s="1" t="str">
        <f t="shared" si="5"/>
        <v>06/23/2011</v>
      </c>
      <c r="C372" t="str">
        <f>"38.6867"</f>
        <v>38.6867</v>
      </c>
      <c r="D372" s="1" t="s">
        <v>363</v>
      </c>
      <c r="E372" t="s">
        <v>4480</v>
      </c>
    </row>
    <row r="373" spans="1:5" x14ac:dyDescent="0.35">
      <c r="A373" t="str">
        <f>"2011-06-24"</f>
        <v>2011-06-24</v>
      </c>
      <c r="B373" s="1" t="str">
        <f t="shared" si="5"/>
        <v>06/24/2011</v>
      </c>
      <c r="C373" t="str">
        <f>"39.4095"</f>
        <v>39.4095</v>
      </c>
      <c r="D373" s="1" t="s">
        <v>364</v>
      </c>
      <c r="E373" t="s">
        <v>4481</v>
      </c>
    </row>
    <row r="374" spans="1:5" x14ac:dyDescent="0.35">
      <c r="A374" t="str">
        <f>"2011-06-27"</f>
        <v>2011-06-27</v>
      </c>
      <c r="B374" s="1" t="str">
        <f t="shared" si="5"/>
        <v>06/27/2011</v>
      </c>
      <c r="C374" t="str">
        <f>"39.6111"</f>
        <v>39.6111</v>
      </c>
      <c r="D374" s="1" t="s">
        <v>365</v>
      </c>
      <c r="E374" t="s">
        <v>4482</v>
      </c>
    </row>
    <row r="375" spans="1:5" x14ac:dyDescent="0.35">
      <c r="A375" t="str">
        <f>"2011-06-28"</f>
        <v>2011-06-28</v>
      </c>
      <c r="B375" s="1" t="str">
        <f t="shared" si="5"/>
        <v>06/28/2011</v>
      </c>
      <c r="C375" t="str">
        <f>"39.419"</f>
        <v>39.419</v>
      </c>
      <c r="D375" s="1" t="s">
        <v>366</v>
      </c>
      <c r="E375" t="s">
        <v>4483</v>
      </c>
    </row>
    <row r="376" spans="1:5" x14ac:dyDescent="0.35">
      <c r="A376" t="str">
        <f>"2011-06-29"</f>
        <v>2011-06-29</v>
      </c>
      <c r="B376" s="1" t="str">
        <f t="shared" si="5"/>
        <v>06/29/2011</v>
      </c>
      <c r="C376" t="str">
        <f>"38.6553"</f>
        <v>38.6553</v>
      </c>
      <c r="D376" s="1" t="s">
        <v>367</v>
      </c>
      <c r="E376" t="s">
        <v>4484</v>
      </c>
    </row>
    <row r="377" spans="1:5" x14ac:dyDescent="0.35">
      <c r="A377" t="str">
        <f>"2011-06-30"</f>
        <v>2011-06-30</v>
      </c>
      <c r="B377" s="1" t="str">
        <f t="shared" si="5"/>
        <v>06/30/2011</v>
      </c>
      <c r="C377" t="str">
        <f>"39.5372"</f>
        <v>39.5372</v>
      </c>
      <c r="D377" s="1" t="s">
        <v>368</v>
      </c>
      <c r="E377" t="s">
        <v>4485</v>
      </c>
    </row>
    <row r="378" spans="1:5" x14ac:dyDescent="0.35">
      <c r="A378" t="str">
        <f>"2011-07-01"</f>
        <v>2011-07-01</v>
      </c>
      <c r="B378" s="1" t="str">
        <f t="shared" si="5"/>
        <v>07/01/2011</v>
      </c>
      <c r="C378" t="str">
        <f>"40.1373"</f>
        <v>40.1373</v>
      </c>
      <c r="D378" s="1" t="s">
        <v>369</v>
      </c>
      <c r="E378" t="s">
        <v>4486</v>
      </c>
    </row>
    <row r="379" spans="1:5" x14ac:dyDescent="0.35">
      <c r="A379" t="str">
        <f>"2011-07-05"</f>
        <v>2011-07-05</v>
      </c>
      <c r="B379" s="1" t="str">
        <f t="shared" si="5"/>
        <v>07/05/2011</v>
      </c>
      <c r="C379" t="str">
        <f>"38.6879"</f>
        <v>38.6879</v>
      </c>
      <c r="D379" s="1" t="s">
        <v>370</v>
      </c>
      <c r="E379" t="s">
        <v>4487</v>
      </c>
    </row>
    <row r="380" spans="1:5" x14ac:dyDescent="0.35">
      <c r="A380" t="str">
        <f>"2011-07-06"</f>
        <v>2011-07-06</v>
      </c>
      <c r="B380" s="1" t="str">
        <f t="shared" si="5"/>
        <v>07/06/2011</v>
      </c>
      <c r="C380" t="str">
        <f>"37.9091"</f>
        <v>37.9091</v>
      </c>
      <c r="D380" s="1" t="s">
        <v>371</v>
      </c>
      <c r="E380" t="s">
        <v>4488</v>
      </c>
    </row>
    <row r="381" spans="1:5" x14ac:dyDescent="0.35">
      <c r="A381" t="str">
        <f>"2011-07-07"</f>
        <v>2011-07-07</v>
      </c>
      <c r="B381" s="1" t="str">
        <f t="shared" si="5"/>
        <v>07/07/2011</v>
      </c>
      <c r="C381" t="str">
        <f>"37.4826"</f>
        <v>37.4826</v>
      </c>
      <c r="D381" s="1" t="s">
        <v>372</v>
      </c>
      <c r="E381" t="s">
        <v>4489</v>
      </c>
    </row>
    <row r="382" spans="1:5" x14ac:dyDescent="0.35">
      <c r="A382" t="str">
        <f>"2011-07-08"</f>
        <v>2011-07-08</v>
      </c>
      <c r="B382" s="1" t="str">
        <f t="shared" si="5"/>
        <v>07/08/2011</v>
      </c>
      <c r="C382" t="str">
        <f>"37.3495"</f>
        <v>37.3495</v>
      </c>
      <c r="D382" s="1" t="s">
        <v>373</v>
      </c>
      <c r="E382" t="s">
        <v>4490</v>
      </c>
    </row>
    <row r="383" spans="1:5" x14ac:dyDescent="0.35">
      <c r="A383" t="str">
        <f>"2011-07-11"</f>
        <v>2011-07-11</v>
      </c>
      <c r="B383" s="1" t="str">
        <f t="shared" si="5"/>
        <v>07/11/2011</v>
      </c>
      <c r="C383" t="str">
        <f>"37.1984"</f>
        <v>37.1984</v>
      </c>
      <c r="D383" s="1" t="s">
        <v>374</v>
      </c>
      <c r="E383" t="s">
        <v>4491</v>
      </c>
    </row>
    <row r="384" spans="1:5" x14ac:dyDescent="0.35">
      <c r="A384" t="str">
        <f>"2011-07-12"</f>
        <v>2011-07-12</v>
      </c>
      <c r="B384" s="1" t="str">
        <f t="shared" si="5"/>
        <v>07/12/2011</v>
      </c>
      <c r="C384" t="str">
        <f>"36.2096"</f>
        <v>36.2096</v>
      </c>
      <c r="D384" s="1" t="s">
        <v>375</v>
      </c>
      <c r="E384" t="s">
        <v>4492</v>
      </c>
    </row>
    <row r="385" spans="1:5" x14ac:dyDescent="0.35">
      <c r="A385" t="str">
        <f>"2011-07-13"</f>
        <v>2011-07-13</v>
      </c>
      <c r="B385" s="1" t="str">
        <f t="shared" si="5"/>
        <v>07/13/2011</v>
      </c>
      <c r="C385" t="str">
        <f>"35.7718"</f>
        <v>35.7718</v>
      </c>
      <c r="D385" s="1" t="s">
        <v>376</v>
      </c>
      <c r="E385" t="s">
        <v>4493</v>
      </c>
    </row>
    <row r="386" spans="1:5" x14ac:dyDescent="0.35">
      <c r="A386" t="str">
        <f>"2011-07-14"</f>
        <v>2011-07-14</v>
      </c>
      <c r="B386" s="1" t="str">
        <f t="shared" si="5"/>
        <v>07/14/2011</v>
      </c>
      <c r="C386" t="str">
        <f>"35.4347"</f>
        <v>35.4347</v>
      </c>
      <c r="D386" s="1" t="s">
        <v>377</v>
      </c>
      <c r="E386" t="s">
        <v>4494</v>
      </c>
    </row>
    <row r="387" spans="1:5" x14ac:dyDescent="0.35">
      <c r="A387" t="str">
        <f>"2011-07-15"</f>
        <v>2011-07-15</v>
      </c>
      <c r="B387" s="1" t="str">
        <f t="shared" ref="B387:B450" si="6">LEFT(RIGHT(A387,5),2)&amp;"/"&amp;RIGHT(A387,2)&amp;"/"&amp;LEFT(A387,4)</f>
        <v>07/15/2011</v>
      </c>
      <c r="C387" t="str">
        <f>"34.6856"</f>
        <v>34.6856</v>
      </c>
      <c r="D387" s="1" t="s">
        <v>378</v>
      </c>
      <c r="E387" t="s">
        <v>4495</v>
      </c>
    </row>
    <row r="388" spans="1:5" x14ac:dyDescent="0.35">
      <c r="A388" t="str">
        <f>"2011-07-18"</f>
        <v>2011-07-18</v>
      </c>
      <c r="B388" s="1" t="str">
        <f t="shared" si="6"/>
        <v>07/18/2011</v>
      </c>
      <c r="C388" t="str">
        <f>"33.3364"</f>
        <v>33.3364</v>
      </c>
      <c r="D388" s="1" t="s">
        <v>379</v>
      </c>
      <c r="E388" t="s">
        <v>4496</v>
      </c>
    </row>
    <row r="389" spans="1:5" x14ac:dyDescent="0.35">
      <c r="A389" t="str">
        <f>"2011-07-19"</f>
        <v>2011-07-19</v>
      </c>
      <c r="B389" s="1" t="str">
        <f t="shared" si="6"/>
        <v>07/19/2011</v>
      </c>
      <c r="C389" t="str">
        <f>"32.6071"</f>
        <v>32.6071</v>
      </c>
      <c r="D389" s="1" t="s">
        <v>380</v>
      </c>
      <c r="E389" t="s">
        <v>4497</v>
      </c>
    </row>
    <row r="390" spans="1:5" x14ac:dyDescent="0.35">
      <c r="A390" t="str">
        <f>"2011-07-20"</f>
        <v>2011-07-20</v>
      </c>
      <c r="B390" s="1" t="str">
        <f t="shared" si="6"/>
        <v>07/20/2011</v>
      </c>
      <c r="C390" t="str">
        <f>"32.3232"</f>
        <v>32.3232</v>
      </c>
      <c r="D390" s="1" t="s">
        <v>381</v>
      </c>
      <c r="E390" t="s">
        <v>4498</v>
      </c>
    </row>
    <row r="391" spans="1:5" x14ac:dyDescent="0.35">
      <c r="A391" t="str">
        <f>"2011-07-21"</f>
        <v>2011-07-21</v>
      </c>
      <c r="B391" s="1" t="str">
        <f t="shared" si="6"/>
        <v>07/21/2011</v>
      </c>
      <c r="C391" t="str">
        <f>"31.5851"</f>
        <v>31.5851</v>
      </c>
      <c r="D391" s="1" t="s">
        <v>382</v>
      </c>
      <c r="E391" t="s">
        <v>4499</v>
      </c>
    </row>
    <row r="392" spans="1:5" x14ac:dyDescent="0.35">
      <c r="A392" t="str">
        <f>"2011-07-22"</f>
        <v>2011-07-22</v>
      </c>
      <c r="B392" s="1" t="str">
        <f t="shared" si="6"/>
        <v>07/22/2011</v>
      </c>
      <c r="C392" t="str">
        <f>"31.3442"</f>
        <v>31.3442</v>
      </c>
      <c r="D392" s="1" t="s">
        <v>383</v>
      </c>
      <c r="E392" t="s">
        <v>4500</v>
      </c>
    </row>
    <row r="393" spans="1:5" x14ac:dyDescent="0.35">
      <c r="A393" t="str">
        <f>"2011-07-25"</f>
        <v>2011-07-25</v>
      </c>
      <c r="B393" s="1" t="str">
        <f t="shared" si="6"/>
        <v>07/25/2011</v>
      </c>
      <c r="C393" t="str">
        <f>"30.9831"</f>
        <v>30.9831</v>
      </c>
      <c r="D393" s="1" t="s">
        <v>384</v>
      </c>
      <c r="E393" t="s">
        <v>4501</v>
      </c>
    </row>
    <row r="394" spans="1:5" x14ac:dyDescent="0.35">
      <c r="A394" t="str">
        <f>"2011-07-26"</f>
        <v>2011-07-26</v>
      </c>
      <c r="B394" s="1" t="str">
        <f t="shared" si="6"/>
        <v>07/26/2011</v>
      </c>
      <c r="C394" t="str">
        <f>"30.8432"</f>
        <v>30.8432</v>
      </c>
      <c r="D394" s="1" t="s">
        <v>385</v>
      </c>
      <c r="E394" t="s">
        <v>4502</v>
      </c>
    </row>
    <row r="395" spans="1:5" x14ac:dyDescent="0.35">
      <c r="A395" t="str">
        <f>"2011-07-27"</f>
        <v>2011-07-27</v>
      </c>
      <c r="B395" s="1" t="str">
        <f t="shared" si="6"/>
        <v>07/27/2011</v>
      </c>
      <c r="C395" t="str">
        <f>"31.1849"</f>
        <v>31.1849</v>
      </c>
      <c r="D395" s="1" t="s">
        <v>386</v>
      </c>
      <c r="E395" t="s">
        <v>4503</v>
      </c>
    </row>
    <row r="396" spans="1:5" x14ac:dyDescent="0.35">
      <c r="A396" t="str">
        <f>"2011-07-28"</f>
        <v>2011-07-28</v>
      </c>
      <c r="B396" s="1" t="str">
        <f t="shared" si="6"/>
        <v>07/28/2011</v>
      </c>
      <c r="C396" t="str">
        <f>"31.5547"</f>
        <v>31.5547</v>
      </c>
      <c r="D396" s="1" t="s">
        <v>387</v>
      </c>
      <c r="E396" t="s">
        <v>4504</v>
      </c>
    </row>
    <row r="397" spans="1:5" x14ac:dyDescent="0.35">
      <c r="A397" t="str">
        <f>"2011-07-29"</f>
        <v>2011-07-29</v>
      </c>
      <c r="B397" s="1" t="str">
        <f t="shared" si="6"/>
        <v>07/29/2011</v>
      </c>
      <c r="C397" t="str">
        <f>"31.3833"</f>
        <v>31.3833</v>
      </c>
      <c r="D397" s="1" t="s">
        <v>388</v>
      </c>
      <c r="E397" t="s">
        <v>4505</v>
      </c>
    </row>
    <row r="398" spans="1:5" x14ac:dyDescent="0.35">
      <c r="A398" t="str">
        <f>"2011-08-01"</f>
        <v>2011-08-01</v>
      </c>
      <c r="B398" s="1" t="str">
        <f t="shared" si="6"/>
        <v>08/01/2011</v>
      </c>
      <c r="C398" t="str">
        <f>"30.9035"</f>
        <v>30.9035</v>
      </c>
      <c r="D398" s="1" t="s">
        <v>389</v>
      </c>
      <c r="E398" t="s">
        <v>4506</v>
      </c>
    </row>
    <row r="399" spans="1:5" x14ac:dyDescent="0.35">
      <c r="A399" t="str">
        <f>"2011-08-02"</f>
        <v>2011-08-02</v>
      </c>
      <c r="B399" s="1" t="str">
        <f t="shared" si="6"/>
        <v>08/02/2011</v>
      </c>
      <c r="C399" t="str">
        <f>"30.2904"</f>
        <v>30.2904</v>
      </c>
      <c r="D399" s="1" t="s">
        <v>390</v>
      </c>
      <c r="E399" t="s">
        <v>4507</v>
      </c>
    </row>
    <row r="400" spans="1:5" x14ac:dyDescent="0.35">
      <c r="A400" t="str">
        <f>"2011-08-03"</f>
        <v>2011-08-03</v>
      </c>
      <c r="B400" s="1" t="str">
        <f t="shared" si="6"/>
        <v>08/03/2011</v>
      </c>
      <c r="C400" t="str">
        <f>"29.166"</f>
        <v>29.166</v>
      </c>
      <c r="D400" s="1" t="s">
        <v>391</v>
      </c>
      <c r="E400" t="s">
        <v>4508</v>
      </c>
    </row>
    <row r="401" spans="1:5" x14ac:dyDescent="0.35">
      <c r="A401" t="str">
        <f>"2011-08-04"</f>
        <v>2011-08-04</v>
      </c>
      <c r="B401" s="1" t="str">
        <f t="shared" si="6"/>
        <v>08/04/2011</v>
      </c>
      <c r="C401" t="str">
        <f>"28.8395"</f>
        <v>28.8395</v>
      </c>
      <c r="D401" s="1" t="s">
        <v>392</v>
      </c>
      <c r="E401" t="s">
        <v>4509</v>
      </c>
    </row>
    <row r="402" spans="1:5" x14ac:dyDescent="0.35">
      <c r="A402" t="str">
        <f>"2011-08-05"</f>
        <v>2011-08-05</v>
      </c>
      <c r="B402" s="1" t="str">
        <f t="shared" si="6"/>
        <v>08/05/2011</v>
      </c>
      <c r="C402" t="str">
        <f>"26.5717"</f>
        <v>26.5717</v>
      </c>
      <c r="D402" s="1" t="s">
        <v>393</v>
      </c>
      <c r="E402" t="s">
        <v>4510</v>
      </c>
    </row>
    <row r="403" spans="1:5" x14ac:dyDescent="0.35">
      <c r="A403" t="str">
        <f>"2011-08-08"</f>
        <v>2011-08-08</v>
      </c>
      <c r="B403" s="1" t="str">
        <f t="shared" si="6"/>
        <v>08/08/2011</v>
      </c>
      <c r="C403" t="str">
        <f>"23.3198"</f>
        <v>23.3198</v>
      </c>
      <c r="D403" s="1" t="s">
        <v>394</v>
      </c>
      <c r="E403" t="s">
        <v>4511</v>
      </c>
    </row>
    <row r="404" spans="1:5" x14ac:dyDescent="0.35">
      <c r="A404" t="str">
        <f>"2011-08-09"</f>
        <v>2011-08-09</v>
      </c>
      <c r="B404" s="1" t="str">
        <f t="shared" si="6"/>
        <v>08/09/2011</v>
      </c>
      <c r="C404" t="str">
        <f>"22.9554"</f>
        <v>22.9554</v>
      </c>
      <c r="D404" s="1" t="s">
        <v>395</v>
      </c>
      <c r="E404" t="s">
        <v>4512</v>
      </c>
    </row>
    <row r="405" spans="1:5" x14ac:dyDescent="0.35">
      <c r="A405" t="str">
        <f>"2011-08-10"</f>
        <v>2011-08-10</v>
      </c>
      <c r="B405" s="1" t="str">
        <f t="shared" si="6"/>
        <v>08/10/2011</v>
      </c>
      <c r="C405" t="str">
        <f>"21.7366"</f>
        <v>21.7366</v>
      </c>
      <c r="D405" s="1" t="s">
        <v>396</v>
      </c>
      <c r="E405" t="s">
        <v>4513</v>
      </c>
    </row>
    <row r="406" spans="1:5" x14ac:dyDescent="0.35">
      <c r="A406" t="str">
        <f>"2011-08-11"</f>
        <v>2011-08-11</v>
      </c>
      <c r="B406" s="1" t="str">
        <f t="shared" si="6"/>
        <v>08/11/2011</v>
      </c>
      <c r="C406" t="str">
        <f>"22.2209"</f>
        <v>22.2209</v>
      </c>
      <c r="D406" s="1" t="s">
        <v>397</v>
      </c>
      <c r="E406" t="s">
        <v>4514</v>
      </c>
    </row>
    <row r="407" spans="1:5" x14ac:dyDescent="0.35">
      <c r="A407" t="str">
        <f>"2011-08-12"</f>
        <v>2011-08-12</v>
      </c>
      <c r="B407" s="1" t="str">
        <f t="shared" si="6"/>
        <v>08/12/2011</v>
      </c>
      <c r="C407" t="str">
        <f>"22.2031"</f>
        <v>22.2031</v>
      </c>
      <c r="D407" s="1" t="s">
        <v>398</v>
      </c>
      <c r="E407" t="s">
        <v>4515</v>
      </c>
    </row>
    <row r="408" spans="1:5" x14ac:dyDescent="0.35">
      <c r="A408" t="str">
        <f>"2011-08-15"</f>
        <v>2011-08-15</v>
      </c>
      <c r="B408" s="1" t="str">
        <f t="shared" si="6"/>
        <v>08/15/2011</v>
      </c>
      <c r="C408" t="str">
        <f>"22.0381"</f>
        <v>22.0381</v>
      </c>
      <c r="D408" s="1" t="s">
        <v>399</v>
      </c>
      <c r="E408" t="s">
        <v>4516</v>
      </c>
    </row>
    <row r="409" spans="1:5" x14ac:dyDescent="0.35">
      <c r="A409" t="str">
        <f>"2011-08-16"</f>
        <v>2011-08-16</v>
      </c>
      <c r="B409" s="1" t="str">
        <f t="shared" si="6"/>
        <v>08/16/2011</v>
      </c>
      <c r="C409" t="str">
        <f>"21.5091"</f>
        <v>21.5091</v>
      </c>
      <c r="D409" s="1" t="s">
        <v>400</v>
      </c>
      <c r="E409" t="s">
        <v>4517</v>
      </c>
    </row>
    <row r="410" spans="1:5" x14ac:dyDescent="0.35">
      <c r="A410" t="str">
        <f>"2011-08-17"</f>
        <v>2011-08-17</v>
      </c>
      <c r="B410" s="1" t="str">
        <f t="shared" si="6"/>
        <v>08/17/2011</v>
      </c>
      <c r="C410" t="str">
        <f>"21.5272"</f>
        <v>21.5272</v>
      </c>
      <c r="D410" s="1" t="s">
        <v>401</v>
      </c>
      <c r="E410" t="s">
        <v>4518</v>
      </c>
    </row>
    <row r="411" spans="1:5" x14ac:dyDescent="0.35">
      <c r="A411" t="str">
        <f>"2011-08-18"</f>
        <v>2011-08-18</v>
      </c>
      <c r="B411" s="1" t="str">
        <f t="shared" si="6"/>
        <v>08/18/2011</v>
      </c>
      <c r="C411" t="str">
        <f>"20.2658"</f>
        <v>20.2658</v>
      </c>
      <c r="D411" s="1" t="s">
        <v>402</v>
      </c>
      <c r="E411" t="s">
        <v>4519</v>
      </c>
    </row>
    <row r="412" spans="1:5" x14ac:dyDescent="0.35">
      <c r="A412" t="str">
        <f>"2011-08-19"</f>
        <v>2011-08-19</v>
      </c>
      <c r="B412" s="1" t="str">
        <f t="shared" si="6"/>
        <v>08/19/2011</v>
      </c>
      <c r="C412" t="str">
        <f>"19.6939"</f>
        <v>19.6939</v>
      </c>
      <c r="D412" s="1" t="s">
        <v>403</v>
      </c>
      <c r="E412" t="s">
        <v>4520</v>
      </c>
    </row>
    <row r="413" spans="1:5" x14ac:dyDescent="0.35">
      <c r="A413" t="str">
        <f>"2011-08-22"</f>
        <v>2011-08-22</v>
      </c>
      <c r="B413" s="1" t="str">
        <f t="shared" si="6"/>
        <v>08/22/2011</v>
      </c>
      <c r="C413" t="str">
        <f>"19.6068"</f>
        <v>19.6068</v>
      </c>
      <c r="D413" s="1" t="s">
        <v>404</v>
      </c>
      <c r="E413" t="s">
        <v>4521</v>
      </c>
    </row>
    <row r="414" spans="1:5" x14ac:dyDescent="0.35">
      <c r="A414" t="str">
        <f>"2011-08-23"</f>
        <v>2011-08-23</v>
      </c>
      <c r="B414" s="1" t="str">
        <f t="shared" si="6"/>
        <v>08/23/2011</v>
      </c>
      <c r="C414" t="str">
        <f>"19.5734"</f>
        <v>19.5734</v>
      </c>
      <c r="D414" s="1" t="s">
        <v>405</v>
      </c>
      <c r="E414" t="s">
        <v>4522</v>
      </c>
    </row>
    <row r="415" spans="1:5" x14ac:dyDescent="0.35">
      <c r="A415" t="str">
        <f>"2011-08-24"</f>
        <v>2011-08-24</v>
      </c>
      <c r="B415" s="1" t="str">
        <f t="shared" si="6"/>
        <v>08/24/2011</v>
      </c>
      <c r="C415" t="str">
        <f>"20.9249"</f>
        <v>20.9249</v>
      </c>
      <c r="D415" s="1" t="s">
        <v>406</v>
      </c>
      <c r="E415" t="s">
        <v>4523</v>
      </c>
    </row>
    <row r="416" spans="1:5" x14ac:dyDescent="0.35">
      <c r="A416" t="str">
        <f>"2011-08-25"</f>
        <v>2011-08-25</v>
      </c>
      <c r="B416" s="1" t="str">
        <f t="shared" si="6"/>
        <v>08/25/2011</v>
      </c>
      <c r="C416" t="str">
        <f>"20.5416"</f>
        <v>20.5416</v>
      </c>
      <c r="D416" s="1" t="s">
        <v>407</v>
      </c>
      <c r="E416" t="s">
        <v>4524</v>
      </c>
    </row>
    <row r="417" spans="1:5" x14ac:dyDescent="0.35">
      <c r="A417" t="str">
        <f>"2011-08-26"</f>
        <v>2011-08-26</v>
      </c>
      <c r="B417" s="1" t="str">
        <f t="shared" si="6"/>
        <v>08/26/2011</v>
      </c>
      <c r="C417" t="str">
        <f>"20.5556"</f>
        <v>20.5556</v>
      </c>
      <c r="D417" s="1" t="s">
        <v>408</v>
      </c>
      <c r="E417" t="s">
        <v>4525</v>
      </c>
    </row>
    <row r="418" spans="1:5" x14ac:dyDescent="0.35">
      <c r="A418" t="str">
        <f>"2011-08-29"</f>
        <v>2011-08-29</v>
      </c>
      <c r="B418" s="1" t="str">
        <f t="shared" si="6"/>
        <v>08/29/2011</v>
      </c>
      <c r="C418" t="str">
        <f>"20.6896"</f>
        <v>20.6896</v>
      </c>
      <c r="D418" s="1" t="s">
        <v>409</v>
      </c>
      <c r="E418" t="s">
        <v>4526</v>
      </c>
    </row>
    <row r="419" spans="1:5" x14ac:dyDescent="0.35">
      <c r="A419" t="str">
        <f>"2011-08-30"</f>
        <v>2011-08-30</v>
      </c>
      <c r="B419" s="1" t="str">
        <f t="shared" si="6"/>
        <v>08/30/2011</v>
      </c>
      <c r="C419" t="str">
        <f>"20.4643"</f>
        <v>20.4643</v>
      </c>
      <c r="D419" s="1" t="s">
        <v>410</v>
      </c>
      <c r="E419" t="s">
        <v>4527</v>
      </c>
    </row>
    <row r="420" spans="1:5" x14ac:dyDescent="0.35">
      <c r="A420" t="str">
        <f>"2011-08-31"</f>
        <v>2011-08-31</v>
      </c>
      <c r="B420" s="1" t="str">
        <f t="shared" si="6"/>
        <v>08/31/2011</v>
      </c>
      <c r="C420" t="str">
        <f>"20.4217"</f>
        <v>20.4217</v>
      </c>
      <c r="D420" s="1" t="s">
        <v>411</v>
      </c>
      <c r="E420" t="s">
        <v>4528</v>
      </c>
    </row>
    <row r="421" spans="1:5" x14ac:dyDescent="0.35">
      <c r="A421" t="str">
        <f>"2011-09-01"</f>
        <v>2011-09-01</v>
      </c>
      <c r="B421" s="1" t="str">
        <f t="shared" si="6"/>
        <v>09/01/2011</v>
      </c>
      <c r="C421" t="str">
        <f>"20.6489"</f>
        <v>20.6489</v>
      </c>
      <c r="D421" s="1" t="s">
        <v>412</v>
      </c>
      <c r="E421" t="s">
        <v>4529</v>
      </c>
    </row>
    <row r="422" spans="1:5" x14ac:dyDescent="0.35">
      <c r="A422" t="str">
        <f>"2011-09-02"</f>
        <v>2011-09-02</v>
      </c>
      <c r="B422" s="1" t="str">
        <f t="shared" si="6"/>
        <v>09/02/2011</v>
      </c>
      <c r="C422" t="str">
        <f>"20.5011"</f>
        <v>20.5011</v>
      </c>
      <c r="D422" s="1" t="s">
        <v>413</v>
      </c>
      <c r="E422" t="s">
        <v>4530</v>
      </c>
    </row>
    <row r="423" spans="1:5" x14ac:dyDescent="0.35">
      <c r="A423" t="str">
        <f>"2011-09-06"</f>
        <v>2011-09-06</v>
      </c>
      <c r="B423" s="1" t="str">
        <f t="shared" si="6"/>
        <v>09/06/2011</v>
      </c>
      <c r="C423" t="str">
        <f>"19.8856"</f>
        <v>19.8856</v>
      </c>
      <c r="D423" s="1" t="s">
        <v>414</v>
      </c>
      <c r="E423" t="s">
        <v>4531</v>
      </c>
    </row>
    <row r="424" spans="1:5" x14ac:dyDescent="0.35">
      <c r="A424" t="str">
        <f>"2011-09-07"</f>
        <v>2011-09-07</v>
      </c>
      <c r="B424" s="1" t="str">
        <f t="shared" si="6"/>
        <v>09/07/2011</v>
      </c>
      <c r="C424" t="str">
        <f>"21.4464"</f>
        <v>21.4464</v>
      </c>
      <c r="D424" s="1" t="s">
        <v>415</v>
      </c>
      <c r="E424" t="s">
        <v>4532</v>
      </c>
    </row>
    <row r="425" spans="1:5" x14ac:dyDescent="0.35">
      <c r="A425" t="str">
        <f>"2011-09-08"</f>
        <v>2011-09-08</v>
      </c>
      <c r="B425" s="1" t="str">
        <f t="shared" si="6"/>
        <v>09/08/2011</v>
      </c>
      <c r="C425" t="str">
        <f>"21.6733"</f>
        <v>21.6733</v>
      </c>
      <c r="D425" s="1" t="s">
        <v>416</v>
      </c>
      <c r="E425" t="s">
        <v>4533</v>
      </c>
    </row>
    <row r="426" spans="1:5" x14ac:dyDescent="0.35">
      <c r="A426" t="str">
        <f>"2011-09-09"</f>
        <v>2011-09-09</v>
      </c>
      <c r="B426" s="1" t="str">
        <f t="shared" si="6"/>
        <v>09/09/2011</v>
      </c>
      <c r="C426" t="str">
        <f>"21.7034"</f>
        <v>21.7034</v>
      </c>
      <c r="D426" s="1" t="s">
        <v>417</v>
      </c>
      <c r="E426" t="s">
        <v>4534</v>
      </c>
    </row>
    <row r="427" spans="1:5" x14ac:dyDescent="0.35">
      <c r="A427" t="str">
        <f>"2011-09-12"</f>
        <v>2011-09-12</v>
      </c>
      <c r="B427" s="1" t="str">
        <f t="shared" si="6"/>
        <v>09/12/2011</v>
      </c>
      <c r="C427" t="str">
        <f>"22.8993"</f>
        <v>22.8993</v>
      </c>
      <c r="D427" s="1" t="s">
        <v>418</v>
      </c>
      <c r="E427" t="s">
        <v>4535</v>
      </c>
    </row>
    <row r="428" spans="1:5" x14ac:dyDescent="0.35">
      <c r="A428" t="str">
        <f>"2011-09-13"</f>
        <v>2011-09-13</v>
      </c>
      <c r="B428" s="1" t="str">
        <f t="shared" si="6"/>
        <v>09/13/2011</v>
      </c>
      <c r="C428" t="str">
        <f>"23.3032"</f>
        <v>23.3032</v>
      </c>
      <c r="D428" s="1" t="s">
        <v>419</v>
      </c>
      <c r="E428" t="s">
        <v>4536</v>
      </c>
    </row>
    <row r="429" spans="1:5" x14ac:dyDescent="0.35">
      <c r="A429" t="str">
        <f>"2011-09-14"</f>
        <v>2011-09-14</v>
      </c>
      <c r="B429" s="1" t="str">
        <f t="shared" si="6"/>
        <v>09/14/2011</v>
      </c>
      <c r="C429" t="str">
        <f>"23.1228"</f>
        <v>23.1228</v>
      </c>
      <c r="D429" s="1" t="s">
        <v>420</v>
      </c>
      <c r="E429" t="s">
        <v>4537</v>
      </c>
    </row>
    <row r="430" spans="1:5" x14ac:dyDescent="0.35">
      <c r="A430" t="str">
        <f>"2011-09-15"</f>
        <v>2011-09-15</v>
      </c>
      <c r="B430" s="1" t="str">
        <f t="shared" si="6"/>
        <v>09/15/2011</v>
      </c>
      <c r="C430" t="str">
        <f>"23.6479"</f>
        <v>23.6479</v>
      </c>
      <c r="D430" s="1" t="s">
        <v>421</v>
      </c>
      <c r="E430" t="s">
        <v>4538</v>
      </c>
    </row>
    <row r="431" spans="1:5" x14ac:dyDescent="0.35">
      <c r="A431" t="str">
        <f>"2011-09-16"</f>
        <v>2011-09-16</v>
      </c>
      <c r="B431" s="1" t="str">
        <f t="shared" si="6"/>
        <v>09/16/2011</v>
      </c>
      <c r="C431" t="str">
        <f>"23.3997"</f>
        <v>23.3997</v>
      </c>
      <c r="D431" s="1" t="s">
        <v>422</v>
      </c>
      <c r="E431" t="s">
        <v>4539</v>
      </c>
    </row>
    <row r="432" spans="1:5" x14ac:dyDescent="0.35">
      <c r="A432" t="str">
        <f>"2011-09-19"</f>
        <v>2011-09-19</v>
      </c>
      <c r="B432" s="1" t="str">
        <f t="shared" si="6"/>
        <v>09/19/2011</v>
      </c>
      <c r="C432" t="str">
        <f>"24.0195"</f>
        <v>24.0195</v>
      </c>
      <c r="D432" s="1" t="s">
        <v>423</v>
      </c>
      <c r="E432" t="s">
        <v>4540</v>
      </c>
    </row>
    <row r="433" spans="1:5" x14ac:dyDescent="0.35">
      <c r="A433" t="str">
        <f>"2011-09-20"</f>
        <v>2011-09-20</v>
      </c>
      <c r="B433" s="1" t="str">
        <f t="shared" si="6"/>
        <v>09/20/2011</v>
      </c>
      <c r="C433" t="str">
        <f>"23.808"</f>
        <v>23.808</v>
      </c>
      <c r="D433" s="1" t="s">
        <v>424</v>
      </c>
      <c r="E433" t="s">
        <v>4541</v>
      </c>
    </row>
    <row r="434" spans="1:5" x14ac:dyDescent="0.35">
      <c r="A434" t="str">
        <f>"2011-09-21"</f>
        <v>2011-09-21</v>
      </c>
      <c r="B434" s="1" t="str">
        <f t="shared" si="6"/>
        <v>09/21/2011</v>
      </c>
      <c r="C434" t="str">
        <f>"24.1045"</f>
        <v>24.1045</v>
      </c>
      <c r="D434" s="1" t="s">
        <v>425</v>
      </c>
      <c r="E434" t="s">
        <v>4542</v>
      </c>
    </row>
    <row r="435" spans="1:5" x14ac:dyDescent="0.35">
      <c r="A435" t="str">
        <f>"2011-09-22"</f>
        <v>2011-09-22</v>
      </c>
      <c r="B435" s="1" t="str">
        <f t="shared" si="6"/>
        <v>09/22/2011</v>
      </c>
      <c r="C435" t="str">
        <f>"23.3659"</f>
        <v>23.3659</v>
      </c>
      <c r="D435" s="1" t="s">
        <v>426</v>
      </c>
      <c r="E435" t="s">
        <v>4543</v>
      </c>
    </row>
    <row r="436" spans="1:5" x14ac:dyDescent="0.35">
      <c r="A436" t="str">
        <f>"2011-09-23"</f>
        <v>2011-09-23</v>
      </c>
      <c r="B436" s="1" t="str">
        <f t="shared" si="6"/>
        <v>09/23/2011</v>
      </c>
      <c r="C436" t="str">
        <f>"23.4417"</f>
        <v>23.4417</v>
      </c>
      <c r="D436" s="1" t="s">
        <v>427</v>
      </c>
      <c r="E436" t="s">
        <v>4544</v>
      </c>
    </row>
    <row r="437" spans="1:5" x14ac:dyDescent="0.35">
      <c r="A437" t="str">
        <f>"2011-09-26"</f>
        <v>2011-09-26</v>
      </c>
      <c r="B437" s="1" t="str">
        <f t="shared" si="6"/>
        <v>09/26/2011</v>
      </c>
      <c r="C437" t="str">
        <f>"24.1193"</f>
        <v>24.1193</v>
      </c>
      <c r="D437" s="1" t="s">
        <v>428</v>
      </c>
      <c r="E437" t="s">
        <v>4545</v>
      </c>
    </row>
    <row r="438" spans="1:5" x14ac:dyDescent="0.35">
      <c r="A438" t="str">
        <f>"2011-09-27"</f>
        <v>2011-09-27</v>
      </c>
      <c r="B438" s="1" t="str">
        <f t="shared" si="6"/>
        <v>09/27/2011</v>
      </c>
      <c r="C438" t="str">
        <f>"23.3856"</f>
        <v>23.3856</v>
      </c>
      <c r="D438" s="1" t="s">
        <v>429</v>
      </c>
      <c r="E438" t="s">
        <v>4546</v>
      </c>
    </row>
    <row r="439" spans="1:5" x14ac:dyDescent="0.35">
      <c r="A439" t="str">
        <f>"2011-09-28"</f>
        <v>2011-09-28</v>
      </c>
      <c r="B439" s="1" t="str">
        <f t="shared" si="6"/>
        <v>09/28/2011</v>
      </c>
      <c r="C439" t="str">
        <f>"24.7071"</f>
        <v>24.7071</v>
      </c>
      <c r="D439" s="1" t="s">
        <v>430</v>
      </c>
      <c r="E439" t="s">
        <v>4547</v>
      </c>
    </row>
    <row r="440" spans="1:5" x14ac:dyDescent="0.35">
      <c r="A440" t="str">
        <f>"2011-09-29"</f>
        <v>2011-09-29</v>
      </c>
      <c r="B440" s="1" t="str">
        <f t="shared" si="6"/>
        <v>09/29/2011</v>
      </c>
      <c r="C440" t="str">
        <f>"24.8441"</f>
        <v>24.8441</v>
      </c>
      <c r="D440" s="1" t="s">
        <v>431</v>
      </c>
      <c r="E440" t="s">
        <v>4548</v>
      </c>
    </row>
    <row r="441" spans="1:5" x14ac:dyDescent="0.35">
      <c r="A441" t="str">
        <f>"2011-09-30"</f>
        <v>2011-09-30</v>
      </c>
      <c r="B441" s="1" t="str">
        <f t="shared" si="6"/>
        <v>09/30/2011</v>
      </c>
      <c r="C441" t="str">
        <f>"24.542"</f>
        <v>24.542</v>
      </c>
      <c r="D441" s="1" t="s">
        <v>432</v>
      </c>
      <c r="E441" t="s">
        <v>4549</v>
      </c>
    </row>
    <row r="442" spans="1:5" x14ac:dyDescent="0.35">
      <c r="A442" t="str">
        <f>"2011-10-03"</f>
        <v>2011-10-03</v>
      </c>
      <c r="B442" s="1" t="str">
        <f t="shared" si="6"/>
        <v>10/03/2011</v>
      </c>
      <c r="C442" t="str">
        <f>"24.131"</f>
        <v>24.131</v>
      </c>
      <c r="D442" s="1" t="s">
        <v>433</v>
      </c>
      <c r="E442" t="s">
        <v>4550</v>
      </c>
    </row>
    <row r="443" spans="1:5" x14ac:dyDescent="0.35">
      <c r="A443" t="str">
        <f>"2011-10-04"</f>
        <v>2011-10-04</v>
      </c>
      <c r="B443" s="1" t="str">
        <f t="shared" si="6"/>
        <v>10/04/2011</v>
      </c>
      <c r="C443" t="str">
        <f>"23.2506"</f>
        <v>23.2506</v>
      </c>
      <c r="D443" s="1" t="s">
        <v>434</v>
      </c>
      <c r="E443" t="s">
        <v>4551</v>
      </c>
    </row>
    <row r="444" spans="1:5" x14ac:dyDescent="0.35">
      <c r="A444" t="str">
        <f>"2011-10-05"</f>
        <v>2011-10-05</v>
      </c>
      <c r="B444" s="1" t="str">
        <f t="shared" si="6"/>
        <v>10/05/2011</v>
      </c>
      <c r="C444" t="str">
        <f>"23.1016"</f>
        <v>23.1016</v>
      </c>
      <c r="D444" s="1" t="s">
        <v>435</v>
      </c>
      <c r="E444" t="s">
        <v>4552</v>
      </c>
    </row>
    <row r="445" spans="1:5" x14ac:dyDescent="0.35">
      <c r="A445" t="str">
        <f>"2011-10-06"</f>
        <v>2011-10-06</v>
      </c>
      <c r="B445" s="1" t="str">
        <f t="shared" si="6"/>
        <v>10/06/2011</v>
      </c>
      <c r="C445" t="str">
        <f>"22.7853"</f>
        <v>22.7853</v>
      </c>
      <c r="D445" s="1" t="s">
        <v>436</v>
      </c>
      <c r="E445" t="s">
        <v>4553</v>
      </c>
    </row>
    <row r="446" spans="1:5" x14ac:dyDescent="0.35">
      <c r="A446" t="str">
        <f>"2011-10-07"</f>
        <v>2011-10-07</v>
      </c>
      <c r="B446" s="1" t="str">
        <f t="shared" si="6"/>
        <v>10/07/2011</v>
      </c>
      <c r="C446" t="str">
        <f>"23.5414"</f>
        <v>23.5414</v>
      </c>
      <c r="D446" s="1" t="s">
        <v>437</v>
      </c>
      <c r="E446" t="s">
        <v>4554</v>
      </c>
    </row>
    <row r="447" spans="1:5" x14ac:dyDescent="0.35">
      <c r="A447" t="str">
        <f>"2011-10-10"</f>
        <v>2011-10-10</v>
      </c>
      <c r="B447" s="1" t="str">
        <f t="shared" si="6"/>
        <v>10/10/2011</v>
      </c>
      <c r="C447" t="str">
        <f>"22.7877"</f>
        <v>22.7877</v>
      </c>
      <c r="D447" s="1" t="s">
        <v>438</v>
      </c>
      <c r="E447" t="s">
        <v>4555</v>
      </c>
    </row>
    <row r="448" spans="1:5" x14ac:dyDescent="0.35">
      <c r="A448" t="str">
        <f>"2011-10-11"</f>
        <v>2011-10-11</v>
      </c>
      <c r="B448" s="1" t="str">
        <f t="shared" si="6"/>
        <v>10/11/2011</v>
      </c>
      <c r="C448" t="str">
        <f>"23.3846"</f>
        <v>23.3846</v>
      </c>
      <c r="D448" s="1" t="s">
        <v>439</v>
      </c>
      <c r="E448" t="s">
        <v>4556</v>
      </c>
    </row>
    <row r="449" spans="1:5" x14ac:dyDescent="0.35">
      <c r="A449" t="str">
        <f>"2011-10-12"</f>
        <v>2011-10-12</v>
      </c>
      <c r="B449" s="1" t="str">
        <f t="shared" si="6"/>
        <v>10/12/2011</v>
      </c>
      <c r="C449" t="str">
        <f>"23.111"</f>
        <v>23.111</v>
      </c>
      <c r="D449" s="1" t="s">
        <v>440</v>
      </c>
      <c r="E449" t="s">
        <v>4557</v>
      </c>
    </row>
    <row r="450" spans="1:5" x14ac:dyDescent="0.35">
      <c r="A450" t="str">
        <f>"2011-10-13"</f>
        <v>2011-10-13</v>
      </c>
      <c r="B450" s="1" t="str">
        <f t="shared" si="6"/>
        <v>10/13/2011</v>
      </c>
      <c r="C450" t="str">
        <f>"23.3933"</f>
        <v>23.3933</v>
      </c>
      <c r="D450" s="1" t="s">
        <v>441</v>
      </c>
      <c r="E450" t="s">
        <v>4558</v>
      </c>
    </row>
    <row r="451" spans="1:5" x14ac:dyDescent="0.35">
      <c r="A451" t="str">
        <f>"2011-10-14"</f>
        <v>2011-10-14</v>
      </c>
      <c r="B451" s="1" t="str">
        <f t="shared" ref="B451:B514" si="7">LEFT(RIGHT(A451,5),2)&amp;"/"&amp;RIGHT(A451,2)&amp;"/"&amp;LEFT(A451,4)</f>
        <v>10/14/2011</v>
      </c>
      <c r="C451" t="str">
        <f>"22.9729"</f>
        <v>22.9729</v>
      </c>
      <c r="D451" s="1" t="s">
        <v>442</v>
      </c>
      <c r="E451" t="s">
        <v>4559</v>
      </c>
    </row>
    <row r="452" spans="1:5" x14ac:dyDescent="0.35">
      <c r="A452" t="str">
        <f>"2011-10-17"</f>
        <v>2011-10-17</v>
      </c>
      <c r="B452" s="1" t="str">
        <f t="shared" si="7"/>
        <v>10/17/2011</v>
      </c>
      <c r="C452" t="str">
        <f>"22.8002"</f>
        <v>22.8002</v>
      </c>
      <c r="D452" s="1" t="s">
        <v>443</v>
      </c>
      <c r="E452" t="s">
        <v>4560</v>
      </c>
    </row>
    <row r="453" spans="1:5" x14ac:dyDescent="0.35">
      <c r="A453" t="str">
        <f>"2011-10-18"</f>
        <v>2011-10-18</v>
      </c>
      <c r="B453" s="1" t="str">
        <f t="shared" si="7"/>
        <v>10/18/2011</v>
      </c>
      <c r="C453" t="str">
        <f>"22.5613"</f>
        <v>22.5613</v>
      </c>
      <c r="D453" s="1" t="s">
        <v>444</v>
      </c>
      <c r="E453" t="s">
        <v>4561</v>
      </c>
    </row>
    <row r="454" spans="1:5" x14ac:dyDescent="0.35">
      <c r="A454" t="str">
        <f>"2011-10-19"</f>
        <v>2011-10-19</v>
      </c>
      <c r="B454" s="1" t="str">
        <f t="shared" si="7"/>
        <v>10/19/2011</v>
      </c>
      <c r="C454" t="str">
        <f>"22.3235"</f>
        <v>22.3235</v>
      </c>
      <c r="D454" s="1" t="s">
        <v>445</v>
      </c>
      <c r="E454" t="s">
        <v>4562</v>
      </c>
    </row>
    <row r="455" spans="1:5" x14ac:dyDescent="0.35">
      <c r="A455" t="str">
        <f>"2011-10-20"</f>
        <v>2011-10-20</v>
      </c>
      <c r="B455" s="1" t="str">
        <f t="shared" si="7"/>
        <v>10/20/2011</v>
      </c>
      <c r="C455" t="str">
        <f>"22.3916"</f>
        <v>22.3916</v>
      </c>
      <c r="D455" s="1" t="s">
        <v>446</v>
      </c>
      <c r="E455" t="s">
        <v>4563</v>
      </c>
    </row>
    <row r="456" spans="1:5" x14ac:dyDescent="0.35">
      <c r="A456" t="str">
        <f>"2011-10-21"</f>
        <v>2011-10-21</v>
      </c>
      <c r="B456" s="1" t="str">
        <f t="shared" si="7"/>
        <v>10/21/2011</v>
      </c>
      <c r="C456" t="str">
        <f>"22.6238"</f>
        <v>22.6238</v>
      </c>
      <c r="D456" s="1" t="s">
        <v>447</v>
      </c>
      <c r="E456" t="s">
        <v>4564</v>
      </c>
    </row>
    <row r="457" spans="1:5" x14ac:dyDescent="0.35">
      <c r="A457" t="str">
        <f>"2011-10-24"</f>
        <v>2011-10-24</v>
      </c>
      <c r="B457" s="1" t="str">
        <f t="shared" si="7"/>
        <v>10/24/2011</v>
      </c>
      <c r="C457" t="str">
        <f>"22.5538"</f>
        <v>22.5538</v>
      </c>
      <c r="D457" s="1" t="s">
        <v>448</v>
      </c>
      <c r="E457" t="s">
        <v>4565</v>
      </c>
    </row>
    <row r="458" spans="1:5" x14ac:dyDescent="0.35">
      <c r="A458" t="str">
        <f>"2011-10-25"</f>
        <v>2011-10-25</v>
      </c>
      <c r="B458" s="1" t="str">
        <f t="shared" si="7"/>
        <v>10/25/2011</v>
      </c>
      <c r="C458" t="str">
        <f>"22.4894"</f>
        <v>22.4894</v>
      </c>
      <c r="D458" s="1" t="s">
        <v>449</v>
      </c>
      <c r="E458" t="s">
        <v>4566</v>
      </c>
    </row>
    <row r="459" spans="1:5" x14ac:dyDescent="0.35">
      <c r="A459" t="str">
        <f>"2011-10-26"</f>
        <v>2011-10-26</v>
      </c>
      <c r="B459" s="1" t="str">
        <f t="shared" si="7"/>
        <v>10/26/2011</v>
      </c>
      <c r="C459" t="str">
        <f>"22.1028"</f>
        <v>22.1028</v>
      </c>
      <c r="D459" s="1" t="s">
        <v>450</v>
      </c>
      <c r="E459" t="s">
        <v>4567</v>
      </c>
    </row>
    <row r="460" spans="1:5" x14ac:dyDescent="0.35">
      <c r="A460" t="str">
        <f>"2011-10-27"</f>
        <v>2011-10-27</v>
      </c>
      <c r="B460" s="1" t="str">
        <f t="shared" si="7"/>
        <v>10/27/2011</v>
      </c>
      <c r="C460" t="str">
        <f>"22.8333"</f>
        <v>22.8333</v>
      </c>
      <c r="D460" s="1" t="s">
        <v>451</v>
      </c>
      <c r="E460" t="s">
        <v>4568</v>
      </c>
    </row>
    <row r="461" spans="1:5" x14ac:dyDescent="0.35">
      <c r="A461" t="str">
        <f>"2011-10-28"</f>
        <v>2011-10-28</v>
      </c>
      <c r="B461" s="1" t="str">
        <f t="shared" si="7"/>
        <v>10/28/2011</v>
      </c>
      <c r="C461" t="str">
        <f>"23.3401"</f>
        <v>23.3401</v>
      </c>
      <c r="D461" s="1" t="s">
        <v>452</v>
      </c>
      <c r="E461" t="s">
        <v>4569</v>
      </c>
    </row>
    <row r="462" spans="1:5" x14ac:dyDescent="0.35">
      <c r="A462" t="str">
        <f>"2011-10-31"</f>
        <v>2011-10-31</v>
      </c>
      <c r="B462" s="1" t="str">
        <f t="shared" si="7"/>
        <v>10/31/2011</v>
      </c>
      <c r="C462" t="str">
        <f>"22.9663"</f>
        <v>22.9663</v>
      </c>
      <c r="D462" s="1" t="s">
        <v>453</v>
      </c>
      <c r="E462" t="s">
        <v>4570</v>
      </c>
    </row>
    <row r="463" spans="1:5" x14ac:dyDescent="0.35">
      <c r="A463" t="str">
        <f>"2011-11-01"</f>
        <v>2011-11-01</v>
      </c>
      <c r="B463" s="1" t="str">
        <f t="shared" si="7"/>
        <v>11/01/2011</v>
      </c>
      <c r="C463" t="str">
        <f>"22.1758"</f>
        <v>22.1758</v>
      </c>
      <c r="D463" s="1" t="s">
        <v>454</v>
      </c>
      <c r="E463" t="s">
        <v>4571</v>
      </c>
    </row>
    <row r="464" spans="1:5" x14ac:dyDescent="0.35">
      <c r="A464" t="str">
        <f>"2011-11-02"</f>
        <v>2011-11-02</v>
      </c>
      <c r="B464" s="1" t="str">
        <f t="shared" si="7"/>
        <v>11/02/2011</v>
      </c>
      <c r="C464" t="str">
        <f>"21.73"</f>
        <v>21.73</v>
      </c>
      <c r="D464" s="1" t="s">
        <v>455</v>
      </c>
      <c r="E464" t="s">
        <v>4572</v>
      </c>
    </row>
    <row r="465" spans="1:5" x14ac:dyDescent="0.35">
      <c r="A465" t="str">
        <f>"2011-11-03"</f>
        <v>2011-11-03</v>
      </c>
      <c r="B465" s="1" t="str">
        <f t="shared" si="7"/>
        <v>11/03/2011</v>
      </c>
      <c r="C465" t="str">
        <f>"21.6205"</f>
        <v>21.6205</v>
      </c>
      <c r="D465" s="1" t="s">
        <v>456</v>
      </c>
      <c r="E465" t="s">
        <v>4573</v>
      </c>
    </row>
    <row r="466" spans="1:5" x14ac:dyDescent="0.35">
      <c r="A466" t="str">
        <f>"2011-11-04"</f>
        <v>2011-11-04</v>
      </c>
      <c r="B466" s="1" t="str">
        <f t="shared" si="7"/>
        <v>11/04/2011</v>
      </c>
      <c r="C466" t="str">
        <f>"21.8123"</f>
        <v>21.8123</v>
      </c>
      <c r="D466" s="1" t="s">
        <v>457</v>
      </c>
      <c r="E466" t="s">
        <v>4574</v>
      </c>
    </row>
    <row r="467" spans="1:5" x14ac:dyDescent="0.35">
      <c r="A467" t="str">
        <f>"2011-11-07"</f>
        <v>2011-11-07</v>
      </c>
      <c r="B467" s="1" t="str">
        <f t="shared" si="7"/>
        <v>11/07/2011</v>
      </c>
      <c r="C467" t="str">
        <f>"21.2621"</f>
        <v>21.2621</v>
      </c>
      <c r="D467" s="1" t="s">
        <v>458</v>
      </c>
      <c r="E467" t="s">
        <v>4575</v>
      </c>
    </row>
    <row r="468" spans="1:5" x14ac:dyDescent="0.35">
      <c r="A468" t="str">
        <f>"2011-11-08"</f>
        <v>2011-11-08</v>
      </c>
      <c r="B468" s="1" t="str">
        <f t="shared" si="7"/>
        <v>11/08/2011</v>
      </c>
      <c r="C468" t="str">
        <f>"21.0102"</f>
        <v>21.0102</v>
      </c>
      <c r="D468" s="1" t="s">
        <v>459</v>
      </c>
      <c r="E468" t="s">
        <v>4576</v>
      </c>
    </row>
    <row r="469" spans="1:5" x14ac:dyDescent="0.35">
      <c r="A469" t="str">
        <f>"2011-11-09"</f>
        <v>2011-11-09</v>
      </c>
      <c r="B469" s="1" t="str">
        <f t="shared" si="7"/>
        <v>11/09/2011</v>
      </c>
      <c r="C469" t="str">
        <f>"21.1829"</f>
        <v>21.1829</v>
      </c>
      <c r="D469" s="1" t="s">
        <v>460</v>
      </c>
      <c r="E469" t="s">
        <v>4577</v>
      </c>
    </row>
    <row r="470" spans="1:5" x14ac:dyDescent="0.35">
      <c r="A470" t="str">
        <f>"2011-11-10"</f>
        <v>2011-11-10</v>
      </c>
      <c r="B470" s="1" t="str">
        <f t="shared" si="7"/>
        <v>11/10/2011</v>
      </c>
      <c r="C470" t="str">
        <f>"20.7658"</f>
        <v>20.7658</v>
      </c>
      <c r="D470" s="1" t="s">
        <v>461</v>
      </c>
      <c r="E470" t="s">
        <v>4578</v>
      </c>
    </row>
    <row r="471" spans="1:5" x14ac:dyDescent="0.35">
      <c r="A471" t="str">
        <f>"2011-11-11"</f>
        <v>2011-11-11</v>
      </c>
      <c r="B471" s="1" t="str">
        <f t="shared" si="7"/>
        <v>11/11/2011</v>
      </c>
      <c r="C471" t="str">
        <f>"20.6173"</f>
        <v>20.6173</v>
      </c>
      <c r="D471" s="1" t="s">
        <v>462</v>
      </c>
      <c r="E471" t="s">
        <v>4579</v>
      </c>
    </row>
    <row r="472" spans="1:5" x14ac:dyDescent="0.35">
      <c r="A472" t="str">
        <f>"2011-11-14"</f>
        <v>2011-11-14</v>
      </c>
      <c r="B472" s="1" t="str">
        <f t="shared" si="7"/>
        <v>11/14/2011</v>
      </c>
      <c r="C472" t="str">
        <f>"21.5776"</f>
        <v>21.5776</v>
      </c>
      <c r="D472" s="1" t="s">
        <v>463</v>
      </c>
      <c r="E472" t="s">
        <v>4580</v>
      </c>
    </row>
    <row r="473" spans="1:5" x14ac:dyDescent="0.35">
      <c r="A473" t="str">
        <f>"2011-11-15"</f>
        <v>2011-11-15</v>
      </c>
      <c r="B473" s="1" t="str">
        <f t="shared" si="7"/>
        <v>11/15/2011</v>
      </c>
      <c r="C473" t="str">
        <f>"22.0077"</f>
        <v>22.0077</v>
      </c>
      <c r="D473" s="1" t="s">
        <v>464</v>
      </c>
      <c r="E473" t="s">
        <v>4581</v>
      </c>
    </row>
    <row r="474" spans="1:5" x14ac:dyDescent="0.35">
      <c r="A474" t="str">
        <f>"2011-11-16"</f>
        <v>2011-11-16</v>
      </c>
      <c r="B474" s="1" t="str">
        <f t="shared" si="7"/>
        <v>11/16/2011</v>
      </c>
      <c r="C474" t="str">
        <f>"22.0503"</f>
        <v>22.0503</v>
      </c>
      <c r="D474" s="1" t="s">
        <v>465</v>
      </c>
      <c r="E474" t="s">
        <v>4582</v>
      </c>
    </row>
    <row r="475" spans="1:5" x14ac:dyDescent="0.35">
      <c r="A475" t="str">
        <f>"2011-11-17"</f>
        <v>2011-11-17</v>
      </c>
      <c r="B475" s="1" t="str">
        <f t="shared" si="7"/>
        <v>11/17/2011</v>
      </c>
      <c r="C475" t="str">
        <f>"22.5386"</f>
        <v>22.5386</v>
      </c>
      <c r="D475" s="1" t="s">
        <v>466</v>
      </c>
      <c r="E475" t="s">
        <v>4583</v>
      </c>
    </row>
    <row r="476" spans="1:5" x14ac:dyDescent="0.35">
      <c r="A476" t="str">
        <f>"2011-11-18"</f>
        <v>2011-11-18</v>
      </c>
      <c r="B476" s="1" t="str">
        <f t="shared" si="7"/>
        <v>11/18/2011</v>
      </c>
      <c r="C476" t="str">
        <f>"21.8377"</f>
        <v>21.8377</v>
      </c>
      <c r="D476" s="1" t="s">
        <v>467</v>
      </c>
      <c r="E476" t="s">
        <v>4584</v>
      </c>
    </row>
    <row r="477" spans="1:5" x14ac:dyDescent="0.35">
      <c r="A477" t="str">
        <f>"2011-11-21"</f>
        <v>2011-11-21</v>
      </c>
      <c r="B477" s="1" t="str">
        <f t="shared" si="7"/>
        <v>11/21/2011</v>
      </c>
      <c r="C477" t="str">
        <f>"21.1859"</f>
        <v>21.1859</v>
      </c>
      <c r="D477" s="1" t="s">
        <v>468</v>
      </c>
      <c r="E477" t="s">
        <v>4585</v>
      </c>
    </row>
    <row r="478" spans="1:5" x14ac:dyDescent="0.35">
      <c r="A478" t="str">
        <f>"2011-11-22"</f>
        <v>2011-11-22</v>
      </c>
      <c r="B478" s="1" t="str">
        <f t="shared" si="7"/>
        <v>11/22/2011</v>
      </c>
      <c r="C478" t="str">
        <f>"20.5286"</f>
        <v>20.5286</v>
      </c>
      <c r="D478" s="1" t="s">
        <v>469</v>
      </c>
      <c r="E478" t="s">
        <v>4586</v>
      </c>
    </row>
    <row r="479" spans="1:5" x14ac:dyDescent="0.35">
      <c r="A479" t="str">
        <f>"2011-11-23"</f>
        <v>2011-11-23</v>
      </c>
      <c r="B479" s="1" t="str">
        <f t="shared" si="7"/>
        <v>11/23/2011</v>
      </c>
      <c r="C479" t="str">
        <f>"20.3493"</f>
        <v>20.3493</v>
      </c>
      <c r="D479" s="1" t="s">
        <v>470</v>
      </c>
      <c r="E479" t="s">
        <v>4587</v>
      </c>
    </row>
    <row r="480" spans="1:5" x14ac:dyDescent="0.35">
      <c r="A480" t="str">
        <f>"2011-11-25"</f>
        <v>2011-11-25</v>
      </c>
      <c r="B480" s="1" t="str">
        <f t="shared" si="7"/>
        <v>11/25/2011</v>
      </c>
      <c r="C480" t="str">
        <f>"19.8392"</f>
        <v>19.8392</v>
      </c>
      <c r="D480" s="1" t="s">
        <v>471</v>
      </c>
      <c r="E480" t="s">
        <v>4588</v>
      </c>
    </row>
    <row r="481" spans="1:5" x14ac:dyDescent="0.35">
      <c r="A481" t="str">
        <f>"2011-11-28"</f>
        <v>2011-11-28</v>
      </c>
      <c r="B481" s="1" t="str">
        <f t="shared" si="7"/>
        <v>11/28/2011</v>
      </c>
      <c r="C481" t="str">
        <f>"19.8111"</f>
        <v>19.8111</v>
      </c>
      <c r="D481" s="1" t="s">
        <v>472</v>
      </c>
      <c r="E481" t="s">
        <v>4589</v>
      </c>
    </row>
    <row r="482" spans="1:5" x14ac:dyDescent="0.35">
      <c r="A482" t="str">
        <f>"2011-11-29"</f>
        <v>2011-11-29</v>
      </c>
      <c r="B482" s="1" t="str">
        <f t="shared" si="7"/>
        <v>11/29/2011</v>
      </c>
      <c r="C482" t="str">
        <f>"19.5468"</f>
        <v>19.5468</v>
      </c>
      <c r="D482" s="1" t="s">
        <v>473</v>
      </c>
      <c r="E482" t="s">
        <v>4590</v>
      </c>
    </row>
    <row r="483" spans="1:5" x14ac:dyDescent="0.35">
      <c r="A483" t="str">
        <f>"2011-11-30"</f>
        <v>2011-11-30</v>
      </c>
      <c r="B483" s="1" t="str">
        <f t="shared" si="7"/>
        <v>11/30/2011</v>
      </c>
      <c r="C483" t="str">
        <f>"19.8503"</f>
        <v>19.8503</v>
      </c>
      <c r="D483" s="1" t="s">
        <v>474</v>
      </c>
      <c r="E483" t="s">
        <v>4591</v>
      </c>
    </row>
    <row r="484" spans="1:5" x14ac:dyDescent="0.35">
      <c r="A484" t="str">
        <f>"2011-12-01"</f>
        <v>2011-12-01</v>
      </c>
      <c r="B484" s="1" t="str">
        <f t="shared" si="7"/>
        <v>12/01/2011</v>
      </c>
      <c r="C484" t="str">
        <f>"20.2417"</f>
        <v>20.2417</v>
      </c>
      <c r="D484" s="1" t="s">
        <v>475</v>
      </c>
      <c r="E484" t="s">
        <v>4592</v>
      </c>
    </row>
    <row r="485" spans="1:5" x14ac:dyDescent="0.35">
      <c r="A485" t="str">
        <f>"2011-12-02"</f>
        <v>2011-12-02</v>
      </c>
      <c r="B485" s="1" t="str">
        <f t="shared" si="7"/>
        <v>12/02/2011</v>
      </c>
      <c r="C485" t="str">
        <f>"20.0081"</f>
        <v>20.0081</v>
      </c>
      <c r="D485" s="1" t="s">
        <v>476</v>
      </c>
      <c r="E485" t="s">
        <v>4593</v>
      </c>
    </row>
    <row r="486" spans="1:5" x14ac:dyDescent="0.35">
      <c r="A486" t="str">
        <f>"2011-12-05"</f>
        <v>2011-12-05</v>
      </c>
      <c r="B486" s="1" t="str">
        <f t="shared" si="7"/>
        <v>12/05/2011</v>
      </c>
      <c r="C486" t="str">
        <f>"20.39"</f>
        <v>20.39</v>
      </c>
      <c r="D486" s="1" t="s">
        <v>477</v>
      </c>
      <c r="E486" t="s">
        <v>4594</v>
      </c>
    </row>
    <row r="487" spans="1:5" x14ac:dyDescent="0.35">
      <c r="A487" t="str">
        <f>"2011-12-06"</f>
        <v>2011-12-06</v>
      </c>
      <c r="B487" s="1" t="str">
        <f t="shared" si="7"/>
        <v>12/06/2011</v>
      </c>
      <c r="C487" t="str">
        <f>"20.0743"</f>
        <v>20.0743</v>
      </c>
      <c r="D487" s="1" t="s">
        <v>478</v>
      </c>
      <c r="E487" t="s">
        <v>4595</v>
      </c>
    </row>
    <row r="488" spans="1:5" x14ac:dyDescent="0.35">
      <c r="A488" t="str">
        <f>"2011-12-07"</f>
        <v>2011-12-07</v>
      </c>
      <c r="B488" s="1" t="str">
        <f t="shared" si="7"/>
        <v>12/07/2011</v>
      </c>
      <c r="C488" t="str">
        <f>"19.9972"</f>
        <v>19.9972</v>
      </c>
      <c r="D488" s="1" t="s">
        <v>479</v>
      </c>
      <c r="E488" t="s">
        <v>4596</v>
      </c>
    </row>
    <row r="489" spans="1:5" x14ac:dyDescent="0.35">
      <c r="A489" t="str">
        <f>"2011-12-08"</f>
        <v>2011-12-08</v>
      </c>
      <c r="B489" s="1" t="str">
        <f t="shared" si="7"/>
        <v>12/08/2011</v>
      </c>
      <c r="C489" t="str">
        <f>"19.8034"</f>
        <v>19.8034</v>
      </c>
      <c r="D489" s="1" t="s">
        <v>480</v>
      </c>
      <c r="E489" t="s">
        <v>4597</v>
      </c>
    </row>
    <row r="490" spans="1:5" x14ac:dyDescent="0.35">
      <c r="A490" t="str">
        <f>"2011-12-09"</f>
        <v>2011-12-09</v>
      </c>
      <c r="B490" s="1" t="str">
        <f t="shared" si="7"/>
        <v>12/09/2011</v>
      </c>
      <c r="C490" t="str">
        <f>"19.6548"</f>
        <v>19.6548</v>
      </c>
      <c r="D490" s="1" t="s">
        <v>481</v>
      </c>
      <c r="E490" t="s">
        <v>4598</v>
      </c>
    </row>
    <row r="491" spans="1:5" x14ac:dyDescent="0.35">
      <c r="A491" t="str">
        <f>"2011-12-12"</f>
        <v>2011-12-12</v>
      </c>
      <c r="B491" s="1" t="str">
        <f t="shared" si="7"/>
        <v>12/12/2011</v>
      </c>
      <c r="C491" t="str">
        <f>"19.7827"</f>
        <v>19.7827</v>
      </c>
      <c r="D491" s="1" t="s">
        <v>482</v>
      </c>
      <c r="E491" t="s">
        <v>4599</v>
      </c>
    </row>
    <row r="492" spans="1:5" x14ac:dyDescent="0.35">
      <c r="A492" t="str">
        <f>"2011-12-13"</f>
        <v>2011-12-13</v>
      </c>
      <c r="B492" s="1" t="str">
        <f t="shared" si="7"/>
        <v>12/13/2011</v>
      </c>
      <c r="C492" t="str">
        <f>"19.7303"</f>
        <v>19.7303</v>
      </c>
      <c r="D492" s="1" t="s">
        <v>483</v>
      </c>
      <c r="E492" t="s">
        <v>4600</v>
      </c>
    </row>
    <row r="493" spans="1:5" x14ac:dyDescent="0.35">
      <c r="A493" t="str">
        <f>"2011-12-14"</f>
        <v>2011-12-14</v>
      </c>
      <c r="B493" s="1" t="str">
        <f t="shared" si="7"/>
        <v>12/14/2011</v>
      </c>
      <c r="C493" t="str">
        <f>"19.4305"</f>
        <v>19.4305</v>
      </c>
      <c r="D493" s="1" t="s">
        <v>484</v>
      </c>
      <c r="E493" t="s">
        <v>4601</v>
      </c>
    </row>
    <row r="494" spans="1:5" x14ac:dyDescent="0.35">
      <c r="A494" t="str">
        <f>"2011-12-15"</f>
        <v>2011-12-15</v>
      </c>
      <c r="B494" s="1" t="str">
        <f t="shared" si="7"/>
        <v>12/15/2011</v>
      </c>
      <c r="C494" t="str">
        <f>"19.9677"</f>
        <v>19.9677</v>
      </c>
      <c r="D494" s="1" t="s">
        <v>485</v>
      </c>
      <c r="E494" t="s">
        <v>4602</v>
      </c>
    </row>
    <row r="495" spans="1:5" x14ac:dyDescent="0.35">
      <c r="A495" t="str">
        <f>"2011-12-16"</f>
        <v>2011-12-16</v>
      </c>
      <c r="B495" s="1" t="str">
        <f t="shared" si="7"/>
        <v>12/16/2011</v>
      </c>
      <c r="C495" t="str">
        <f>"20.2342"</f>
        <v>20.2342</v>
      </c>
      <c r="D495" s="1" t="s">
        <v>486</v>
      </c>
      <c r="E495" t="s">
        <v>4603</v>
      </c>
    </row>
    <row r="496" spans="1:5" x14ac:dyDescent="0.35">
      <c r="A496" t="str">
        <f>"2011-12-19"</f>
        <v>2011-12-19</v>
      </c>
      <c r="B496" s="1" t="str">
        <f t="shared" si="7"/>
        <v>12/19/2011</v>
      </c>
      <c r="C496" t="str">
        <f>"19.8087"</f>
        <v>19.8087</v>
      </c>
      <c r="D496" s="1" t="s">
        <v>487</v>
      </c>
      <c r="E496" t="s">
        <v>4604</v>
      </c>
    </row>
    <row r="497" spans="1:5" x14ac:dyDescent="0.35">
      <c r="A497" t="str">
        <f>"2011-12-20"</f>
        <v>2011-12-20</v>
      </c>
      <c r="B497" s="1" t="str">
        <f t="shared" si="7"/>
        <v>12/20/2011</v>
      </c>
      <c r="C497" t="str">
        <f>"19.9097"</f>
        <v>19.9097</v>
      </c>
      <c r="D497" s="1" t="s">
        <v>488</v>
      </c>
      <c r="E497" t="s">
        <v>4605</v>
      </c>
    </row>
    <row r="498" spans="1:5" x14ac:dyDescent="0.35">
      <c r="A498" t="str">
        <f>"2011-12-21"</f>
        <v>2011-12-21</v>
      </c>
      <c r="B498" s="1" t="str">
        <f t="shared" si="7"/>
        <v>12/21/2011</v>
      </c>
      <c r="C498" t="str">
        <f>"19.7833"</f>
        <v>19.7833</v>
      </c>
      <c r="D498" s="1" t="s">
        <v>489</v>
      </c>
      <c r="E498" t="s">
        <v>4606</v>
      </c>
    </row>
    <row r="499" spans="1:5" x14ac:dyDescent="0.35">
      <c r="A499" t="str">
        <f>"2011-12-22"</f>
        <v>2011-12-22</v>
      </c>
      <c r="B499" s="1" t="str">
        <f t="shared" si="7"/>
        <v>12/22/2011</v>
      </c>
      <c r="C499" t="str">
        <f>"19.8139"</f>
        <v>19.8139</v>
      </c>
      <c r="D499" s="1" t="s">
        <v>490</v>
      </c>
      <c r="E499" t="s">
        <v>4607</v>
      </c>
    </row>
    <row r="500" spans="1:5" x14ac:dyDescent="0.35">
      <c r="A500" t="str">
        <f>"2011-12-23"</f>
        <v>2011-12-23</v>
      </c>
      <c r="B500" s="1" t="str">
        <f t="shared" si="7"/>
        <v>12/23/2011</v>
      </c>
      <c r="C500" t="str">
        <f>"19.8236"</f>
        <v>19.8236</v>
      </c>
      <c r="D500" s="1" t="s">
        <v>491</v>
      </c>
      <c r="E500" t="s">
        <v>4608</v>
      </c>
    </row>
    <row r="501" spans="1:5" x14ac:dyDescent="0.35">
      <c r="A501" t="str">
        <f>"2011-12-27"</f>
        <v>2011-12-27</v>
      </c>
      <c r="B501" s="1" t="str">
        <f t="shared" si="7"/>
        <v>12/27/2011</v>
      </c>
      <c r="C501" t="str">
        <f>"19.7504"</f>
        <v>19.7504</v>
      </c>
      <c r="D501" s="1" t="s">
        <v>492</v>
      </c>
      <c r="E501" t="s">
        <v>4609</v>
      </c>
    </row>
    <row r="502" spans="1:5" x14ac:dyDescent="0.35">
      <c r="A502" t="str">
        <f>"2011-12-28"</f>
        <v>2011-12-28</v>
      </c>
      <c r="B502" s="1" t="str">
        <f t="shared" si="7"/>
        <v>12/28/2011</v>
      </c>
      <c r="C502" t="str">
        <f>"19.7077"</f>
        <v>19.7077</v>
      </c>
      <c r="D502" s="1" t="s">
        <v>493</v>
      </c>
      <c r="E502" t="s">
        <v>4610</v>
      </c>
    </row>
    <row r="503" spans="1:5" x14ac:dyDescent="0.35">
      <c r="A503" t="str">
        <f>"2011-12-29"</f>
        <v>2011-12-29</v>
      </c>
      <c r="B503" s="1" t="str">
        <f t="shared" si="7"/>
        <v>12/29/2011</v>
      </c>
      <c r="C503" t="str">
        <f>"19.5967"</f>
        <v>19.5967</v>
      </c>
      <c r="D503" s="1" t="s">
        <v>494</v>
      </c>
      <c r="E503" t="s">
        <v>4611</v>
      </c>
    </row>
    <row r="504" spans="1:5" x14ac:dyDescent="0.35">
      <c r="A504" t="str">
        <f>"2011-12-30"</f>
        <v>2011-12-30</v>
      </c>
      <c r="B504" s="1" t="str">
        <f t="shared" si="7"/>
        <v>12/30/2011</v>
      </c>
      <c r="C504" t="str">
        <f>"19.2086"</f>
        <v>19.2086</v>
      </c>
      <c r="D504" s="1" t="s">
        <v>495</v>
      </c>
      <c r="E504" t="s">
        <v>4612</v>
      </c>
    </row>
    <row r="505" spans="1:5" x14ac:dyDescent="0.35">
      <c r="A505" t="str">
        <f>"2012-01-03"</f>
        <v>2012-01-03</v>
      </c>
      <c r="B505" s="1" t="str">
        <f t="shared" si="7"/>
        <v>01/03/2012</v>
      </c>
      <c r="C505" t="str">
        <f>"19.795"</f>
        <v>19.795</v>
      </c>
      <c r="D505" s="1" t="s">
        <v>496</v>
      </c>
      <c r="E505" t="s">
        <v>4613</v>
      </c>
    </row>
    <row r="506" spans="1:5" x14ac:dyDescent="0.35">
      <c r="A506" t="str">
        <f>"2012-01-04"</f>
        <v>2012-01-04</v>
      </c>
      <c r="B506" s="1" t="str">
        <f t="shared" si="7"/>
        <v>01/04/2012</v>
      </c>
      <c r="C506" t="str">
        <f>"19.27"</f>
        <v>19.27</v>
      </c>
      <c r="D506" s="1" t="s">
        <v>497</v>
      </c>
      <c r="E506" t="s">
        <v>4614</v>
      </c>
    </row>
    <row r="507" spans="1:5" x14ac:dyDescent="0.35">
      <c r="A507" t="str">
        <f>"2012-01-05"</f>
        <v>2012-01-05</v>
      </c>
      <c r="B507" s="1" t="str">
        <f t="shared" si="7"/>
        <v>01/05/2012</v>
      </c>
      <c r="C507" t="str">
        <f>"18.7618"</f>
        <v>18.7618</v>
      </c>
      <c r="D507" s="1" t="s">
        <v>498</v>
      </c>
      <c r="E507" t="s">
        <v>4615</v>
      </c>
    </row>
    <row r="508" spans="1:5" x14ac:dyDescent="0.35">
      <c r="A508" t="str">
        <f>"2012-01-06"</f>
        <v>2012-01-06</v>
      </c>
      <c r="B508" s="1" t="str">
        <f t="shared" si="7"/>
        <v>01/06/2012</v>
      </c>
      <c r="C508" t="str">
        <f>"18.3449"</f>
        <v>18.3449</v>
      </c>
      <c r="D508" s="1" t="s">
        <v>499</v>
      </c>
      <c r="E508" t="s">
        <v>4616</v>
      </c>
    </row>
    <row r="509" spans="1:5" x14ac:dyDescent="0.35">
      <c r="A509" t="str">
        <f>"2012-01-09"</f>
        <v>2012-01-09</v>
      </c>
      <c r="B509" s="1" t="str">
        <f t="shared" si="7"/>
        <v>01/09/2012</v>
      </c>
      <c r="C509" t="str">
        <f>"17.9039"</f>
        <v>17.9039</v>
      </c>
      <c r="D509" s="1" t="s">
        <v>500</v>
      </c>
      <c r="E509" t="s">
        <v>4617</v>
      </c>
    </row>
    <row r="510" spans="1:5" x14ac:dyDescent="0.35">
      <c r="A510" t="str">
        <f>"2012-01-10"</f>
        <v>2012-01-10</v>
      </c>
      <c r="B510" s="1" t="str">
        <f t="shared" si="7"/>
        <v>01/10/2012</v>
      </c>
      <c r="C510" t="str">
        <f>"18.0219"</f>
        <v>18.0219</v>
      </c>
      <c r="D510" s="1" t="s">
        <v>501</v>
      </c>
      <c r="E510" t="s">
        <v>4618</v>
      </c>
    </row>
    <row r="511" spans="1:5" x14ac:dyDescent="0.35">
      <c r="A511" t="str">
        <f>"2012-01-11"</f>
        <v>2012-01-11</v>
      </c>
      <c r="B511" s="1" t="str">
        <f t="shared" si="7"/>
        <v>01/11/2012</v>
      </c>
      <c r="C511" t="str">
        <f>"18.1987"</f>
        <v>18.1987</v>
      </c>
      <c r="D511" s="1" t="s">
        <v>502</v>
      </c>
      <c r="E511" t="s">
        <v>4619</v>
      </c>
    </row>
    <row r="512" spans="1:5" x14ac:dyDescent="0.35">
      <c r="A512" t="str">
        <f>"2012-01-12"</f>
        <v>2012-01-12</v>
      </c>
      <c r="B512" s="1" t="str">
        <f t="shared" si="7"/>
        <v>01/12/2012</v>
      </c>
      <c r="C512" t="str">
        <f>"18.7845"</f>
        <v>18.7845</v>
      </c>
      <c r="D512" s="1" t="s">
        <v>503</v>
      </c>
      <c r="E512" t="s">
        <v>4620</v>
      </c>
    </row>
    <row r="513" spans="1:5" x14ac:dyDescent="0.35">
      <c r="A513" t="str">
        <f>"2012-01-13"</f>
        <v>2012-01-13</v>
      </c>
      <c r="B513" s="1" t="str">
        <f t="shared" si="7"/>
        <v>01/13/2012</v>
      </c>
      <c r="C513" t="str">
        <f>"18.454"</f>
        <v>18.454</v>
      </c>
      <c r="D513" s="1" t="s">
        <v>504</v>
      </c>
      <c r="E513" t="s">
        <v>4621</v>
      </c>
    </row>
    <row r="514" spans="1:5" x14ac:dyDescent="0.35">
      <c r="A514" t="str">
        <f>"2012-01-17"</f>
        <v>2012-01-17</v>
      </c>
      <c r="B514" s="1" t="str">
        <f t="shared" si="7"/>
        <v>01/17/2012</v>
      </c>
      <c r="C514" t="str">
        <f>"18.8135"</f>
        <v>18.8135</v>
      </c>
      <c r="D514" s="1" t="s">
        <v>505</v>
      </c>
      <c r="E514" t="s">
        <v>4622</v>
      </c>
    </row>
    <row r="515" spans="1:5" x14ac:dyDescent="0.35">
      <c r="A515" t="str">
        <f>"2012-01-18"</f>
        <v>2012-01-18</v>
      </c>
      <c r="B515" s="1" t="str">
        <f t="shared" ref="B515:B578" si="8">LEFT(RIGHT(A515,5),2)&amp;"/"&amp;RIGHT(A515,2)&amp;"/"&amp;LEFT(A515,4)</f>
        <v>01/18/2012</v>
      </c>
      <c r="C515" t="str">
        <f>"19.3117"</f>
        <v>19.3117</v>
      </c>
      <c r="D515" s="1" t="s">
        <v>506</v>
      </c>
      <c r="E515" t="s">
        <v>4623</v>
      </c>
    </row>
    <row r="516" spans="1:5" x14ac:dyDescent="0.35">
      <c r="A516" t="str">
        <f>"2012-01-19"</f>
        <v>2012-01-19</v>
      </c>
      <c r="B516" s="1" t="str">
        <f t="shared" si="8"/>
        <v>01/19/2012</v>
      </c>
      <c r="C516" t="str">
        <f>"19.3881"</f>
        <v>19.3881</v>
      </c>
      <c r="D516" s="1" t="s">
        <v>507</v>
      </c>
      <c r="E516" t="s">
        <v>4624</v>
      </c>
    </row>
    <row r="517" spans="1:5" x14ac:dyDescent="0.35">
      <c r="A517" t="str">
        <f>"2012-01-20"</f>
        <v>2012-01-20</v>
      </c>
      <c r="B517" s="1" t="str">
        <f t="shared" si="8"/>
        <v>01/20/2012</v>
      </c>
      <c r="C517" t="str">
        <f>"19.5018"</f>
        <v>19.5018</v>
      </c>
      <c r="D517" s="1" t="s">
        <v>508</v>
      </c>
      <c r="E517" t="s">
        <v>4625</v>
      </c>
    </row>
    <row r="518" spans="1:5" x14ac:dyDescent="0.35">
      <c r="A518" t="str">
        <f>"2012-01-23"</f>
        <v>2012-01-23</v>
      </c>
      <c r="B518" s="1" t="str">
        <f t="shared" si="8"/>
        <v>01/23/2012</v>
      </c>
      <c r="C518" t="str">
        <f>"19.9752"</f>
        <v>19.9752</v>
      </c>
      <c r="D518" s="1" t="s">
        <v>509</v>
      </c>
      <c r="E518" t="s">
        <v>4626</v>
      </c>
    </row>
    <row r="519" spans="1:5" x14ac:dyDescent="0.35">
      <c r="A519" t="str">
        <f>"2012-01-24"</f>
        <v>2012-01-24</v>
      </c>
      <c r="B519" s="1" t="str">
        <f t="shared" si="8"/>
        <v>01/24/2012</v>
      </c>
      <c r="C519" t="str">
        <f>"19.7758"</f>
        <v>19.7758</v>
      </c>
      <c r="D519" s="1" t="s">
        <v>510</v>
      </c>
      <c r="E519" t="s">
        <v>4627</v>
      </c>
    </row>
    <row r="520" spans="1:5" x14ac:dyDescent="0.35">
      <c r="A520" t="str">
        <f>"2012-01-25"</f>
        <v>2012-01-25</v>
      </c>
      <c r="B520" s="1" t="str">
        <f t="shared" si="8"/>
        <v>01/25/2012</v>
      </c>
      <c r="C520" t="str">
        <f>"19.2433"</f>
        <v>19.2433</v>
      </c>
      <c r="D520" s="1" t="s">
        <v>511</v>
      </c>
      <c r="E520" t="s">
        <v>4628</v>
      </c>
    </row>
    <row r="521" spans="1:5" x14ac:dyDescent="0.35">
      <c r="A521" t="str">
        <f>"2012-01-26"</f>
        <v>2012-01-26</v>
      </c>
      <c r="B521" s="1" t="str">
        <f t="shared" si="8"/>
        <v>01/26/2012</v>
      </c>
      <c r="C521" t="str">
        <f>"20.1442"</f>
        <v>20.1442</v>
      </c>
      <c r="D521" s="1" t="s">
        <v>512</v>
      </c>
      <c r="E521" t="s">
        <v>4629</v>
      </c>
    </row>
    <row r="522" spans="1:5" x14ac:dyDescent="0.35">
      <c r="A522" t="str">
        <f>"2012-01-27"</f>
        <v>2012-01-27</v>
      </c>
      <c r="B522" s="1" t="str">
        <f t="shared" si="8"/>
        <v>01/27/2012</v>
      </c>
      <c r="C522" t="str">
        <f>"20.3007"</f>
        <v>20.3007</v>
      </c>
      <c r="D522" s="1" t="s">
        <v>513</v>
      </c>
      <c r="E522" t="s">
        <v>4630</v>
      </c>
    </row>
    <row r="523" spans="1:5" x14ac:dyDescent="0.35">
      <c r="A523" t="str">
        <f>"2012-01-30"</f>
        <v>2012-01-30</v>
      </c>
      <c r="B523" s="1" t="str">
        <f t="shared" si="8"/>
        <v>01/30/2012</v>
      </c>
      <c r="C523" t="str">
        <f>"20.8895"</f>
        <v>20.8895</v>
      </c>
      <c r="D523" s="1" t="s">
        <v>514</v>
      </c>
      <c r="E523" t="s">
        <v>4631</v>
      </c>
    </row>
    <row r="524" spans="1:5" x14ac:dyDescent="0.35">
      <c r="A524" t="str">
        <f>"2012-01-31"</f>
        <v>2012-01-31</v>
      </c>
      <c r="B524" s="1" t="str">
        <f t="shared" si="8"/>
        <v>01/31/2012</v>
      </c>
      <c r="C524" t="str">
        <f>"20.4773"</f>
        <v>20.4773</v>
      </c>
      <c r="D524" s="1" t="s">
        <v>515</v>
      </c>
      <c r="E524" t="s">
        <v>4632</v>
      </c>
    </row>
    <row r="525" spans="1:5" x14ac:dyDescent="0.35">
      <c r="A525" t="str">
        <f>"2012-02-01"</f>
        <v>2012-02-01</v>
      </c>
      <c r="B525" s="1" t="str">
        <f t="shared" si="8"/>
        <v>02/01/2012</v>
      </c>
      <c r="C525" t="str">
        <f>"21.8113"</f>
        <v>21.8113</v>
      </c>
      <c r="D525" s="1" t="s">
        <v>516</v>
      </c>
      <c r="E525" t="s">
        <v>4633</v>
      </c>
    </row>
    <row r="526" spans="1:5" x14ac:dyDescent="0.35">
      <c r="A526" t="str">
        <f>"2012-02-02"</f>
        <v>2012-02-02</v>
      </c>
      <c r="B526" s="1" t="str">
        <f t="shared" si="8"/>
        <v>02/02/2012</v>
      </c>
      <c r="C526" t="str">
        <f>"23.1641"</f>
        <v>23.1641</v>
      </c>
      <c r="D526" s="1" t="s">
        <v>517</v>
      </c>
      <c r="E526" t="s">
        <v>4634</v>
      </c>
    </row>
    <row r="527" spans="1:5" x14ac:dyDescent="0.35">
      <c r="A527" t="str">
        <f>"2012-02-03"</f>
        <v>2012-02-03</v>
      </c>
      <c r="B527" s="1" t="str">
        <f t="shared" si="8"/>
        <v>02/03/2012</v>
      </c>
      <c r="C527" t="str">
        <f>"23.9209"</f>
        <v>23.9209</v>
      </c>
      <c r="D527" s="1" t="s">
        <v>518</v>
      </c>
      <c r="E527" t="s">
        <v>4635</v>
      </c>
    </row>
    <row r="528" spans="1:5" x14ac:dyDescent="0.35">
      <c r="A528" t="str">
        <f>"2012-02-06"</f>
        <v>2012-02-06</v>
      </c>
      <c r="B528" s="1" t="str">
        <f t="shared" si="8"/>
        <v>02/06/2012</v>
      </c>
      <c r="C528" t="str">
        <f>"24.9079"</f>
        <v>24.9079</v>
      </c>
      <c r="D528" s="1" t="s">
        <v>519</v>
      </c>
      <c r="E528" t="s">
        <v>4636</v>
      </c>
    </row>
    <row r="529" spans="1:5" x14ac:dyDescent="0.35">
      <c r="A529" t="str">
        <f>"2012-02-07"</f>
        <v>2012-02-07</v>
      </c>
      <c r="B529" s="1" t="str">
        <f t="shared" si="8"/>
        <v>02/07/2012</v>
      </c>
      <c r="C529" t="str">
        <f>"24.2425"</f>
        <v>24.2425</v>
      </c>
      <c r="D529" s="1" t="s">
        <v>520</v>
      </c>
      <c r="E529" t="s">
        <v>4637</v>
      </c>
    </row>
    <row r="530" spans="1:5" x14ac:dyDescent="0.35">
      <c r="A530" t="str">
        <f>"2012-02-08"</f>
        <v>2012-02-08</v>
      </c>
      <c r="B530" s="1" t="str">
        <f t="shared" si="8"/>
        <v>02/08/2012</v>
      </c>
      <c r="C530" t="str">
        <f>"24.8029"</f>
        <v>24.8029</v>
      </c>
      <c r="D530" s="1" t="s">
        <v>521</v>
      </c>
      <c r="E530" t="s">
        <v>4638</v>
      </c>
    </row>
    <row r="531" spans="1:5" x14ac:dyDescent="0.35">
      <c r="A531" t="str">
        <f>"2012-02-09"</f>
        <v>2012-02-09</v>
      </c>
      <c r="B531" s="1" t="str">
        <f t="shared" si="8"/>
        <v>02/09/2012</v>
      </c>
      <c r="C531" t="str">
        <f>"23.6323"</f>
        <v>23.6323</v>
      </c>
      <c r="D531" s="1" t="s">
        <v>522</v>
      </c>
      <c r="E531" t="s">
        <v>4639</v>
      </c>
    </row>
    <row r="532" spans="1:5" x14ac:dyDescent="0.35">
      <c r="A532" t="str">
        <f>"2012-02-10"</f>
        <v>2012-02-10</v>
      </c>
      <c r="B532" s="1" t="str">
        <f t="shared" si="8"/>
        <v>02/10/2012</v>
      </c>
      <c r="C532" t="str">
        <f>"23.6589"</f>
        <v>23.6589</v>
      </c>
      <c r="D532" s="1" t="s">
        <v>523</v>
      </c>
      <c r="E532" t="s">
        <v>4640</v>
      </c>
    </row>
    <row r="533" spans="1:5" x14ac:dyDescent="0.35">
      <c r="A533" t="str">
        <f>"2012-02-13"</f>
        <v>2012-02-13</v>
      </c>
      <c r="B533" s="1" t="str">
        <f t="shared" si="8"/>
        <v>02/13/2012</v>
      </c>
      <c r="C533" t="str">
        <f>"24.3667"</f>
        <v>24.3667</v>
      </c>
      <c r="D533" s="1" t="s">
        <v>524</v>
      </c>
      <c r="E533" t="s">
        <v>4641</v>
      </c>
    </row>
    <row r="534" spans="1:5" x14ac:dyDescent="0.35">
      <c r="A534" t="str">
        <f>"2012-02-14"</f>
        <v>2012-02-14</v>
      </c>
      <c r="B534" s="1" t="str">
        <f t="shared" si="8"/>
        <v>02/14/2012</v>
      </c>
      <c r="C534" t="str">
        <f>"23.9066"</f>
        <v>23.9066</v>
      </c>
      <c r="D534" s="1" t="s">
        <v>525</v>
      </c>
      <c r="E534" t="s">
        <v>4642</v>
      </c>
    </row>
    <row r="535" spans="1:5" x14ac:dyDescent="0.35">
      <c r="A535" t="str">
        <f>"2012-02-15"</f>
        <v>2012-02-15</v>
      </c>
      <c r="B535" s="1" t="str">
        <f t="shared" si="8"/>
        <v>02/15/2012</v>
      </c>
      <c r="C535" t="str">
        <f>"24.1118"</f>
        <v>24.1118</v>
      </c>
      <c r="D535" s="1" t="s">
        <v>526</v>
      </c>
      <c r="E535" t="s">
        <v>4643</v>
      </c>
    </row>
    <row r="536" spans="1:5" x14ac:dyDescent="0.35">
      <c r="A536" t="str">
        <f>"2012-02-16"</f>
        <v>2012-02-16</v>
      </c>
      <c r="B536" s="1" t="str">
        <f t="shared" si="8"/>
        <v>02/16/2012</v>
      </c>
      <c r="C536" t="str">
        <f>"23.9873"</f>
        <v>23.9873</v>
      </c>
      <c r="D536" s="1" t="s">
        <v>527</v>
      </c>
      <c r="E536" t="s">
        <v>4644</v>
      </c>
    </row>
    <row r="537" spans="1:5" x14ac:dyDescent="0.35">
      <c r="A537" t="str">
        <f>"2012-02-17"</f>
        <v>2012-02-17</v>
      </c>
      <c r="B537" s="1" t="str">
        <f t="shared" si="8"/>
        <v>02/17/2012</v>
      </c>
      <c r="C537" t="str">
        <f>"24.5851"</f>
        <v>24.5851</v>
      </c>
      <c r="D537" s="1" t="s">
        <v>528</v>
      </c>
      <c r="E537" t="s">
        <v>4645</v>
      </c>
    </row>
    <row r="538" spans="1:5" x14ac:dyDescent="0.35">
      <c r="A538" t="str">
        <f>"2012-02-21"</f>
        <v>2012-02-21</v>
      </c>
      <c r="B538" s="1" t="str">
        <f t="shared" si="8"/>
        <v>02/21/2012</v>
      </c>
      <c r="C538" t="str">
        <f>"25.4279"</f>
        <v>25.4279</v>
      </c>
      <c r="D538" s="1" t="s">
        <v>529</v>
      </c>
      <c r="E538" t="s">
        <v>4646</v>
      </c>
    </row>
    <row r="539" spans="1:5" x14ac:dyDescent="0.35">
      <c r="A539" t="str">
        <f>"2012-02-22"</f>
        <v>2012-02-22</v>
      </c>
      <c r="B539" s="1" t="str">
        <f t="shared" si="8"/>
        <v>02/22/2012</v>
      </c>
      <c r="C539" t="str">
        <f>"24.349"</f>
        <v>24.349</v>
      </c>
      <c r="D539" s="1" t="s">
        <v>530</v>
      </c>
      <c r="E539" t="s">
        <v>4647</v>
      </c>
    </row>
    <row r="540" spans="1:5" x14ac:dyDescent="0.35">
      <c r="A540" t="str">
        <f>"2012-02-23"</f>
        <v>2012-02-23</v>
      </c>
      <c r="B540" s="1" t="str">
        <f t="shared" si="8"/>
        <v>02/23/2012</v>
      </c>
      <c r="C540" t="str">
        <f>"23.4649"</f>
        <v>23.4649</v>
      </c>
      <c r="D540" s="1" t="s">
        <v>531</v>
      </c>
      <c r="E540" t="s">
        <v>4648</v>
      </c>
    </row>
    <row r="541" spans="1:5" x14ac:dyDescent="0.35">
      <c r="A541" t="str">
        <f>"2012-02-24"</f>
        <v>2012-02-24</v>
      </c>
      <c r="B541" s="1" t="str">
        <f t="shared" si="8"/>
        <v>02/24/2012</v>
      </c>
      <c r="C541" t="str">
        <f>"23.6005"</f>
        <v>23.6005</v>
      </c>
      <c r="D541" s="1" t="s">
        <v>532</v>
      </c>
      <c r="E541" t="s">
        <v>4649</v>
      </c>
    </row>
    <row r="542" spans="1:5" x14ac:dyDescent="0.35">
      <c r="A542" t="str">
        <f>"2012-02-27"</f>
        <v>2012-02-27</v>
      </c>
      <c r="B542" s="1" t="str">
        <f t="shared" si="8"/>
        <v>02/27/2012</v>
      </c>
      <c r="C542" t="str">
        <f>"22.2475"</f>
        <v>22.2475</v>
      </c>
      <c r="D542" s="1" t="s">
        <v>533</v>
      </c>
      <c r="E542" t="s">
        <v>4650</v>
      </c>
    </row>
    <row r="543" spans="1:5" x14ac:dyDescent="0.35">
      <c r="A543" t="str">
        <f>"2012-02-28"</f>
        <v>2012-02-28</v>
      </c>
      <c r="B543" s="1" t="str">
        <f t="shared" si="8"/>
        <v>02/28/2012</v>
      </c>
      <c r="C543" t="str">
        <f>"22.5642"</f>
        <v>22.5642</v>
      </c>
      <c r="D543" s="1" t="s">
        <v>534</v>
      </c>
      <c r="E543" t="s">
        <v>4651</v>
      </c>
    </row>
    <row r="544" spans="1:5" x14ac:dyDescent="0.35">
      <c r="A544" t="str">
        <f>"2012-02-29"</f>
        <v>2012-02-29</v>
      </c>
      <c r="B544" s="1" t="str">
        <f t="shared" si="8"/>
        <v>02/29/2012</v>
      </c>
      <c r="C544" t="str">
        <f>"24.0359"</f>
        <v>24.0359</v>
      </c>
      <c r="D544" s="1" t="s">
        <v>535</v>
      </c>
      <c r="E544" t="s">
        <v>4652</v>
      </c>
    </row>
    <row r="545" spans="1:5" x14ac:dyDescent="0.35">
      <c r="A545" t="str">
        <f>"2012-03-01"</f>
        <v>2012-03-01</v>
      </c>
      <c r="B545" s="1" t="str">
        <f t="shared" si="8"/>
        <v>03/01/2012</v>
      </c>
      <c r="C545" t="str">
        <f>"23.6372"</f>
        <v>23.6372</v>
      </c>
      <c r="D545" s="1" t="s">
        <v>536</v>
      </c>
      <c r="E545" t="s">
        <v>4653</v>
      </c>
    </row>
    <row r="546" spans="1:5" x14ac:dyDescent="0.35">
      <c r="A546" t="str">
        <f>"2012-03-02"</f>
        <v>2012-03-02</v>
      </c>
      <c r="B546" s="1" t="str">
        <f t="shared" si="8"/>
        <v>03/02/2012</v>
      </c>
      <c r="C546" t="str">
        <f>"23.6721"</f>
        <v>23.6721</v>
      </c>
      <c r="D546" s="1" t="s">
        <v>537</v>
      </c>
      <c r="E546" t="s">
        <v>4654</v>
      </c>
    </row>
    <row r="547" spans="1:5" x14ac:dyDescent="0.35">
      <c r="A547" t="str">
        <f>"2012-03-05"</f>
        <v>2012-03-05</v>
      </c>
      <c r="B547" s="1" t="str">
        <f t="shared" si="8"/>
        <v>03/05/2012</v>
      </c>
      <c r="C547" t="str">
        <f>"22.9218"</f>
        <v>22.9218</v>
      </c>
      <c r="D547" s="1" t="s">
        <v>538</v>
      </c>
      <c r="E547" t="s">
        <v>4655</v>
      </c>
    </row>
    <row r="548" spans="1:5" x14ac:dyDescent="0.35">
      <c r="A548" t="str">
        <f>"2012-03-06"</f>
        <v>2012-03-06</v>
      </c>
      <c r="B548" s="1" t="str">
        <f t="shared" si="8"/>
        <v>03/06/2012</v>
      </c>
      <c r="C548" t="str">
        <f>"23.2163"</f>
        <v>23.2163</v>
      </c>
      <c r="D548" s="1" t="s">
        <v>539</v>
      </c>
      <c r="E548" t="s">
        <v>4656</v>
      </c>
    </row>
    <row r="549" spans="1:5" x14ac:dyDescent="0.35">
      <c r="A549" t="str">
        <f>"2012-03-07"</f>
        <v>2012-03-07</v>
      </c>
      <c r="B549" s="1" t="str">
        <f t="shared" si="8"/>
        <v>03/07/2012</v>
      </c>
      <c r="C549" t="str">
        <f>"22.9626"</f>
        <v>22.9626</v>
      </c>
      <c r="D549" s="1" t="s">
        <v>540</v>
      </c>
      <c r="E549" t="s">
        <v>4657</v>
      </c>
    </row>
    <row r="550" spans="1:5" x14ac:dyDescent="0.35">
      <c r="A550" t="str">
        <f>"2012-03-08"</f>
        <v>2012-03-08</v>
      </c>
      <c r="B550" s="1" t="str">
        <f t="shared" si="8"/>
        <v>03/08/2012</v>
      </c>
      <c r="C550" t="str">
        <f>"22.7293"</f>
        <v>22.7293</v>
      </c>
      <c r="D550" s="1" t="s">
        <v>541</v>
      </c>
      <c r="E550" t="s">
        <v>4658</v>
      </c>
    </row>
    <row r="551" spans="1:5" x14ac:dyDescent="0.35">
      <c r="A551" t="str">
        <f>"2012-03-09"</f>
        <v>2012-03-09</v>
      </c>
      <c r="B551" s="1" t="str">
        <f t="shared" si="8"/>
        <v>03/09/2012</v>
      </c>
      <c r="C551" t="str">
        <f>"22.4548"</f>
        <v>22.4548</v>
      </c>
      <c r="D551" s="1" t="s">
        <v>542</v>
      </c>
      <c r="E551" t="s">
        <v>4659</v>
      </c>
    </row>
    <row r="552" spans="1:5" x14ac:dyDescent="0.35">
      <c r="A552" t="str">
        <f>"2012-03-12"</f>
        <v>2012-03-12</v>
      </c>
      <c r="B552" s="1" t="str">
        <f t="shared" si="8"/>
        <v>03/12/2012</v>
      </c>
      <c r="C552" t="str">
        <f>"22.1184"</f>
        <v>22.1184</v>
      </c>
      <c r="D552" s="1" t="s">
        <v>543</v>
      </c>
      <c r="E552" t="s">
        <v>4660</v>
      </c>
    </row>
    <row r="553" spans="1:5" x14ac:dyDescent="0.35">
      <c r="A553" t="str">
        <f>"2012-03-13"</f>
        <v>2012-03-13</v>
      </c>
      <c r="B553" s="1" t="str">
        <f t="shared" si="8"/>
        <v>03/13/2012</v>
      </c>
      <c r="C553" t="str">
        <f>"22.0838"</f>
        <v>22.0838</v>
      </c>
      <c r="D553" s="1" t="s">
        <v>544</v>
      </c>
      <c r="E553" t="s">
        <v>4661</v>
      </c>
    </row>
    <row r="554" spans="1:5" x14ac:dyDescent="0.35">
      <c r="A554" t="str">
        <f>"2012-03-14"</f>
        <v>2012-03-14</v>
      </c>
      <c r="B554" s="1" t="str">
        <f t="shared" si="8"/>
        <v>03/14/2012</v>
      </c>
      <c r="C554" t="str">
        <f>"23.4224"</f>
        <v>23.4224</v>
      </c>
      <c r="D554" s="1" t="s">
        <v>545</v>
      </c>
      <c r="E554" t="s">
        <v>4662</v>
      </c>
    </row>
    <row r="555" spans="1:5" x14ac:dyDescent="0.35">
      <c r="A555" t="str">
        <f>"2012-03-15"</f>
        <v>2012-03-15</v>
      </c>
      <c r="B555" s="1" t="str">
        <f t="shared" si="8"/>
        <v>03/15/2012</v>
      </c>
      <c r="C555" t="str">
        <f>"23.4781"</f>
        <v>23.4781</v>
      </c>
      <c r="D555" s="1" t="s">
        <v>546</v>
      </c>
      <c r="E555" t="s">
        <v>4663</v>
      </c>
    </row>
    <row r="556" spans="1:5" x14ac:dyDescent="0.35">
      <c r="A556" t="str">
        <f>"2012-03-16"</f>
        <v>2012-03-16</v>
      </c>
      <c r="B556" s="1" t="str">
        <f t="shared" si="8"/>
        <v>03/16/2012</v>
      </c>
      <c r="C556" t="str">
        <f>"24.1125"</f>
        <v>24.1125</v>
      </c>
      <c r="D556" s="1" t="s">
        <v>547</v>
      </c>
      <c r="E556" t="s">
        <v>4664</v>
      </c>
    </row>
    <row r="557" spans="1:5" x14ac:dyDescent="0.35">
      <c r="A557" t="str">
        <f>"2012-03-19"</f>
        <v>2012-03-19</v>
      </c>
      <c r="B557" s="1" t="str">
        <f t="shared" si="8"/>
        <v>03/19/2012</v>
      </c>
      <c r="C557" t="str">
        <f>"23.7921"</f>
        <v>23.7921</v>
      </c>
      <c r="D557" s="1" t="s">
        <v>548</v>
      </c>
      <c r="E557" t="s">
        <v>4665</v>
      </c>
    </row>
    <row r="558" spans="1:5" x14ac:dyDescent="0.35">
      <c r="A558" t="str">
        <f>"2012-03-20"</f>
        <v>2012-03-20</v>
      </c>
      <c r="B558" s="1" t="str">
        <f t="shared" si="8"/>
        <v>03/20/2012</v>
      </c>
      <c r="C558" t="str">
        <f>"23.59"</f>
        <v>23.59</v>
      </c>
      <c r="D558" s="1" t="s">
        <v>549</v>
      </c>
      <c r="E558" t="s">
        <v>4666</v>
      </c>
    </row>
    <row r="559" spans="1:5" x14ac:dyDescent="0.35">
      <c r="A559" t="str">
        <f>"2012-03-21"</f>
        <v>2012-03-21</v>
      </c>
      <c r="B559" s="1" t="str">
        <f t="shared" si="8"/>
        <v>03/21/2012</v>
      </c>
      <c r="C559" t="str">
        <f>"23.6819"</f>
        <v>23.6819</v>
      </c>
      <c r="D559" s="1" t="s">
        <v>550</v>
      </c>
      <c r="E559" t="s">
        <v>4667</v>
      </c>
    </row>
    <row r="560" spans="1:5" x14ac:dyDescent="0.35">
      <c r="A560" t="str">
        <f>"2012-03-22"</f>
        <v>2012-03-22</v>
      </c>
      <c r="B560" s="1" t="str">
        <f t="shared" si="8"/>
        <v>03/22/2012</v>
      </c>
      <c r="C560" t="str">
        <f>"24.1705"</f>
        <v>24.1705</v>
      </c>
      <c r="D560" s="1" t="s">
        <v>551</v>
      </c>
      <c r="E560" t="s">
        <v>4668</v>
      </c>
    </row>
    <row r="561" spans="1:5" x14ac:dyDescent="0.35">
      <c r="A561" t="str">
        <f>"2012-03-23"</f>
        <v>2012-03-23</v>
      </c>
      <c r="B561" s="1" t="str">
        <f t="shared" si="8"/>
        <v>03/23/2012</v>
      </c>
      <c r="C561" t="str">
        <f>"23.2308"</f>
        <v>23.2308</v>
      </c>
      <c r="D561" s="1" t="s">
        <v>552</v>
      </c>
      <c r="E561" t="s">
        <v>4669</v>
      </c>
    </row>
    <row r="562" spans="1:5" x14ac:dyDescent="0.35">
      <c r="A562" t="str">
        <f>"2012-03-26"</f>
        <v>2012-03-26</v>
      </c>
      <c r="B562" s="1" t="str">
        <f t="shared" si="8"/>
        <v>03/26/2012</v>
      </c>
      <c r="C562" t="str">
        <f>"23.4615"</f>
        <v>23.4615</v>
      </c>
      <c r="D562" s="1" t="s">
        <v>553</v>
      </c>
      <c r="E562" t="s">
        <v>4670</v>
      </c>
    </row>
    <row r="563" spans="1:5" x14ac:dyDescent="0.35">
      <c r="A563" t="str">
        <f>"2012-03-27"</f>
        <v>2012-03-27</v>
      </c>
      <c r="B563" s="1" t="str">
        <f t="shared" si="8"/>
        <v>03/27/2012</v>
      </c>
      <c r="C563" t="str">
        <f>"23.7466"</f>
        <v>23.7466</v>
      </c>
      <c r="D563" s="1" t="s">
        <v>554</v>
      </c>
      <c r="E563" t="s">
        <v>4671</v>
      </c>
    </row>
    <row r="564" spans="1:5" x14ac:dyDescent="0.35">
      <c r="A564" t="str">
        <f>"2012-03-28"</f>
        <v>2012-03-28</v>
      </c>
      <c r="B564" s="1" t="str">
        <f t="shared" si="8"/>
        <v>03/28/2012</v>
      </c>
      <c r="C564" t="str">
        <f>"23.6378"</f>
        <v>23.6378</v>
      </c>
      <c r="D564" s="1" t="s">
        <v>555</v>
      </c>
      <c r="E564" t="s">
        <v>4672</v>
      </c>
    </row>
    <row r="565" spans="1:5" x14ac:dyDescent="0.35">
      <c r="A565" t="str">
        <f>"2012-03-29"</f>
        <v>2012-03-29</v>
      </c>
      <c r="B565" s="1" t="str">
        <f t="shared" si="8"/>
        <v>03/29/2012</v>
      </c>
      <c r="C565" t="str">
        <f>"23.5447"</f>
        <v>23.5447</v>
      </c>
      <c r="D565" s="1" t="s">
        <v>556</v>
      </c>
      <c r="E565" t="s">
        <v>4673</v>
      </c>
    </row>
    <row r="566" spans="1:5" x14ac:dyDescent="0.35">
      <c r="A566" t="str">
        <f>"2012-03-30"</f>
        <v>2012-03-30</v>
      </c>
      <c r="B566" s="1" t="str">
        <f t="shared" si="8"/>
        <v>03/30/2012</v>
      </c>
      <c r="C566" t="str">
        <f>"23.6159"</f>
        <v>23.6159</v>
      </c>
      <c r="D566" s="1" t="s">
        <v>557</v>
      </c>
      <c r="E566" t="s">
        <v>4674</v>
      </c>
    </row>
    <row r="567" spans="1:5" x14ac:dyDescent="0.35">
      <c r="A567" t="str">
        <f>"2012-04-02"</f>
        <v>2012-04-02</v>
      </c>
      <c r="B567" s="1" t="str">
        <f t="shared" si="8"/>
        <v>04/02/2012</v>
      </c>
      <c r="C567" t="str">
        <f>"24.0089"</f>
        <v>24.0089</v>
      </c>
      <c r="D567" s="1" t="s">
        <v>558</v>
      </c>
      <c r="E567" t="s">
        <v>4675</v>
      </c>
    </row>
    <row r="568" spans="1:5" x14ac:dyDescent="0.35">
      <c r="A568" t="str">
        <f>"2012-04-03"</f>
        <v>2012-04-03</v>
      </c>
      <c r="B568" s="1" t="str">
        <f t="shared" si="8"/>
        <v>04/03/2012</v>
      </c>
      <c r="C568" t="str">
        <f>"24.6327"</f>
        <v>24.6327</v>
      </c>
      <c r="D568" s="1" t="s">
        <v>559</v>
      </c>
      <c r="E568" t="s">
        <v>4676</v>
      </c>
    </row>
    <row r="569" spans="1:5" x14ac:dyDescent="0.35">
      <c r="A569" t="str">
        <f>"2012-04-04"</f>
        <v>2012-04-04</v>
      </c>
      <c r="B569" s="1" t="str">
        <f t="shared" si="8"/>
        <v>04/04/2012</v>
      </c>
      <c r="C569" t="str">
        <f>"24.956"</f>
        <v>24.956</v>
      </c>
      <c r="D569" s="1" t="s">
        <v>560</v>
      </c>
      <c r="E569" t="s">
        <v>4677</v>
      </c>
    </row>
    <row r="570" spans="1:5" x14ac:dyDescent="0.35">
      <c r="A570" t="str">
        <f>"2012-04-05"</f>
        <v>2012-04-05</v>
      </c>
      <c r="B570" s="1" t="str">
        <f t="shared" si="8"/>
        <v>04/05/2012</v>
      </c>
      <c r="C570" t="str">
        <f>"24.5574"</f>
        <v>24.5574</v>
      </c>
      <c r="D570" s="1" t="s">
        <v>561</v>
      </c>
      <c r="E570" t="s">
        <v>4678</v>
      </c>
    </row>
    <row r="571" spans="1:5" x14ac:dyDescent="0.35">
      <c r="A571" t="str">
        <f>"2012-04-09"</f>
        <v>2012-04-09</v>
      </c>
      <c r="B571" s="1" t="str">
        <f t="shared" si="8"/>
        <v>04/09/2012</v>
      </c>
      <c r="C571" t="str">
        <f>"24.2454"</f>
        <v>24.2454</v>
      </c>
      <c r="D571" s="1" t="s">
        <v>562</v>
      </c>
      <c r="E571" t="s">
        <v>4679</v>
      </c>
    </row>
    <row r="572" spans="1:5" x14ac:dyDescent="0.35">
      <c r="A572" t="str">
        <f>"2012-04-10"</f>
        <v>2012-04-10</v>
      </c>
      <c r="B572" s="1" t="str">
        <f t="shared" si="8"/>
        <v>04/10/2012</v>
      </c>
      <c r="C572" t="str">
        <f>"23.6663"</f>
        <v>23.6663</v>
      </c>
      <c r="D572" s="1" t="s">
        <v>563</v>
      </c>
      <c r="E572" t="s">
        <v>4680</v>
      </c>
    </row>
    <row r="573" spans="1:5" x14ac:dyDescent="0.35">
      <c r="A573" t="str">
        <f>"2012-04-11"</f>
        <v>2012-04-11</v>
      </c>
      <c r="B573" s="1" t="str">
        <f t="shared" si="8"/>
        <v>04/11/2012</v>
      </c>
      <c r="C573" t="str">
        <f>"23.836"</f>
        <v>23.836</v>
      </c>
      <c r="D573" s="1" t="s">
        <v>564</v>
      </c>
      <c r="E573" t="s">
        <v>4681</v>
      </c>
    </row>
    <row r="574" spans="1:5" x14ac:dyDescent="0.35">
      <c r="A574" t="str">
        <f>"2012-04-12"</f>
        <v>2012-04-12</v>
      </c>
      <c r="B574" s="1" t="str">
        <f t="shared" si="8"/>
        <v>04/12/2012</v>
      </c>
      <c r="C574" t="str">
        <f>"24.5147"</f>
        <v>24.5147</v>
      </c>
      <c r="D574" s="1" t="s">
        <v>565</v>
      </c>
      <c r="E574" t="s">
        <v>4682</v>
      </c>
    </row>
    <row r="575" spans="1:5" x14ac:dyDescent="0.35">
      <c r="A575" t="str">
        <f>"2012-04-13"</f>
        <v>2012-04-13</v>
      </c>
      <c r="B575" s="1" t="str">
        <f t="shared" si="8"/>
        <v>04/13/2012</v>
      </c>
      <c r="C575" t="str">
        <f>"25.9179"</f>
        <v>25.9179</v>
      </c>
      <c r="D575" s="1" t="s">
        <v>566</v>
      </c>
      <c r="E575" t="s">
        <v>4683</v>
      </c>
    </row>
    <row r="576" spans="1:5" x14ac:dyDescent="0.35">
      <c r="A576" t="str">
        <f>"2012-04-16"</f>
        <v>2012-04-16</v>
      </c>
      <c r="B576" s="1" t="str">
        <f t="shared" si="8"/>
        <v>04/16/2012</v>
      </c>
      <c r="C576" t="str">
        <f>"25.7551"</f>
        <v>25.7551</v>
      </c>
      <c r="D576" s="1" t="s">
        <v>567</v>
      </c>
      <c r="E576" t="s">
        <v>4684</v>
      </c>
    </row>
    <row r="577" spans="1:5" x14ac:dyDescent="0.35">
      <c r="A577" t="str">
        <f>"2012-04-17"</f>
        <v>2012-04-17</v>
      </c>
      <c r="B577" s="1" t="str">
        <f t="shared" si="8"/>
        <v>04/17/2012</v>
      </c>
      <c r="C577" t="str">
        <f>"25.4579"</f>
        <v>25.4579</v>
      </c>
      <c r="D577" s="1" t="s">
        <v>568</v>
      </c>
      <c r="E577" t="s">
        <v>4685</v>
      </c>
    </row>
    <row r="578" spans="1:5" x14ac:dyDescent="0.35">
      <c r="A578" t="str">
        <f>"2012-04-18"</f>
        <v>2012-04-18</v>
      </c>
      <c r="B578" s="1" t="str">
        <f t="shared" si="8"/>
        <v>04/18/2012</v>
      </c>
      <c r="C578" t="str">
        <f>"25.2087"</f>
        <v>25.2087</v>
      </c>
      <c r="D578" s="1" t="s">
        <v>569</v>
      </c>
      <c r="E578" t="s">
        <v>4686</v>
      </c>
    </row>
    <row r="579" spans="1:5" x14ac:dyDescent="0.35">
      <c r="A579" t="str">
        <f>"2012-04-19"</f>
        <v>2012-04-19</v>
      </c>
      <c r="B579" s="1" t="str">
        <f t="shared" ref="B579:B642" si="9">LEFT(RIGHT(A579,5),2)&amp;"/"&amp;RIGHT(A579,2)&amp;"/"&amp;LEFT(A579,4)</f>
        <v>04/19/2012</v>
      </c>
      <c r="C579" t="str">
        <f>"24.742"</f>
        <v>24.742</v>
      </c>
      <c r="D579" s="1" t="s">
        <v>570</v>
      </c>
      <c r="E579" t="s">
        <v>4687</v>
      </c>
    </row>
    <row r="580" spans="1:5" x14ac:dyDescent="0.35">
      <c r="A580" t="str">
        <f>"2012-04-20"</f>
        <v>2012-04-20</v>
      </c>
      <c r="B580" s="1" t="str">
        <f t="shared" si="9"/>
        <v>04/20/2012</v>
      </c>
      <c r="C580" t="str">
        <f>"24.8191"</f>
        <v>24.8191</v>
      </c>
      <c r="D580" s="1" t="s">
        <v>571</v>
      </c>
      <c r="E580" t="s">
        <v>4688</v>
      </c>
    </row>
    <row r="581" spans="1:5" x14ac:dyDescent="0.35">
      <c r="A581" t="str">
        <f>"2012-04-23"</f>
        <v>2012-04-23</v>
      </c>
      <c r="B581" s="1" t="str">
        <f t="shared" si="9"/>
        <v>04/23/2012</v>
      </c>
      <c r="C581" t="str">
        <f>"24.9979"</f>
        <v>24.9979</v>
      </c>
      <c r="D581" s="1" t="s">
        <v>572</v>
      </c>
      <c r="E581" t="s">
        <v>4689</v>
      </c>
    </row>
    <row r="582" spans="1:5" x14ac:dyDescent="0.35">
      <c r="A582" t="str">
        <f>"2012-04-24"</f>
        <v>2012-04-24</v>
      </c>
      <c r="B582" s="1" t="str">
        <f t="shared" si="9"/>
        <v>04/24/2012</v>
      </c>
      <c r="C582" t="str">
        <f>"24.1247"</f>
        <v>24.1247</v>
      </c>
      <c r="D582" s="1" t="s">
        <v>573</v>
      </c>
      <c r="E582" t="s">
        <v>4690</v>
      </c>
    </row>
    <row r="583" spans="1:5" x14ac:dyDescent="0.35">
      <c r="A583" t="str">
        <f>"2012-04-25"</f>
        <v>2012-04-25</v>
      </c>
      <c r="B583" s="1" t="str">
        <f t="shared" si="9"/>
        <v>04/25/2012</v>
      </c>
      <c r="C583" t="str">
        <f>"24.53"</f>
        <v>24.53</v>
      </c>
      <c r="D583" s="1" t="s">
        <v>574</v>
      </c>
      <c r="E583" t="s">
        <v>4691</v>
      </c>
    </row>
    <row r="584" spans="1:5" x14ac:dyDescent="0.35">
      <c r="A584" t="str">
        <f>"2012-04-26"</f>
        <v>2012-04-26</v>
      </c>
      <c r="B584" s="1" t="str">
        <f t="shared" si="9"/>
        <v>04/26/2012</v>
      </c>
      <c r="C584" t="str">
        <f>"25.0539"</f>
        <v>25.0539</v>
      </c>
      <c r="D584" s="1" t="s">
        <v>575</v>
      </c>
      <c r="E584" t="s">
        <v>4692</v>
      </c>
    </row>
    <row r="585" spans="1:5" x14ac:dyDescent="0.35">
      <c r="A585" t="str">
        <f>"2012-04-27"</f>
        <v>2012-04-27</v>
      </c>
      <c r="B585" s="1" t="str">
        <f t="shared" si="9"/>
        <v>04/27/2012</v>
      </c>
      <c r="C585" t="str">
        <f>"24.7779"</f>
        <v>24.7779</v>
      </c>
      <c r="D585" s="1" t="s">
        <v>576</v>
      </c>
      <c r="E585" t="s">
        <v>4693</v>
      </c>
    </row>
    <row r="586" spans="1:5" x14ac:dyDescent="0.35">
      <c r="A586" t="str">
        <f>"2012-04-30"</f>
        <v>2012-04-30</v>
      </c>
      <c r="B586" s="1" t="str">
        <f t="shared" si="9"/>
        <v>04/30/2012</v>
      </c>
      <c r="C586" t="str">
        <f>"24.8643"</f>
        <v>24.8643</v>
      </c>
      <c r="D586" s="1" t="s">
        <v>577</v>
      </c>
      <c r="E586" t="s">
        <v>4694</v>
      </c>
    </row>
    <row r="587" spans="1:5" x14ac:dyDescent="0.35">
      <c r="A587" t="str">
        <f>"2012-05-01"</f>
        <v>2012-05-01</v>
      </c>
      <c r="B587" s="1" t="str">
        <f t="shared" si="9"/>
        <v>05/01/2012</v>
      </c>
      <c r="C587" t="str">
        <f>"24.9323"</f>
        <v>24.9323</v>
      </c>
      <c r="D587" s="1" t="s">
        <v>578</v>
      </c>
      <c r="E587" t="s">
        <v>4695</v>
      </c>
    </row>
    <row r="588" spans="1:5" x14ac:dyDescent="0.35">
      <c r="A588" t="str">
        <f>"2012-05-02"</f>
        <v>2012-05-02</v>
      </c>
      <c r="B588" s="1" t="str">
        <f t="shared" si="9"/>
        <v>05/02/2012</v>
      </c>
      <c r="C588" t="str">
        <f>"24.3455"</f>
        <v>24.3455</v>
      </c>
      <c r="D588" s="1" t="s">
        <v>579</v>
      </c>
      <c r="E588" t="s">
        <v>4696</v>
      </c>
    </row>
    <row r="589" spans="1:5" x14ac:dyDescent="0.35">
      <c r="A589" t="str">
        <f>"2012-05-03"</f>
        <v>2012-05-03</v>
      </c>
      <c r="B589" s="1" t="str">
        <f t="shared" si="9"/>
        <v>05/03/2012</v>
      </c>
      <c r="C589" t="str">
        <f>"24.8325"</f>
        <v>24.8325</v>
      </c>
      <c r="D589" s="1" t="s">
        <v>580</v>
      </c>
      <c r="E589" t="s">
        <v>4697</v>
      </c>
    </row>
    <row r="590" spans="1:5" x14ac:dyDescent="0.35">
      <c r="A590" t="str">
        <f>"2012-05-04"</f>
        <v>2012-05-04</v>
      </c>
      <c r="B590" s="1" t="str">
        <f t="shared" si="9"/>
        <v>05/04/2012</v>
      </c>
      <c r="C590" t="str">
        <f>"25.1227"</f>
        <v>25.1227</v>
      </c>
      <c r="D590" s="1" t="s">
        <v>581</v>
      </c>
      <c r="E590" t="s">
        <v>4698</v>
      </c>
    </row>
    <row r="591" spans="1:5" x14ac:dyDescent="0.35">
      <c r="A591" t="str">
        <f>"2012-05-07"</f>
        <v>2012-05-07</v>
      </c>
      <c r="B591" s="1" t="str">
        <f t="shared" si="9"/>
        <v>05/07/2012</v>
      </c>
      <c r="C591" t="str">
        <f>"25.6795"</f>
        <v>25.6795</v>
      </c>
      <c r="D591" s="1" t="s">
        <v>582</v>
      </c>
      <c r="E591" t="s">
        <v>4699</v>
      </c>
    </row>
    <row r="592" spans="1:5" x14ac:dyDescent="0.35">
      <c r="A592" t="str">
        <f>"2012-05-08"</f>
        <v>2012-05-08</v>
      </c>
      <c r="B592" s="1" t="str">
        <f t="shared" si="9"/>
        <v>05/08/2012</v>
      </c>
      <c r="C592" t="str">
        <f>"26.5399"</f>
        <v>26.5399</v>
      </c>
      <c r="D592" s="1" t="s">
        <v>583</v>
      </c>
      <c r="E592" t="s">
        <v>4700</v>
      </c>
    </row>
    <row r="593" spans="1:5" x14ac:dyDescent="0.35">
      <c r="A593" t="str">
        <f>"2012-05-09"</f>
        <v>2012-05-09</v>
      </c>
      <c r="B593" s="1" t="str">
        <f t="shared" si="9"/>
        <v>05/09/2012</v>
      </c>
      <c r="C593" t="str">
        <f>"25.7815"</f>
        <v>25.7815</v>
      </c>
      <c r="D593" s="1" t="s">
        <v>584</v>
      </c>
      <c r="E593" t="s">
        <v>4701</v>
      </c>
    </row>
    <row r="594" spans="1:5" x14ac:dyDescent="0.35">
      <c r="A594" t="str">
        <f>"2012-05-10"</f>
        <v>2012-05-10</v>
      </c>
      <c r="B594" s="1" t="str">
        <f t="shared" si="9"/>
        <v>05/10/2012</v>
      </c>
      <c r="C594" t="str">
        <f>"25.9931"</f>
        <v>25.9931</v>
      </c>
      <c r="D594" s="1" t="s">
        <v>585</v>
      </c>
      <c r="E594" t="s">
        <v>4702</v>
      </c>
    </row>
    <row r="595" spans="1:5" x14ac:dyDescent="0.35">
      <c r="A595" t="str">
        <f>"2012-05-11"</f>
        <v>2012-05-11</v>
      </c>
      <c r="B595" s="1" t="str">
        <f t="shared" si="9"/>
        <v>05/11/2012</v>
      </c>
      <c r="C595" t="str">
        <f>"26.5831"</f>
        <v>26.5831</v>
      </c>
      <c r="D595" s="1" t="s">
        <v>586</v>
      </c>
      <c r="E595" t="s">
        <v>4703</v>
      </c>
    </row>
    <row r="596" spans="1:5" x14ac:dyDescent="0.35">
      <c r="A596" t="str">
        <f>"2012-05-14"</f>
        <v>2012-05-14</v>
      </c>
      <c r="B596" s="1" t="str">
        <f t="shared" si="9"/>
        <v>05/14/2012</v>
      </c>
      <c r="C596" t="str">
        <f>"26.9839"</f>
        <v>26.9839</v>
      </c>
      <c r="D596" s="1" t="s">
        <v>587</v>
      </c>
      <c r="E596" t="s">
        <v>4704</v>
      </c>
    </row>
    <row r="597" spans="1:5" x14ac:dyDescent="0.35">
      <c r="A597" t="str">
        <f>"2012-05-15"</f>
        <v>2012-05-15</v>
      </c>
      <c r="B597" s="1" t="str">
        <f t="shared" si="9"/>
        <v>05/15/2012</v>
      </c>
      <c r="C597" t="str">
        <f>"26.2008"</f>
        <v>26.2008</v>
      </c>
      <c r="D597" s="1" t="s">
        <v>588</v>
      </c>
      <c r="E597" t="s">
        <v>4705</v>
      </c>
    </row>
    <row r="598" spans="1:5" x14ac:dyDescent="0.35">
      <c r="A598" t="str">
        <f>"2012-05-16"</f>
        <v>2012-05-16</v>
      </c>
      <c r="B598" s="1" t="str">
        <f t="shared" si="9"/>
        <v>05/16/2012</v>
      </c>
      <c r="C598" t="str">
        <f>"26.5647"</f>
        <v>26.5647</v>
      </c>
      <c r="D598" s="1" t="s">
        <v>589</v>
      </c>
      <c r="E598" t="s">
        <v>4706</v>
      </c>
    </row>
    <row r="599" spans="1:5" x14ac:dyDescent="0.35">
      <c r="A599" t="str">
        <f>"2012-05-17"</f>
        <v>2012-05-17</v>
      </c>
      <c r="B599" s="1" t="str">
        <f t="shared" si="9"/>
        <v>05/17/2012</v>
      </c>
      <c r="C599" t="str">
        <f>"25.5457"</f>
        <v>25.5457</v>
      </c>
      <c r="D599" s="1" t="s">
        <v>590</v>
      </c>
      <c r="E599" t="s">
        <v>4707</v>
      </c>
    </row>
    <row r="600" spans="1:5" x14ac:dyDescent="0.35">
      <c r="A600" t="str">
        <f>"2012-05-18"</f>
        <v>2012-05-18</v>
      </c>
      <c r="B600" s="1" t="str">
        <f t="shared" si="9"/>
        <v>05/18/2012</v>
      </c>
      <c r="C600" t="str">
        <f>"24.9108"</f>
        <v>24.9108</v>
      </c>
      <c r="D600" s="1" t="s">
        <v>591</v>
      </c>
      <c r="E600" t="s">
        <v>4708</v>
      </c>
    </row>
    <row r="601" spans="1:5" x14ac:dyDescent="0.35">
      <c r="A601" t="str">
        <f>"2012-05-21"</f>
        <v>2012-05-21</v>
      </c>
      <c r="B601" s="1" t="str">
        <f t="shared" si="9"/>
        <v>05/21/2012</v>
      </c>
      <c r="C601" t="str">
        <f>"25.539"</f>
        <v>25.539</v>
      </c>
      <c r="D601" s="1" t="s">
        <v>592</v>
      </c>
      <c r="E601" t="s">
        <v>4709</v>
      </c>
    </row>
    <row r="602" spans="1:5" x14ac:dyDescent="0.35">
      <c r="A602" t="str">
        <f>"2012-05-22"</f>
        <v>2012-05-22</v>
      </c>
      <c r="B602" s="1" t="str">
        <f t="shared" si="9"/>
        <v>05/22/2012</v>
      </c>
      <c r="C602" t="str">
        <f>"25.9603"</f>
        <v>25.9603</v>
      </c>
      <c r="D602" s="1" t="s">
        <v>593</v>
      </c>
      <c r="E602" t="s">
        <v>4710</v>
      </c>
    </row>
    <row r="603" spans="1:5" x14ac:dyDescent="0.35">
      <c r="A603" t="str">
        <f>"2012-05-23"</f>
        <v>2012-05-23</v>
      </c>
      <c r="B603" s="1" t="str">
        <f t="shared" si="9"/>
        <v>05/23/2012</v>
      </c>
      <c r="C603" t="str">
        <f>"25.5809"</f>
        <v>25.5809</v>
      </c>
      <c r="D603" s="1" t="s">
        <v>594</v>
      </c>
      <c r="E603" t="s">
        <v>4711</v>
      </c>
    </row>
    <row r="604" spans="1:5" x14ac:dyDescent="0.35">
      <c r="A604" t="str">
        <f>"2012-05-24"</f>
        <v>2012-05-24</v>
      </c>
      <c r="B604" s="1" t="str">
        <f t="shared" si="9"/>
        <v>05/24/2012</v>
      </c>
      <c r="C604" t="str">
        <f>"24.4124"</f>
        <v>24.4124</v>
      </c>
      <c r="D604" s="1" t="s">
        <v>595</v>
      </c>
      <c r="E604" t="s">
        <v>4712</v>
      </c>
    </row>
    <row r="605" spans="1:5" x14ac:dyDescent="0.35">
      <c r="A605" t="str">
        <f>"2012-05-25"</f>
        <v>2012-05-25</v>
      </c>
      <c r="B605" s="1" t="str">
        <f t="shared" si="9"/>
        <v>05/25/2012</v>
      </c>
      <c r="C605" t="str">
        <f>"23.6258"</f>
        <v>23.6258</v>
      </c>
      <c r="D605" s="1" t="s">
        <v>596</v>
      </c>
      <c r="E605" t="s">
        <v>4713</v>
      </c>
    </row>
    <row r="606" spans="1:5" x14ac:dyDescent="0.35">
      <c r="A606" t="str">
        <f>"2012-05-29"</f>
        <v>2012-05-29</v>
      </c>
      <c r="B606" s="1" t="str">
        <f t="shared" si="9"/>
        <v>05/29/2012</v>
      </c>
      <c r="C606" t="str">
        <f>"24.3549"</f>
        <v>24.3549</v>
      </c>
      <c r="D606" s="1" t="s">
        <v>597</v>
      </c>
      <c r="E606" t="s">
        <v>4714</v>
      </c>
    </row>
    <row r="607" spans="1:5" x14ac:dyDescent="0.35">
      <c r="A607" t="str">
        <f>"2012-05-30"</f>
        <v>2012-05-30</v>
      </c>
      <c r="B607" s="1" t="str">
        <f t="shared" si="9"/>
        <v>05/30/2012</v>
      </c>
      <c r="C607" t="str">
        <f>"23.824"</f>
        <v>23.824</v>
      </c>
      <c r="D607" s="1" t="s">
        <v>598</v>
      </c>
      <c r="E607" t="s">
        <v>4715</v>
      </c>
    </row>
    <row r="608" spans="1:5" x14ac:dyDescent="0.35">
      <c r="A608" t="str">
        <f>"2012-05-31"</f>
        <v>2012-05-31</v>
      </c>
      <c r="B608" s="1" t="str">
        <f t="shared" si="9"/>
        <v>05/31/2012</v>
      </c>
      <c r="C608" t="str">
        <f>"23.5137"</f>
        <v>23.5137</v>
      </c>
      <c r="D608" s="1" t="s">
        <v>599</v>
      </c>
      <c r="E608" t="s">
        <v>4716</v>
      </c>
    </row>
    <row r="609" spans="1:5" x14ac:dyDescent="0.35">
      <c r="A609" t="str">
        <f>"2012-06-01"</f>
        <v>2012-06-01</v>
      </c>
      <c r="B609" s="1" t="str">
        <f t="shared" si="9"/>
        <v>06/01/2012</v>
      </c>
      <c r="C609" t="str">
        <f>"23.1871"</f>
        <v>23.1871</v>
      </c>
      <c r="D609" s="1" t="s">
        <v>600</v>
      </c>
      <c r="E609" t="s">
        <v>4717</v>
      </c>
    </row>
    <row r="610" spans="1:5" x14ac:dyDescent="0.35">
      <c r="A610" t="str">
        <f>"2012-06-04"</f>
        <v>2012-06-04</v>
      </c>
      <c r="B610" s="1" t="str">
        <f t="shared" si="9"/>
        <v>06/04/2012</v>
      </c>
      <c r="C610" t="str">
        <f>"23.5521"</f>
        <v>23.5521</v>
      </c>
      <c r="D610" s="1" t="s">
        <v>601</v>
      </c>
      <c r="E610" t="s">
        <v>4718</v>
      </c>
    </row>
    <row r="611" spans="1:5" x14ac:dyDescent="0.35">
      <c r="A611" t="str">
        <f>"2012-06-05"</f>
        <v>2012-06-05</v>
      </c>
      <c r="B611" s="1" t="str">
        <f t="shared" si="9"/>
        <v>06/05/2012</v>
      </c>
      <c r="C611" t="str">
        <f>"23.6915"</f>
        <v>23.6915</v>
      </c>
      <c r="D611" s="1" t="s">
        <v>602</v>
      </c>
      <c r="E611" t="s">
        <v>4719</v>
      </c>
    </row>
    <row r="612" spans="1:5" x14ac:dyDescent="0.35">
      <c r="A612" t="str">
        <f>"2012-06-06"</f>
        <v>2012-06-06</v>
      </c>
      <c r="B612" s="1" t="str">
        <f t="shared" si="9"/>
        <v>06/06/2012</v>
      </c>
      <c r="C612" t="str">
        <f>"24.2355"</f>
        <v>24.2355</v>
      </c>
      <c r="D612" s="1" t="s">
        <v>603</v>
      </c>
      <c r="E612" t="s">
        <v>4720</v>
      </c>
    </row>
    <row r="613" spans="1:5" x14ac:dyDescent="0.35">
      <c r="A613" t="str">
        <f>"2012-06-07"</f>
        <v>2012-06-07</v>
      </c>
      <c r="B613" s="1" t="str">
        <f t="shared" si="9"/>
        <v>06/07/2012</v>
      </c>
      <c r="C613" t="str">
        <f>"25.0853"</f>
        <v>25.0853</v>
      </c>
      <c r="D613" s="1" t="s">
        <v>604</v>
      </c>
      <c r="E613" t="s">
        <v>4721</v>
      </c>
    </row>
    <row r="614" spans="1:5" x14ac:dyDescent="0.35">
      <c r="A614" t="str">
        <f>"2012-06-08"</f>
        <v>2012-06-08</v>
      </c>
      <c r="B614" s="1" t="str">
        <f t="shared" si="9"/>
        <v>06/08/2012</v>
      </c>
      <c r="C614" t="str">
        <f>"25.4385"</f>
        <v>25.4385</v>
      </c>
      <c r="D614" s="1" t="s">
        <v>605</v>
      </c>
      <c r="E614" t="s">
        <v>4722</v>
      </c>
    </row>
    <row r="615" spans="1:5" x14ac:dyDescent="0.35">
      <c r="A615" t="str">
        <f>"2012-06-11"</f>
        <v>2012-06-11</v>
      </c>
      <c r="B615" s="1" t="str">
        <f t="shared" si="9"/>
        <v>06/11/2012</v>
      </c>
      <c r="C615" t="str">
        <f>"25.6035"</f>
        <v>25.6035</v>
      </c>
      <c r="D615" s="1" t="s">
        <v>606</v>
      </c>
      <c r="E615" t="s">
        <v>4723</v>
      </c>
    </row>
    <row r="616" spans="1:5" x14ac:dyDescent="0.35">
      <c r="A616" t="str">
        <f>"2012-06-12"</f>
        <v>2012-06-12</v>
      </c>
      <c r="B616" s="1" t="str">
        <f t="shared" si="9"/>
        <v>06/12/2012</v>
      </c>
      <c r="C616" t="str">
        <f>"25.2215"</f>
        <v>25.2215</v>
      </c>
      <c r="D616" s="1" t="s">
        <v>607</v>
      </c>
      <c r="E616" t="s">
        <v>4724</v>
      </c>
    </row>
    <row r="617" spans="1:5" x14ac:dyDescent="0.35">
      <c r="A617" t="str">
        <f>"2012-06-13"</f>
        <v>2012-06-13</v>
      </c>
      <c r="B617" s="1" t="str">
        <f t="shared" si="9"/>
        <v>06/13/2012</v>
      </c>
      <c r="C617" t="str">
        <f>"25.298"</f>
        <v>25.298</v>
      </c>
      <c r="D617" s="1" t="s">
        <v>608</v>
      </c>
      <c r="E617" t="s">
        <v>4725</v>
      </c>
    </row>
    <row r="618" spans="1:5" x14ac:dyDescent="0.35">
      <c r="A618" t="str">
        <f>"2012-06-14"</f>
        <v>2012-06-14</v>
      </c>
      <c r="B618" s="1" t="str">
        <f t="shared" si="9"/>
        <v>06/14/2012</v>
      </c>
      <c r="C618" t="str">
        <f>"25.8265"</f>
        <v>25.8265</v>
      </c>
      <c r="D618" s="1" t="s">
        <v>609</v>
      </c>
      <c r="E618" t="s">
        <v>4726</v>
      </c>
    </row>
    <row r="619" spans="1:5" x14ac:dyDescent="0.35">
      <c r="A619" t="str">
        <f>"2012-06-15"</f>
        <v>2012-06-15</v>
      </c>
      <c r="B619" s="1" t="str">
        <f t="shared" si="9"/>
        <v>06/15/2012</v>
      </c>
      <c r="C619" t="str">
        <f>"25.397"</f>
        <v>25.397</v>
      </c>
      <c r="D619" s="1" t="s">
        <v>610</v>
      </c>
      <c r="E619" t="s">
        <v>4727</v>
      </c>
    </row>
    <row r="620" spans="1:5" x14ac:dyDescent="0.35">
      <c r="A620" t="str">
        <f>"2012-06-18"</f>
        <v>2012-06-18</v>
      </c>
      <c r="B620" s="1" t="str">
        <f t="shared" si="9"/>
        <v>06/18/2012</v>
      </c>
      <c r="C620" t="str">
        <f>"26.0196"</f>
        <v>26.0196</v>
      </c>
      <c r="D620" s="1" t="s">
        <v>611</v>
      </c>
      <c r="E620" t="s">
        <v>4728</v>
      </c>
    </row>
    <row r="621" spans="1:5" x14ac:dyDescent="0.35">
      <c r="A621" t="str">
        <f>"2012-06-19"</f>
        <v>2012-06-19</v>
      </c>
      <c r="B621" s="1" t="str">
        <f t="shared" si="9"/>
        <v>06/19/2012</v>
      </c>
      <c r="C621" t="str">
        <f>"26.6167"</f>
        <v>26.6167</v>
      </c>
      <c r="D621" s="1" t="s">
        <v>612</v>
      </c>
      <c r="E621" t="s">
        <v>4729</v>
      </c>
    </row>
    <row r="622" spans="1:5" x14ac:dyDescent="0.35">
      <c r="A622" t="str">
        <f>"2012-06-20"</f>
        <v>2012-06-20</v>
      </c>
      <c r="B622" s="1" t="str">
        <f t="shared" si="9"/>
        <v>06/20/2012</v>
      </c>
      <c r="C622" t="str">
        <f>"26.8061"</f>
        <v>26.8061</v>
      </c>
      <c r="D622" s="1" t="s">
        <v>613</v>
      </c>
      <c r="E622" t="s">
        <v>4730</v>
      </c>
    </row>
    <row r="623" spans="1:5" x14ac:dyDescent="0.35">
      <c r="A623" t="str">
        <f>"2012-06-21"</f>
        <v>2012-06-21</v>
      </c>
      <c r="B623" s="1" t="str">
        <f t="shared" si="9"/>
        <v>06/21/2012</v>
      </c>
      <c r="C623" t="str">
        <f>"29.1998"</f>
        <v>29.1998</v>
      </c>
      <c r="D623" s="1" t="s">
        <v>614</v>
      </c>
      <c r="E623" t="s">
        <v>4731</v>
      </c>
    </row>
    <row r="624" spans="1:5" x14ac:dyDescent="0.35">
      <c r="A624" t="str">
        <f>"2012-06-22"</f>
        <v>2012-06-22</v>
      </c>
      <c r="B624" s="1" t="str">
        <f t="shared" si="9"/>
        <v>06/22/2012</v>
      </c>
      <c r="C624" t="str">
        <f>"29.0166"</f>
        <v>29.0166</v>
      </c>
      <c r="D624" s="1" t="s">
        <v>615</v>
      </c>
      <c r="E624" t="s">
        <v>4732</v>
      </c>
    </row>
    <row r="625" spans="1:5" x14ac:dyDescent="0.35">
      <c r="A625" t="str">
        <f>"2012-06-25"</f>
        <v>2012-06-25</v>
      </c>
      <c r="B625" s="1" t="str">
        <f t="shared" si="9"/>
        <v>06/25/2012</v>
      </c>
      <c r="C625" t="str">
        <f>"27.5369"</f>
        <v>27.5369</v>
      </c>
      <c r="D625" s="1" t="s">
        <v>616</v>
      </c>
      <c r="E625" t="s">
        <v>4733</v>
      </c>
    </row>
    <row r="626" spans="1:5" x14ac:dyDescent="0.35">
      <c r="A626" t="str">
        <f>"2012-06-26"</f>
        <v>2012-06-26</v>
      </c>
      <c r="B626" s="1" t="str">
        <f t="shared" si="9"/>
        <v>06/26/2012</v>
      </c>
      <c r="C626" t="str">
        <f>"28.5286"</f>
        <v>28.5286</v>
      </c>
      <c r="D626" s="1" t="s">
        <v>617</v>
      </c>
      <c r="E626" t="s">
        <v>4734</v>
      </c>
    </row>
    <row r="627" spans="1:5" x14ac:dyDescent="0.35">
      <c r="A627" t="str">
        <f>"2012-06-27"</f>
        <v>2012-06-27</v>
      </c>
      <c r="B627" s="1" t="str">
        <f t="shared" si="9"/>
        <v>06/27/2012</v>
      </c>
      <c r="C627" t="str">
        <f>"29.9661"</f>
        <v>29.9661</v>
      </c>
      <c r="D627" s="1" t="s">
        <v>618</v>
      </c>
      <c r="E627" t="s">
        <v>4735</v>
      </c>
    </row>
    <row r="628" spans="1:5" x14ac:dyDescent="0.35">
      <c r="A628" t="str">
        <f>"2012-06-28"</f>
        <v>2012-06-28</v>
      </c>
      <c r="B628" s="1" t="str">
        <f t="shared" si="9"/>
        <v>06/28/2012</v>
      </c>
      <c r="C628" t="str">
        <f>"30.8063"</f>
        <v>30.8063</v>
      </c>
      <c r="D628" s="1" t="s">
        <v>619</v>
      </c>
      <c r="E628" t="s">
        <v>4736</v>
      </c>
    </row>
    <row r="629" spans="1:5" x14ac:dyDescent="0.35">
      <c r="A629" t="str">
        <f>"2012-06-29"</f>
        <v>2012-06-29</v>
      </c>
      <c r="B629" s="1" t="str">
        <f t="shared" si="9"/>
        <v>06/29/2012</v>
      </c>
      <c r="C629" t="str">
        <f>"29.3631"</f>
        <v>29.3631</v>
      </c>
      <c r="D629" s="1" t="s">
        <v>620</v>
      </c>
      <c r="E629" t="s">
        <v>4737</v>
      </c>
    </row>
    <row r="630" spans="1:5" x14ac:dyDescent="0.35">
      <c r="A630" t="str">
        <f>"2012-07-02"</f>
        <v>2012-07-02</v>
      </c>
      <c r="B630" s="1" t="str">
        <f t="shared" si="9"/>
        <v>07/02/2012</v>
      </c>
      <c r="C630" t="str">
        <f>"30.1265"</f>
        <v>30.1265</v>
      </c>
      <c r="D630" s="1" t="s">
        <v>621</v>
      </c>
      <c r="E630" t="s">
        <v>4738</v>
      </c>
    </row>
    <row r="631" spans="1:5" x14ac:dyDescent="0.35">
      <c r="A631" t="str">
        <f>"2012-07-03"</f>
        <v>2012-07-03</v>
      </c>
      <c r="B631" s="1" t="str">
        <f t="shared" si="9"/>
        <v>07/03/2012</v>
      </c>
      <c r="C631" t="str">
        <f>"29.4078"</f>
        <v>29.4078</v>
      </c>
      <c r="D631" s="1" t="s">
        <v>622</v>
      </c>
      <c r="E631" t="s">
        <v>4739</v>
      </c>
    </row>
    <row r="632" spans="1:5" x14ac:dyDescent="0.35">
      <c r="A632" t="str">
        <f>"2012-07-05"</f>
        <v>2012-07-05</v>
      </c>
      <c r="B632" s="1" t="str">
        <f t="shared" si="9"/>
        <v>07/05/2012</v>
      </c>
      <c r="C632" t="str">
        <f>"29.2471"</f>
        <v>29.2471</v>
      </c>
      <c r="D632" s="1" t="s">
        <v>623</v>
      </c>
      <c r="E632" t="s">
        <v>4740</v>
      </c>
    </row>
    <row r="633" spans="1:5" x14ac:dyDescent="0.35">
      <c r="A633" t="str">
        <f>"2012-07-06"</f>
        <v>2012-07-06</v>
      </c>
      <c r="B633" s="1" t="str">
        <f t="shared" si="9"/>
        <v>07/06/2012</v>
      </c>
      <c r="C633" t="str">
        <f>"30.205"</f>
        <v>30.205</v>
      </c>
      <c r="D633" s="1" t="s">
        <v>624</v>
      </c>
      <c r="E633" t="s">
        <v>4741</v>
      </c>
    </row>
    <row r="634" spans="1:5" x14ac:dyDescent="0.35">
      <c r="A634" t="str">
        <f>"2012-07-09"</f>
        <v>2012-07-09</v>
      </c>
      <c r="B634" s="1" t="str">
        <f t="shared" si="9"/>
        <v>07/09/2012</v>
      </c>
      <c r="C634" t="str">
        <f>"29.7705"</f>
        <v>29.7705</v>
      </c>
      <c r="D634" s="1" t="s">
        <v>625</v>
      </c>
      <c r="E634" t="s">
        <v>4742</v>
      </c>
    </row>
    <row r="635" spans="1:5" x14ac:dyDescent="0.35">
      <c r="A635" t="str">
        <f>"2012-07-10"</f>
        <v>2012-07-10</v>
      </c>
      <c r="B635" s="1" t="str">
        <f t="shared" si="9"/>
        <v>07/10/2012</v>
      </c>
      <c r="C635" t="str">
        <f>"30.7241"</f>
        <v>30.7241</v>
      </c>
      <c r="D635" s="1" t="s">
        <v>626</v>
      </c>
      <c r="E635" t="s">
        <v>4743</v>
      </c>
    </row>
    <row r="636" spans="1:5" x14ac:dyDescent="0.35">
      <c r="A636" t="str">
        <f>"2012-07-11"</f>
        <v>2012-07-11</v>
      </c>
      <c r="B636" s="1" t="str">
        <f t="shared" si="9"/>
        <v>07/11/2012</v>
      </c>
      <c r="C636" t="str">
        <f>"31.8896"</f>
        <v>31.8896</v>
      </c>
      <c r="D636" s="1" t="s">
        <v>627</v>
      </c>
      <c r="E636" t="s">
        <v>4744</v>
      </c>
    </row>
    <row r="637" spans="1:5" x14ac:dyDescent="0.35">
      <c r="A637" t="str">
        <f>"2012-07-12"</f>
        <v>2012-07-12</v>
      </c>
      <c r="B637" s="1" t="str">
        <f t="shared" si="9"/>
        <v>07/12/2012</v>
      </c>
      <c r="C637" t="str">
        <f>"32.0662"</f>
        <v>32.0662</v>
      </c>
      <c r="D637" s="1" t="s">
        <v>628</v>
      </c>
      <c r="E637" t="s">
        <v>4745</v>
      </c>
    </row>
    <row r="638" spans="1:5" x14ac:dyDescent="0.35">
      <c r="A638" t="str">
        <f>"2012-07-13"</f>
        <v>2012-07-13</v>
      </c>
      <c r="B638" s="1" t="str">
        <f t="shared" si="9"/>
        <v>07/13/2012</v>
      </c>
      <c r="C638" t="str">
        <f>"30.8374"</f>
        <v>30.8374</v>
      </c>
      <c r="D638" s="1" t="s">
        <v>629</v>
      </c>
      <c r="E638" t="s">
        <v>4746</v>
      </c>
    </row>
    <row r="639" spans="1:5" x14ac:dyDescent="0.35">
      <c r="A639" t="str">
        <f>"2012-07-16"</f>
        <v>2012-07-16</v>
      </c>
      <c r="B639" s="1" t="str">
        <f t="shared" si="9"/>
        <v>07/16/2012</v>
      </c>
      <c r="C639" t="str">
        <f>"30.3461"</f>
        <v>30.3461</v>
      </c>
      <c r="D639" s="1" t="s">
        <v>630</v>
      </c>
      <c r="E639" t="s">
        <v>4747</v>
      </c>
    </row>
    <row r="640" spans="1:5" x14ac:dyDescent="0.35">
      <c r="A640" t="str">
        <f>"2012-07-17"</f>
        <v>2012-07-17</v>
      </c>
      <c r="B640" s="1" t="str">
        <f t="shared" si="9"/>
        <v>07/17/2012</v>
      </c>
      <c r="C640" t="str">
        <f>"29.7639"</f>
        <v>29.7639</v>
      </c>
      <c r="D640" s="1" t="s">
        <v>631</v>
      </c>
      <c r="E640" t="s">
        <v>4748</v>
      </c>
    </row>
    <row r="641" spans="1:5" x14ac:dyDescent="0.35">
      <c r="A641" t="str">
        <f>"2012-07-18"</f>
        <v>2012-07-18</v>
      </c>
      <c r="B641" s="1" t="str">
        <f t="shared" si="9"/>
        <v>07/18/2012</v>
      </c>
      <c r="C641" t="str">
        <f>"30.9424"</f>
        <v>30.9424</v>
      </c>
      <c r="D641" s="1" t="s">
        <v>632</v>
      </c>
      <c r="E641" t="s">
        <v>4749</v>
      </c>
    </row>
    <row r="642" spans="1:5" x14ac:dyDescent="0.35">
      <c r="A642" t="str">
        <f>"2012-07-19"</f>
        <v>2012-07-19</v>
      </c>
      <c r="B642" s="1" t="str">
        <f t="shared" si="9"/>
        <v>07/19/2012</v>
      </c>
      <c r="C642" t="str">
        <f>"30.6984"</f>
        <v>30.6984</v>
      </c>
      <c r="D642" s="1" t="s">
        <v>633</v>
      </c>
      <c r="E642" t="s">
        <v>4750</v>
      </c>
    </row>
    <row r="643" spans="1:5" x14ac:dyDescent="0.35">
      <c r="A643" t="str">
        <f>"2012-07-20"</f>
        <v>2012-07-20</v>
      </c>
      <c r="B643" s="1" t="str">
        <f t="shared" ref="B643:B706" si="10">LEFT(RIGHT(A643,5),2)&amp;"/"&amp;RIGHT(A643,2)&amp;"/"&amp;LEFT(A643,4)</f>
        <v>07/20/2012</v>
      </c>
      <c r="C643" t="str">
        <f>"30.1606"</f>
        <v>30.1606</v>
      </c>
      <c r="D643" s="1" t="s">
        <v>634</v>
      </c>
      <c r="E643" t="s">
        <v>4751</v>
      </c>
    </row>
    <row r="644" spans="1:5" x14ac:dyDescent="0.35">
      <c r="A644" t="str">
        <f>"2012-07-23"</f>
        <v>2012-07-23</v>
      </c>
      <c r="B644" s="1" t="str">
        <f t="shared" si="10"/>
        <v>07/23/2012</v>
      </c>
      <c r="C644" t="str">
        <f>"29.9691"</f>
        <v>29.9691</v>
      </c>
      <c r="D644" s="1" t="s">
        <v>635</v>
      </c>
      <c r="E644" t="s">
        <v>4752</v>
      </c>
    </row>
    <row r="645" spans="1:5" x14ac:dyDescent="0.35">
      <c r="A645" t="str">
        <f>"2012-07-24"</f>
        <v>2012-07-24</v>
      </c>
      <c r="B645" s="1" t="str">
        <f t="shared" si="10"/>
        <v>07/24/2012</v>
      </c>
      <c r="C645" t="str">
        <f>"30.2006"</f>
        <v>30.2006</v>
      </c>
      <c r="D645" s="1" t="s">
        <v>636</v>
      </c>
      <c r="E645" t="s">
        <v>4753</v>
      </c>
    </row>
    <row r="646" spans="1:5" x14ac:dyDescent="0.35">
      <c r="A646" t="str">
        <f>"2012-07-25"</f>
        <v>2012-07-25</v>
      </c>
      <c r="B646" s="1" t="str">
        <f t="shared" si="10"/>
        <v>07/25/2012</v>
      </c>
      <c r="C646" t="str">
        <f>"29.8383"</f>
        <v>29.8383</v>
      </c>
      <c r="D646" s="1" t="s">
        <v>637</v>
      </c>
      <c r="E646" t="s">
        <v>4754</v>
      </c>
    </row>
    <row r="647" spans="1:5" x14ac:dyDescent="0.35">
      <c r="A647" t="str">
        <f>"2012-07-26"</f>
        <v>2012-07-26</v>
      </c>
      <c r="B647" s="1" t="str">
        <f t="shared" si="10"/>
        <v>07/26/2012</v>
      </c>
      <c r="C647" t="str">
        <f>"30.6248"</f>
        <v>30.6248</v>
      </c>
      <c r="D647" s="1" t="s">
        <v>638</v>
      </c>
      <c r="E647" t="s">
        <v>4755</v>
      </c>
    </row>
    <row r="648" spans="1:5" x14ac:dyDescent="0.35">
      <c r="A648" t="str">
        <f>"2012-07-27"</f>
        <v>2012-07-27</v>
      </c>
      <c r="B648" s="1" t="str">
        <f t="shared" si="10"/>
        <v>07/27/2012</v>
      </c>
      <c r="C648" t="str">
        <f>"30.8514"</f>
        <v>30.8514</v>
      </c>
      <c r="D648" s="1" t="s">
        <v>639</v>
      </c>
      <c r="E648" t="s">
        <v>4756</v>
      </c>
    </row>
    <row r="649" spans="1:5" x14ac:dyDescent="0.35">
      <c r="A649" t="str">
        <f>"2012-07-30"</f>
        <v>2012-07-30</v>
      </c>
      <c r="B649" s="1" t="str">
        <f t="shared" si="10"/>
        <v>07/30/2012</v>
      </c>
      <c r="C649" t="str">
        <f>"31.0425"</f>
        <v>31.0425</v>
      </c>
      <c r="D649" s="1" t="s">
        <v>640</v>
      </c>
      <c r="E649" t="s">
        <v>4757</v>
      </c>
    </row>
    <row r="650" spans="1:5" x14ac:dyDescent="0.35">
      <c r="A650" t="str">
        <f>"2012-07-31"</f>
        <v>2012-07-31</v>
      </c>
      <c r="B650" s="1" t="str">
        <f t="shared" si="10"/>
        <v>07/31/2012</v>
      </c>
      <c r="C650" t="str">
        <f>"31.9874"</f>
        <v>31.9874</v>
      </c>
      <c r="D650" s="1" t="s">
        <v>641</v>
      </c>
      <c r="E650" t="s">
        <v>4758</v>
      </c>
    </row>
    <row r="651" spans="1:5" x14ac:dyDescent="0.35">
      <c r="A651" t="str">
        <f>"2012-08-01"</f>
        <v>2012-08-01</v>
      </c>
      <c r="B651" s="1" t="str">
        <f t="shared" si="10"/>
        <v>08/01/2012</v>
      </c>
      <c r="C651" t="str">
        <f>"31.977"</f>
        <v>31.977</v>
      </c>
      <c r="D651" s="1" t="s">
        <v>642</v>
      </c>
      <c r="E651" t="s">
        <v>4759</v>
      </c>
    </row>
    <row r="652" spans="1:5" x14ac:dyDescent="0.35">
      <c r="A652" t="str">
        <f>"2012-08-02"</f>
        <v>2012-08-02</v>
      </c>
      <c r="B652" s="1" t="str">
        <f t="shared" si="10"/>
        <v>08/02/2012</v>
      </c>
      <c r="C652" t="str">
        <f>"31.9125"</f>
        <v>31.9125</v>
      </c>
      <c r="D652" s="1" t="s">
        <v>643</v>
      </c>
      <c r="E652" t="s">
        <v>4760</v>
      </c>
    </row>
    <row r="653" spans="1:5" x14ac:dyDescent="0.35">
      <c r="A653" t="str">
        <f>"2012-08-03"</f>
        <v>2012-08-03</v>
      </c>
      <c r="B653" s="1" t="str">
        <f t="shared" si="10"/>
        <v>08/03/2012</v>
      </c>
      <c r="C653" t="str">
        <f>"32.102"</f>
        <v>32.102</v>
      </c>
      <c r="D653" s="1" t="s">
        <v>644</v>
      </c>
      <c r="E653" t="s">
        <v>4761</v>
      </c>
    </row>
    <row r="654" spans="1:5" x14ac:dyDescent="0.35">
      <c r="A654" t="str">
        <f>"2012-08-06"</f>
        <v>2012-08-06</v>
      </c>
      <c r="B654" s="1" t="str">
        <f t="shared" si="10"/>
        <v>08/06/2012</v>
      </c>
      <c r="C654" t="str">
        <f>"32.5362"</f>
        <v>32.5362</v>
      </c>
      <c r="D654" s="1" t="s">
        <v>645</v>
      </c>
      <c r="E654" t="s">
        <v>4762</v>
      </c>
    </row>
    <row r="655" spans="1:5" x14ac:dyDescent="0.35">
      <c r="A655" t="str">
        <f>"2012-08-07"</f>
        <v>2012-08-07</v>
      </c>
      <c r="B655" s="1" t="str">
        <f t="shared" si="10"/>
        <v>08/07/2012</v>
      </c>
      <c r="C655" t="str">
        <f>"32.0808"</f>
        <v>32.0808</v>
      </c>
      <c r="D655" s="1" t="s">
        <v>646</v>
      </c>
      <c r="E655" t="s">
        <v>4763</v>
      </c>
    </row>
    <row r="656" spans="1:5" x14ac:dyDescent="0.35">
      <c r="A656" t="str">
        <f>"2012-08-08"</f>
        <v>2012-08-08</v>
      </c>
      <c r="B656" s="1" t="str">
        <f t="shared" si="10"/>
        <v>08/08/2012</v>
      </c>
      <c r="C656" t="str">
        <f>"30.5316"</f>
        <v>30.5316</v>
      </c>
      <c r="D656" s="1" t="s">
        <v>647</v>
      </c>
      <c r="E656" t="s">
        <v>4764</v>
      </c>
    </row>
    <row r="657" spans="1:5" x14ac:dyDescent="0.35">
      <c r="A657" t="str">
        <f>"2012-08-09"</f>
        <v>2012-08-09</v>
      </c>
      <c r="B657" s="1" t="str">
        <f t="shared" si="10"/>
        <v>08/09/2012</v>
      </c>
      <c r="C657" t="str">
        <f>"30.8422"</f>
        <v>30.8422</v>
      </c>
      <c r="D657" s="1" t="s">
        <v>648</v>
      </c>
      <c r="E657" t="s">
        <v>4765</v>
      </c>
    </row>
    <row r="658" spans="1:5" x14ac:dyDescent="0.35">
      <c r="A658" t="str">
        <f>"2012-08-10"</f>
        <v>2012-08-10</v>
      </c>
      <c r="B658" s="1" t="str">
        <f t="shared" si="10"/>
        <v>08/10/2012</v>
      </c>
      <c r="C658" t="str">
        <f>"31.0133"</f>
        <v>31.0133</v>
      </c>
      <c r="D658" s="1" t="s">
        <v>649</v>
      </c>
      <c r="E658" t="s">
        <v>4766</v>
      </c>
    </row>
    <row r="659" spans="1:5" x14ac:dyDescent="0.35">
      <c r="A659" t="str">
        <f>"2012-08-13"</f>
        <v>2012-08-13</v>
      </c>
      <c r="B659" s="1" t="str">
        <f t="shared" si="10"/>
        <v>08/13/2012</v>
      </c>
      <c r="C659" t="str">
        <f>"30.613"</f>
        <v>30.613</v>
      </c>
      <c r="D659" s="1" t="s">
        <v>650</v>
      </c>
      <c r="E659" t="s">
        <v>4767</v>
      </c>
    </row>
    <row r="660" spans="1:5" x14ac:dyDescent="0.35">
      <c r="A660" t="str">
        <f>"2012-08-14"</f>
        <v>2012-08-14</v>
      </c>
      <c r="B660" s="1" t="str">
        <f t="shared" si="10"/>
        <v>08/14/2012</v>
      </c>
      <c r="C660" t="str">
        <f>"30.9297"</f>
        <v>30.9297</v>
      </c>
      <c r="D660" s="1" t="s">
        <v>651</v>
      </c>
      <c r="E660" t="s">
        <v>4768</v>
      </c>
    </row>
    <row r="661" spans="1:5" x14ac:dyDescent="0.35">
      <c r="A661" t="str">
        <f>"2012-08-15"</f>
        <v>2012-08-15</v>
      </c>
      <c r="B661" s="1" t="str">
        <f t="shared" si="10"/>
        <v>08/15/2012</v>
      </c>
      <c r="C661" t="str">
        <f>"31.3825"</f>
        <v>31.3825</v>
      </c>
      <c r="D661" s="1" t="s">
        <v>652</v>
      </c>
      <c r="E661" t="s">
        <v>4769</v>
      </c>
    </row>
    <row r="662" spans="1:5" x14ac:dyDescent="0.35">
      <c r="A662" t="str">
        <f>"2012-08-16"</f>
        <v>2012-08-16</v>
      </c>
      <c r="B662" s="1" t="str">
        <f t="shared" si="10"/>
        <v>08/16/2012</v>
      </c>
      <c r="C662" t="str">
        <f>"32.1356"</f>
        <v>32.1356</v>
      </c>
      <c r="D662" s="1" t="s">
        <v>653</v>
      </c>
      <c r="E662" t="s">
        <v>4770</v>
      </c>
    </row>
    <row r="663" spans="1:5" x14ac:dyDescent="0.35">
      <c r="A663" t="str">
        <f>"2012-08-17"</f>
        <v>2012-08-17</v>
      </c>
      <c r="B663" s="1" t="str">
        <f t="shared" si="10"/>
        <v>08/17/2012</v>
      </c>
      <c r="C663" t="str">
        <f>"32.8457"</f>
        <v>32.8457</v>
      </c>
      <c r="D663" s="1" t="s">
        <v>654</v>
      </c>
      <c r="E663" t="s">
        <v>4771</v>
      </c>
    </row>
    <row r="664" spans="1:5" x14ac:dyDescent="0.35">
      <c r="A664" t="str">
        <f>"2012-08-20"</f>
        <v>2012-08-20</v>
      </c>
      <c r="B664" s="1" t="str">
        <f t="shared" si="10"/>
        <v>08/20/2012</v>
      </c>
      <c r="C664" t="str">
        <f>"32.6358"</f>
        <v>32.6358</v>
      </c>
      <c r="D664" s="1" t="s">
        <v>655</v>
      </c>
      <c r="E664" t="s">
        <v>4772</v>
      </c>
    </row>
    <row r="665" spans="1:5" x14ac:dyDescent="0.35">
      <c r="A665" t="str">
        <f>"2012-08-21"</f>
        <v>2012-08-21</v>
      </c>
      <c r="B665" s="1" t="str">
        <f t="shared" si="10"/>
        <v>08/21/2012</v>
      </c>
      <c r="C665" t="str">
        <f>"32.2364"</f>
        <v>32.2364</v>
      </c>
      <c r="D665" s="1" t="s">
        <v>656</v>
      </c>
      <c r="E665" t="s">
        <v>4773</v>
      </c>
    </row>
    <row r="666" spans="1:5" x14ac:dyDescent="0.35">
      <c r="A666" t="str">
        <f>"2012-08-22"</f>
        <v>2012-08-22</v>
      </c>
      <c r="B666" s="1" t="str">
        <f t="shared" si="10"/>
        <v>08/22/2012</v>
      </c>
      <c r="C666" t="str">
        <f>"32.6879"</f>
        <v>32.6879</v>
      </c>
      <c r="D666" s="1" t="s">
        <v>657</v>
      </c>
      <c r="E666" t="s">
        <v>4774</v>
      </c>
    </row>
    <row r="667" spans="1:5" x14ac:dyDescent="0.35">
      <c r="A667" t="str">
        <f>"2012-08-23"</f>
        <v>2012-08-23</v>
      </c>
      <c r="B667" s="1" t="str">
        <f t="shared" si="10"/>
        <v>08/23/2012</v>
      </c>
      <c r="C667" t="str">
        <f>"31.6218"</f>
        <v>31.6218</v>
      </c>
      <c r="D667" s="1" t="s">
        <v>658</v>
      </c>
      <c r="E667" t="s">
        <v>4775</v>
      </c>
    </row>
    <row r="668" spans="1:5" x14ac:dyDescent="0.35">
      <c r="A668" t="str">
        <f>"2012-08-24"</f>
        <v>2012-08-24</v>
      </c>
      <c r="B668" s="1" t="str">
        <f t="shared" si="10"/>
        <v>08/24/2012</v>
      </c>
      <c r="C668" t="str">
        <f>"31.7154"</f>
        <v>31.7154</v>
      </c>
      <c r="D668" s="1" t="s">
        <v>659</v>
      </c>
      <c r="E668" t="s">
        <v>4776</v>
      </c>
    </row>
    <row r="669" spans="1:5" x14ac:dyDescent="0.35">
      <c r="A669" t="str">
        <f>"2012-08-27"</f>
        <v>2012-08-27</v>
      </c>
      <c r="B669" s="1" t="str">
        <f t="shared" si="10"/>
        <v>08/27/2012</v>
      </c>
      <c r="C669" t="str">
        <f>"32.2978"</f>
        <v>32.2978</v>
      </c>
      <c r="D669" s="1" t="s">
        <v>660</v>
      </c>
      <c r="E669" t="s">
        <v>4777</v>
      </c>
    </row>
    <row r="670" spans="1:5" x14ac:dyDescent="0.35">
      <c r="A670" t="str">
        <f>"2012-08-28"</f>
        <v>2012-08-28</v>
      </c>
      <c r="B670" s="1" t="str">
        <f t="shared" si="10"/>
        <v>08/28/2012</v>
      </c>
      <c r="C670" t="str">
        <f>"32.333"</f>
        <v>32.333</v>
      </c>
      <c r="D670" s="1" t="s">
        <v>661</v>
      </c>
      <c r="E670" t="s">
        <v>4778</v>
      </c>
    </row>
    <row r="671" spans="1:5" x14ac:dyDescent="0.35">
      <c r="A671" t="str">
        <f>"2012-08-29"</f>
        <v>2012-08-29</v>
      </c>
      <c r="B671" s="1" t="str">
        <f t="shared" si="10"/>
        <v>08/29/2012</v>
      </c>
      <c r="C671" t="str">
        <f>"31.8062"</f>
        <v>31.8062</v>
      </c>
      <c r="D671" s="1" t="s">
        <v>662</v>
      </c>
      <c r="E671" t="s">
        <v>4779</v>
      </c>
    </row>
    <row r="672" spans="1:5" x14ac:dyDescent="0.35">
      <c r="A672" t="str">
        <f>"2012-08-30"</f>
        <v>2012-08-30</v>
      </c>
      <c r="B672" s="1" t="str">
        <f t="shared" si="10"/>
        <v>08/30/2012</v>
      </c>
      <c r="C672" t="str">
        <f>"31.6985"</f>
        <v>31.6985</v>
      </c>
      <c r="D672" s="1" t="s">
        <v>663</v>
      </c>
      <c r="E672" t="s">
        <v>4780</v>
      </c>
    </row>
    <row r="673" spans="1:5" x14ac:dyDescent="0.35">
      <c r="A673" t="str">
        <f>"2012-08-31"</f>
        <v>2012-08-31</v>
      </c>
      <c r="B673" s="1" t="str">
        <f t="shared" si="10"/>
        <v>08/31/2012</v>
      </c>
      <c r="C673" t="str">
        <f>"31.6444"</f>
        <v>31.6444</v>
      </c>
      <c r="D673" s="1" t="s">
        <v>664</v>
      </c>
      <c r="E673" t="s">
        <v>4781</v>
      </c>
    </row>
    <row r="674" spans="1:5" x14ac:dyDescent="0.35">
      <c r="A674" t="str">
        <f>"2012-09-04"</f>
        <v>2012-09-04</v>
      </c>
      <c r="B674" s="1" t="str">
        <f t="shared" si="10"/>
        <v>09/04/2012</v>
      </c>
      <c r="C674" t="str">
        <f>"31.9801"</f>
        <v>31.9801</v>
      </c>
      <c r="D674" s="1" t="s">
        <v>665</v>
      </c>
      <c r="E674" t="s">
        <v>4782</v>
      </c>
    </row>
    <row r="675" spans="1:5" x14ac:dyDescent="0.35">
      <c r="A675" t="str">
        <f>"2012-09-05"</f>
        <v>2012-09-05</v>
      </c>
      <c r="B675" s="1" t="str">
        <f t="shared" si="10"/>
        <v>09/05/2012</v>
      </c>
      <c r="C675" t="str">
        <f>"33.4157"</f>
        <v>33.4157</v>
      </c>
      <c r="D675" s="1" t="s">
        <v>666</v>
      </c>
      <c r="E675" t="s">
        <v>4783</v>
      </c>
    </row>
    <row r="676" spans="1:5" x14ac:dyDescent="0.35">
      <c r="A676" t="str">
        <f>"2012-09-06"</f>
        <v>2012-09-06</v>
      </c>
      <c r="B676" s="1" t="str">
        <f t="shared" si="10"/>
        <v>09/06/2012</v>
      </c>
      <c r="C676" t="str">
        <f>"33.2938"</f>
        <v>33.2938</v>
      </c>
      <c r="D676" s="1" t="s">
        <v>667</v>
      </c>
      <c r="E676" t="s">
        <v>4784</v>
      </c>
    </row>
    <row r="677" spans="1:5" x14ac:dyDescent="0.35">
      <c r="A677" t="str">
        <f>"2012-09-07"</f>
        <v>2012-09-07</v>
      </c>
      <c r="B677" s="1" t="str">
        <f t="shared" si="10"/>
        <v>09/07/2012</v>
      </c>
      <c r="C677" t="str">
        <f>"33.5561"</f>
        <v>33.5561</v>
      </c>
      <c r="D677" s="1" t="s">
        <v>668</v>
      </c>
      <c r="E677" t="s">
        <v>4785</v>
      </c>
    </row>
    <row r="678" spans="1:5" x14ac:dyDescent="0.35">
      <c r="A678" t="str">
        <f>"2012-09-10"</f>
        <v>2012-09-10</v>
      </c>
      <c r="B678" s="1" t="str">
        <f t="shared" si="10"/>
        <v>09/10/2012</v>
      </c>
      <c r="C678" t="str">
        <f>"33.7146"</f>
        <v>33.7146</v>
      </c>
      <c r="D678" s="1" t="s">
        <v>669</v>
      </c>
      <c r="E678" t="s">
        <v>4786</v>
      </c>
    </row>
    <row r="679" spans="1:5" x14ac:dyDescent="0.35">
      <c r="A679" t="str">
        <f>"2012-09-11"</f>
        <v>2012-09-11</v>
      </c>
      <c r="B679" s="1" t="str">
        <f t="shared" si="10"/>
        <v>09/11/2012</v>
      </c>
      <c r="C679" t="str">
        <f>"33.3655"</f>
        <v>33.3655</v>
      </c>
      <c r="D679" s="1" t="s">
        <v>670</v>
      </c>
      <c r="E679" t="s">
        <v>4787</v>
      </c>
    </row>
    <row r="680" spans="1:5" x14ac:dyDescent="0.35">
      <c r="A680" t="str">
        <f>"2012-09-12"</f>
        <v>2012-09-12</v>
      </c>
      <c r="B680" s="1" t="str">
        <f t="shared" si="10"/>
        <v>09/12/2012</v>
      </c>
      <c r="C680" t="str">
        <f>"33.7846"</f>
        <v>33.7846</v>
      </c>
      <c r="D680" s="1" t="s">
        <v>671</v>
      </c>
      <c r="E680" t="s">
        <v>4788</v>
      </c>
    </row>
    <row r="681" spans="1:5" x14ac:dyDescent="0.35">
      <c r="A681" t="str">
        <f>"2012-09-13"</f>
        <v>2012-09-13</v>
      </c>
      <c r="B681" s="1" t="str">
        <f t="shared" si="10"/>
        <v>09/13/2012</v>
      </c>
      <c r="C681" t="str">
        <f>"32.6637"</f>
        <v>32.6637</v>
      </c>
      <c r="D681" s="1" t="s">
        <v>672</v>
      </c>
      <c r="E681" t="s">
        <v>4789</v>
      </c>
    </row>
    <row r="682" spans="1:5" x14ac:dyDescent="0.35">
      <c r="A682" t="str">
        <f>"2012-09-14"</f>
        <v>2012-09-14</v>
      </c>
      <c r="B682" s="1" t="str">
        <f t="shared" si="10"/>
        <v>09/14/2012</v>
      </c>
      <c r="C682" t="str">
        <f>"32.5427"</f>
        <v>32.5427</v>
      </c>
      <c r="D682" s="1" t="s">
        <v>673</v>
      </c>
      <c r="E682" t="s">
        <v>4790</v>
      </c>
    </row>
    <row r="683" spans="1:5" x14ac:dyDescent="0.35">
      <c r="A683" t="str">
        <f>"2012-09-17"</f>
        <v>2012-09-17</v>
      </c>
      <c r="B683" s="1" t="str">
        <f t="shared" si="10"/>
        <v>09/17/2012</v>
      </c>
      <c r="C683" t="str">
        <f>"33.3004"</f>
        <v>33.3004</v>
      </c>
      <c r="D683" s="1" t="s">
        <v>674</v>
      </c>
      <c r="E683" t="s">
        <v>4791</v>
      </c>
    </row>
    <row r="684" spans="1:5" x14ac:dyDescent="0.35">
      <c r="A684" t="str">
        <f>"2012-09-18"</f>
        <v>2012-09-18</v>
      </c>
      <c r="B684" s="1" t="str">
        <f t="shared" si="10"/>
        <v>09/18/2012</v>
      </c>
      <c r="C684" t="str">
        <f>"33.3735"</f>
        <v>33.3735</v>
      </c>
      <c r="D684" s="1" t="s">
        <v>675</v>
      </c>
      <c r="E684" t="s">
        <v>4792</v>
      </c>
    </row>
    <row r="685" spans="1:5" x14ac:dyDescent="0.35">
      <c r="A685" t="str">
        <f>"2012-09-19"</f>
        <v>2012-09-19</v>
      </c>
      <c r="B685" s="1" t="str">
        <f t="shared" si="10"/>
        <v>09/19/2012</v>
      </c>
      <c r="C685" t="str">
        <f>"33.5374"</f>
        <v>33.5374</v>
      </c>
      <c r="D685" s="1" t="s">
        <v>676</v>
      </c>
      <c r="E685" t="s">
        <v>4793</v>
      </c>
    </row>
    <row r="686" spans="1:5" x14ac:dyDescent="0.35">
      <c r="A686" t="str">
        <f>"2012-09-20"</f>
        <v>2012-09-20</v>
      </c>
      <c r="B686" s="1" t="str">
        <f t="shared" si="10"/>
        <v>09/20/2012</v>
      </c>
      <c r="C686" t="str">
        <f>"33.4678"</f>
        <v>33.4678</v>
      </c>
      <c r="D686" s="1" t="s">
        <v>677</v>
      </c>
      <c r="E686" t="s">
        <v>4794</v>
      </c>
    </row>
    <row r="687" spans="1:5" x14ac:dyDescent="0.35">
      <c r="A687" t="str">
        <f>"2012-09-21"</f>
        <v>2012-09-21</v>
      </c>
      <c r="B687" s="1" t="str">
        <f t="shared" si="10"/>
        <v>09/21/2012</v>
      </c>
      <c r="C687" t="str">
        <f>"33.4896"</f>
        <v>33.4896</v>
      </c>
      <c r="D687" s="1" t="s">
        <v>678</v>
      </c>
      <c r="E687" t="s">
        <v>4795</v>
      </c>
    </row>
    <row r="688" spans="1:5" x14ac:dyDescent="0.35">
      <c r="A688" t="str">
        <f>"2012-09-24"</f>
        <v>2012-09-24</v>
      </c>
      <c r="B688" s="1" t="str">
        <f t="shared" si="10"/>
        <v>09/24/2012</v>
      </c>
      <c r="C688" t="str">
        <f>"33.7794"</f>
        <v>33.7794</v>
      </c>
      <c r="D688" s="1" t="s">
        <v>679</v>
      </c>
      <c r="E688" t="s">
        <v>4796</v>
      </c>
    </row>
    <row r="689" spans="1:5" x14ac:dyDescent="0.35">
      <c r="A689" t="str">
        <f>"2012-09-25"</f>
        <v>2012-09-25</v>
      </c>
      <c r="B689" s="1" t="str">
        <f t="shared" si="10"/>
        <v>09/25/2012</v>
      </c>
      <c r="C689" t="str">
        <f>"34.2175"</f>
        <v>34.2175</v>
      </c>
      <c r="D689" s="1" t="s">
        <v>680</v>
      </c>
      <c r="E689" t="s">
        <v>4797</v>
      </c>
    </row>
    <row r="690" spans="1:5" x14ac:dyDescent="0.35">
      <c r="A690" t="str">
        <f>"2012-09-26"</f>
        <v>2012-09-26</v>
      </c>
      <c r="B690" s="1" t="str">
        <f t="shared" si="10"/>
        <v>09/26/2012</v>
      </c>
      <c r="C690" t="str">
        <f>"35.0294"</f>
        <v>35.0294</v>
      </c>
      <c r="D690" s="1" t="s">
        <v>681</v>
      </c>
      <c r="E690" t="s">
        <v>4798</v>
      </c>
    </row>
    <row r="691" spans="1:5" x14ac:dyDescent="0.35">
      <c r="A691" t="str">
        <f>"2012-09-27"</f>
        <v>2012-09-27</v>
      </c>
      <c r="B691" s="1" t="str">
        <f t="shared" si="10"/>
        <v>09/27/2012</v>
      </c>
      <c r="C691" t="str">
        <f>"32.7853"</f>
        <v>32.7853</v>
      </c>
      <c r="D691" s="1" t="s">
        <v>682</v>
      </c>
      <c r="E691" t="s">
        <v>4799</v>
      </c>
    </row>
    <row r="692" spans="1:5" x14ac:dyDescent="0.35">
      <c r="A692" t="str">
        <f>"2012-09-28"</f>
        <v>2012-09-28</v>
      </c>
      <c r="B692" s="1" t="str">
        <f t="shared" si="10"/>
        <v>09/28/2012</v>
      </c>
      <c r="C692" t="str">
        <f>"32.1215"</f>
        <v>32.1215</v>
      </c>
      <c r="D692" s="1" t="s">
        <v>683</v>
      </c>
      <c r="E692" t="s">
        <v>4800</v>
      </c>
    </row>
    <row r="693" spans="1:5" x14ac:dyDescent="0.35">
      <c r="A693" t="str">
        <f>"2012-10-01"</f>
        <v>2012-10-01</v>
      </c>
      <c r="B693" s="1" t="str">
        <f t="shared" si="10"/>
        <v>10/01/2012</v>
      </c>
      <c r="C693" t="str">
        <f>"32.637"</f>
        <v>32.637</v>
      </c>
      <c r="D693" s="1" t="s">
        <v>684</v>
      </c>
      <c r="E693" t="s">
        <v>4801</v>
      </c>
    </row>
    <row r="694" spans="1:5" x14ac:dyDescent="0.35">
      <c r="A694" t="str">
        <f>"2012-10-02"</f>
        <v>2012-10-02</v>
      </c>
      <c r="B694" s="1" t="str">
        <f t="shared" si="10"/>
        <v>10/02/2012</v>
      </c>
      <c r="C694" t="str">
        <f>"33.4783"</f>
        <v>33.4783</v>
      </c>
      <c r="D694" s="1" t="s">
        <v>685</v>
      </c>
      <c r="E694" t="s">
        <v>4802</v>
      </c>
    </row>
    <row r="695" spans="1:5" x14ac:dyDescent="0.35">
      <c r="A695" t="str">
        <f>"2012-10-03"</f>
        <v>2012-10-03</v>
      </c>
      <c r="B695" s="1" t="str">
        <f t="shared" si="10"/>
        <v>10/03/2012</v>
      </c>
      <c r="C695" t="str">
        <f>"33.1527"</f>
        <v>33.1527</v>
      </c>
      <c r="D695" s="1" t="s">
        <v>686</v>
      </c>
      <c r="E695" t="s">
        <v>4803</v>
      </c>
    </row>
    <row r="696" spans="1:5" x14ac:dyDescent="0.35">
      <c r="A696" t="str">
        <f>"2012-10-04"</f>
        <v>2012-10-04</v>
      </c>
      <c r="B696" s="1" t="str">
        <f t="shared" si="10"/>
        <v>10/04/2012</v>
      </c>
      <c r="C696" t="str">
        <f>"32.9293"</f>
        <v>32.9293</v>
      </c>
      <c r="D696" s="1" t="s">
        <v>687</v>
      </c>
      <c r="E696" t="s">
        <v>4804</v>
      </c>
    </row>
    <row r="697" spans="1:5" x14ac:dyDescent="0.35">
      <c r="A697" t="str">
        <f>"2012-10-05"</f>
        <v>2012-10-05</v>
      </c>
      <c r="B697" s="1" t="str">
        <f t="shared" si="10"/>
        <v>10/05/2012</v>
      </c>
      <c r="C697" t="str">
        <f>"33.6123"</f>
        <v>33.6123</v>
      </c>
      <c r="D697" s="1" t="s">
        <v>688</v>
      </c>
      <c r="E697" t="s">
        <v>4805</v>
      </c>
    </row>
    <row r="698" spans="1:5" x14ac:dyDescent="0.35">
      <c r="A698" t="str">
        <f>"2012-10-08"</f>
        <v>2012-10-08</v>
      </c>
      <c r="B698" s="1" t="str">
        <f t="shared" si="10"/>
        <v>10/08/2012</v>
      </c>
      <c r="C698" t="str">
        <f>"33.627"</f>
        <v>33.627</v>
      </c>
      <c r="D698" s="1" t="s">
        <v>689</v>
      </c>
      <c r="E698" t="s">
        <v>4806</v>
      </c>
    </row>
    <row r="699" spans="1:5" x14ac:dyDescent="0.35">
      <c r="A699" t="str">
        <f>"2012-10-09"</f>
        <v>2012-10-09</v>
      </c>
      <c r="B699" s="1" t="str">
        <f t="shared" si="10"/>
        <v>10/09/2012</v>
      </c>
      <c r="C699" t="str">
        <f>"33.6968"</f>
        <v>33.6968</v>
      </c>
      <c r="D699" s="1" t="s">
        <v>690</v>
      </c>
      <c r="E699" t="s">
        <v>4807</v>
      </c>
    </row>
    <row r="700" spans="1:5" x14ac:dyDescent="0.35">
      <c r="A700" t="str">
        <f>"2012-10-10"</f>
        <v>2012-10-10</v>
      </c>
      <c r="B700" s="1" t="str">
        <f t="shared" si="10"/>
        <v>10/10/2012</v>
      </c>
      <c r="C700" t="str">
        <f>"33.6073"</f>
        <v>33.6073</v>
      </c>
      <c r="D700" s="1" t="s">
        <v>691</v>
      </c>
      <c r="E700" t="s">
        <v>4808</v>
      </c>
    </row>
    <row r="701" spans="1:5" x14ac:dyDescent="0.35">
      <c r="A701" t="str">
        <f>"2012-10-11"</f>
        <v>2012-10-11</v>
      </c>
      <c r="B701" s="1" t="str">
        <f t="shared" si="10"/>
        <v>10/11/2012</v>
      </c>
      <c r="C701" t="str">
        <f>"33.6307"</f>
        <v>33.6307</v>
      </c>
      <c r="D701" s="1" t="s">
        <v>692</v>
      </c>
      <c r="E701" t="s">
        <v>4809</v>
      </c>
    </row>
    <row r="702" spans="1:5" x14ac:dyDescent="0.35">
      <c r="A702" t="str">
        <f>"2012-10-12"</f>
        <v>2012-10-12</v>
      </c>
      <c r="B702" s="1" t="str">
        <f t="shared" si="10"/>
        <v>10/12/2012</v>
      </c>
      <c r="C702" t="str">
        <f>"34.4061"</f>
        <v>34.4061</v>
      </c>
      <c r="D702" s="1" t="s">
        <v>693</v>
      </c>
      <c r="E702" t="s">
        <v>4810</v>
      </c>
    </row>
    <row r="703" spans="1:5" x14ac:dyDescent="0.35">
      <c r="A703" t="str">
        <f>"2012-10-15"</f>
        <v>2012-10-15</v>
      </c>
      <c r="B703" s="1" t="str">
        <f t="shared" si="10"/>
        <v>10/15/2012</v>
      </c>
      <c r="C703" t="str">
        <f>"35.1898"</f>
        <v>35.1898</v>
      </c>
      <c r="D703" s="1" t="s">
        <v>694</v>
      </c>
      <c r="E703" t="s">
        <v>4811</v>
      </c>
    </row>
    <row r="704" spans="1:5" x14ac:dyDescent="0.35">
      <c r="A704" t="str">
        <f>"2012-10-16"</f>
        <v>2012-10-16</v>
      </c>
      <c r="B704" s="1" t="str">
        <f t="shared" si="10"/>
        <v>10/16/2012</v>
      </c>
      <c r="C704" t="str">
        <f>"34.95"</f>
        <v>34.95</v>
      </c>
      <c r="D704" s="1" t="s">
        <v>695</v>
      </c>
      <c r="E704" t="s">
        <v>4812</v>
      </c>
    </row>
    <row r="705" spans="1:5" x14ac:dyDescent="0.35">
      <c r="A705" t="str">
        <f>"2012-10-17"</f>
        <v>2012-10-17</v>
      </c>
      <c r="B705" s="1" t="str">
        <f t="shared" si="10"/>
        <v>10/17/2012</v>
      </c>
      <c r="C705" t="str">
        <f>"34.9947"</f>
        <v>34.9947</v>
      </c>
      <c r="D705" s="1" t="s">
        <v>696</v>
      </c>
      <c r="E705" t="s">
        <v>4813</v>
      </c>
    </row>
    <row r="706" spans="1:5" x14ac:dyDescent="0.35">
      <c r="A706" t="str">
        <f>"2012-10-18"</f>
        <v>2012-10-18</v>
      </c>
      <c r="B706" s="1" t="str">
        <f t="shared" si="10"/>
        <v>10/18/2012</v>
      </c>
      <c r="C706" t="str">
        <f>"34.769"</f>
        <v>34.769</v>
      </c>
      <c r="D706" s="1" t="s">
        <v>697</v>
      </c>
      <c r="E706" t="s">
        <v>4814</v>
      </c>
    </row>
    <row r="707" spans="1:5" x14ac:dyDescent="0.35">
      <c r="A707" t="str">
        <f>"2012-10-19"</f>
        <v>2012-10-19</v>
      </c>
      <c r="B707" s="1" t="str">
        <f t="shared" ref="B707:B770" si="11">LEFT(RIGHT(A707,5),2)&amp;"/"&amp;RIGHT(A707,2)&amp;"/"&amp;LEFT(A707,4)</f>
        <v>10/19/2012</v>
      </c>
      <c r="C707" t="str">
        <f>"35.2023"</f>
        <v>35.2023</v>
      </c>
      <c r="D707" s="1" t="s">
        <v>698</v>
      </c>
      <c r="E707" t="s">
        <v>4815</v>
      </c>
    </row>
    <row r="708" spans="1:5" x14ac:dyDescent="0.35">
      <c r="A708" t="str">
        <f>"2012-10-22"</f>
        <v>2012-10-22</v>
      </c>
      <c r="B708" s="1" t="str">
        <f t="shared" si="11"/>
        <v>10/22/2012</v>
      </c>
      <c r="C708" t="str">
        <f>"35.3885"</f>
        <v>35.3885</v>
      </c>
      <c r="D708" s="1" t="s">
        <v>699</v>
      </c>
      <c r="E708" t="s">
        <v>4816</v>
      </c>
    </row>
    <row r="709" spans="1:5" x14ac:dyDescent="0.35">
      <c r="A709" t="str">
        <f>"2012-10-23"</f>
        <v>2012-10-23</v>
      </c>
      <c r="B709" s="1" t="str">
        <f t="shared" si="11"/>
        <v>10/23/2012</v>
      </c>
      <c r="C709" t="str">
        <f>"35.9446"</f>
        <v>35.9446</v>
      </c>
      <c r="D709" s="1" t="s">
        <v>700</v>
      </c>
      <c r="E709" t="s">
        <v>4817</v>
      </c>
    </row>
    <row r="710" spans="1:5" x14ac:dyDescent="0.35">
      <c r="A710" t="str">
        <f>"2012-10-24"</f>
        <v>2012-10-24</v>
      </c>
      <c r="B710" s="1" t="str">
        <f t="shared" si="11"/>
        <v>10/24/2012</v>
      </c>
      <c r="C710" t="str">
        <f>"35.9411"</f>
        <v>35.9411</v>
      </c>
      <c r="D710" s="1" t="s">
        <v>701</v>
      </c>
      <c r="E710" t="s">
        <v>4818</v>
      </c>
    </row>
    <row r="711" spans="1:5" x14ac:dyDescent="0.35">
      <c r="A711" t="str">
        <f>"2012-10-25"</f>
        <v>2012-10-25</v>
      </c>
      <c r="B711" s="1" t="str">
        <f t="shared" si="11"/>
        <v>10/25/2012</v>
      </c>
      <c r="C711" t="str">
        <f>"35.6765"</f>
        <v>35.6765</v>
      </c>
      <c r="D711" s="1" t="s">
        <v>702</v>
      </c>
      <c r="E711" t="s">
        <v>4819</v>
      </c>
    </row>
    <row r="712" spans="1:5" x14ac:dyDescent="0.35">
      <c r="A712" t="str">
        <f>"2012-10-26"</f>
        <v>2012-10-26</v>
      </c>
      <c r="B712" s="1" t="str">
        <f t="shared" si="11"/>
        <v>10/26/2012</v>
      </c>
      <c r="C712" t="str">
        <f>"35.7588"</f>
        <v>35.7588</v>
      </c>
      <c r="D712" s="1" t="s">
        <v>703</v>
      </c>
      <c r="E712" t="s">
        <v>4820</v>
      </c>
    </row>
    <row r="713" spans="1:5" x14ac:dyDescent="0.35">
      <c r="A713" t="str">
        <f>"2012-10-31"</f>
        <v>2012-10-31</v>
      </c>
      <c r="B713" s="1" t="str">
        <f t="shared" si="11"/>
        <v>10/31/2012</v>
      </c>
      <c r="C713" t="str">
        <f>"36.3771"</f>
        <v>36.3771</v>
      </c>
      <c r="D713" s="1" t="s">
        <v>704</v>
      </c>
      <c r="E713" t="s">
        <v>4821</v>
      </c>
    </row>
    <row r="714" spans="1:5" x14ac:dyDescent="0.35">
      <c r="A714" t="str">
        <f>"2012-11-01"</f>
        <v>2012-11-01</v>
      </c>
      <c r="B714" s="1" t="str">
        <f t="shared" si="11"/>
        <v>11/01/2012</v>
      </c>
      <c r="C714" t="str">
        <f>"36.9831"</f>
        <v>36.9831</v>
      </c>
      <c r="D714" s="1" t="s">
        <v>705</v>
      </c>
      <c r="E714" t="s">
        <v>4822</v>
      </c>
    </row>
    <row r="715" spans="1:5" x14ac:dyDescent="0.35">
      <c r="A715" t="str">
        <f>"2012-11-02"</f>
        <v>2012-11-02</v>
      </c>
      <c r="B715" s="1" t="str">
        <f t="shared" si="11"/>
        <v>11/02/2012</v>
      </c>
      <c r="C715" t="str">
        <f>"37.7919"</f>
        <v>37.7919</v>
      </c>
      <c r="D715" s="1" t="s">
        <v>706</v>
      </c>
      <c r="E715" t="s">
        <v>4823</v>
      </c>
    </row>
    <row r="716" spans="1:5" x14ac:dyDescent="0.35">
      <c r="A716" t="str">
        <f>"2012-11-05"</f>
        <v>2012-11-05</v>
      </c>
      <c r="B716" s="1" t="str">
        <f t="shared" si="11"/>
        <v>11/05/2012</v>
      </c>
      <c r="C716" t="str">
        <f>"38.5038"</f>
        <v>38.5038</v>
      </c>
      <c r="D716" s="1" t="s">
        <v>707</v>
      </c>
      <c r="E716" t="s">
        <v>4824</v>
      </c>
    </row>
    <row r="717" spans="1:5" x14ac:dyDescent="0.35">
      <c r="A717" t="str">
        <f>"2012-11-06"</f>
        <v>2012-11-06</v>
      </c>
      <c r="B717" s="1" t="str">
        <f t="shared" si="11"/>
        <v>11/06/2012</v>
      </c>
      <c r="C717" t="str">
        <f>"38.1975"</f>
        <v>38.1975</v>
      </c>
      <c r="D717" s="1" t="s">
        <v>708</v>
      </c>
      <c r="E717" t="s">
        <v>4825</v>
      </c>
    </row>
    <row r="718" spans="1:5" x14ac:dyDescent="0.35">
      <c r="A718" t="str">
        <f>"2012-11-07"</f>
        <v>2012-11-07</v>
      </c>
      <c r="B718" s="1" t="str">
        <f t="shared" si="11"/>
        <v>11/07/2012</v>
      </c>
      <c r="C718" t="str">
        <f>"37.8503"</f>
        <v>37.8503</v>
      </c>
      <c r="D718" s="1" t="s">
        <v>709</v>
      </c>
      <c r="E718" t="s">
        <v>4826</v>
      </c>
    </row>
    <row r="719" spans="1:5" x14ac:dyDescent="0.35">
      <c r="A719" t="str">
        <f>"2012-11-08"</f>
        <v>2012-11-08</v>
      </c>
      <c r="B719" s="1" t="str">
        <f t="shared" si="11"/>
        <v>11/08/2012</v>
      </c>
      <c r="C719" t="str">
        <f>"38.3024"</f>
        <v>38.3024</v>
      </c>
      <c r="D719" s="1" t="s">
        <v>710</v>
      </c>
      <c r="E719" t="s">
        <v>4827</v>
      </c>
    </row>
    <row r="720" spans="1:5" x14ac:dyDescent="0.35">
      <c r="A720" t="str">
        <f>"2012-11-09"</f>
        <v>2012-11-09</v>
      </c>
      <c r="B720" s="1" t="str">
        <f t="shared" si="11"/>
        <v>11/09/2012</v>
      </c>
      <c r="C720" t="str">
        <f>"36.7739"</f>
        <v>36.7739</v>
      </c>
      <c r="D720" s="1" t="s">
        <v>711</v>
      </c>
      <c r="E720" t="s">
        <v>4828</v>
      </c>
    </row>
    <row r="721" spans="1:5" x14ac:dyDescent="0.35">
      <c r="A721" t="str">
        <f>"2012-11-12"</f>
        <v>2012-11-12</v>
      </c>
      <c r="B721" s="1" t="str">
        <f t="shared" si="11"/>
        <v>11/12/2012</v>
      </c>
      <c r="C721" t="str">
        <f>"37.1093"</f>
        <v>37.1093</v>
      </c>
      <c r="D721" s="1" t="s">
        <v>712</v>
      </c>
      <c r="E721" t="s">
        <v>4829</v>
      </c>
    </row>
    <row r="722" spans="1:5" x14ac:dyDescent="0.35">
      <c r="A722" t="str">
        <f>"2012-11-13"</f>
        <v>2012-11-13</v>
      </c>
      <c r="B722" s="1" t="str">
        <f t="shared" si="11"/>
        <v>11/13/2012</v>
      </c>
      <c r="C722" t="str">
        <f>"37.9827"</f>
        <v>37.9827</v>
      </c>
      <c r="D722" s="1" t="s">
        <v>713</v>
      </c>
      <c r="E722" t="s">
        <v>4830</v>
      </c>
    </row>
    <row r="723" spans="1:5" x14ac:dyDescent="0.35">
      <c r="A723" t="str">
        <f>"2012-11-14"</f>
        <v>2012-11-14</v>
      </c>
      <c r="B723" s="1" t="str">
        <f t="shared" si="11"/>
        <v>11/14/2012</v>
      </c>
      <c r="C723" t="str">
        <f>"38.2461"</f>
        <v>38.2461</v>
      </c>
      <c r="D723" s="1" t="s">
        <v>714</v>
      </c>
      <c r="E723" t="s">
        <v>4831</v>
      </c>
    </row>
    <row r="724" spans="1:5" x14ac:dyDescent="0.35">
      <c r="A724" t="str">
        <f>"2012-11-15"</f>
        <v>2012-11-15</v>
      </c>
      <c r="B724" s="1" t="str">
        <f t="shared" si="11"/>
        <v>11/15/2012</v>
      </c>
      <c r="C724" t="str">
        <f>"39.6935"</f>
        <v>39.6935</v>
      </c>
      <c r="D724" s="1" t="s">
        <v>715</v>
      </c>
      <c r="E724" t="s">
        <v>4832</v>
      </c>
    </row>
    <row r="725" spans="1:5" x14ac:dyDescent="0.35">
      <c r="A725" t="str">
        <f>"2012-11-16"</f>
        <v>2012-11-16</v>
      </c>
      <c r="B725" s="1" t="str">
        <f t="shared" si="11"/>
        <v>11/16/2012</v>
      </c>
      <c r="C725" t="str">
        <f>"38.6393"</f>
        <v>38.6393</v>
      </c>
      <c r="D725" s="1" t="s">
        <v>716</v>
      </c>
      <c r="E725" t="s">
        <v>4833</v>
      </c>
    </row>
    <row r="726" spans="1:5" x14ac:dyDescent="0.35">
      <c r="A726" t="str">
        <f>"2012-11-19"</f>
        <v>2012-11-19</v>
      </c>
      <c r="B726" s="1" t="str">
        <f t="shared" si="11"/>
        <v>11/19/2012</v>
      </c>
      <c r="C726" t="str">
        <f>"41.7619"</f>
        <v>41.7619</v>
      </c>
      <c r="D726" s="1" t="s">
        <v>717</v>
      </c>
      <c r="E726" t="s">
        <v>4834</v>
      </c>
    </row>
    <row r="727" spans="1:5" x14ac:dyDescent="0.35">
      <c r="A727" t="str">
        <f>"2012-11-20"</f>
        <v>2012-11-20</v>
      </c>
      <c r="B727" s="1" t="str">
        <f t="shared" si="11"/>
        <v>11/20/2012</v>
      </c>
      <c r="C727" t="str">
        <f>"41.4378"</f>
        <v>41.4378</v>
      </c>
      <c r="D727" s="1" t="s">
        <v>718</v>
      </c>
      <c r="E727" t="s">
        <v>4835</v>
      </c>
    </row>
    <row r="728" spans="1:5" x14ac:dyDescent="0.35">
      <c r="A728" t="str">
        <f>"2012-11-21"</f>
        <v>2012-11-21</v>
      </c>
      <c r="B728" s="1" t="str">
        <f t="shared" si="11"/>
        <v>11/21/2012</v>
      </c>
      <c r="C728" t="str">
        <f>"41.3946"</f>
        <v>41.3946</v>
      </c>
      <c r="D728" s="1" t="s">
        <v>719</v>
      </c>
      <c r="E728" t="s">
        <v>4836</v>
      </c>
    </row>
    <row r="729" spans="1:5" x14ac:dyDescent="0.35">
      <c r="A729" t="str">
        <f>"2012-11-23"</f>
        <v>2012-11-23</v>
      </c>
      <c r="B729" s="1" t="str">
        <f t="shared" si="11"/>
        <v>11/23/2012</v>
      </c>
      <c r="C729" t="str">
        <f>"41.3406"</f>
        <v>41.3406</v>
      </c>
      <c r="D729" s="1" t="s">
        <v>720</v>
      </c>
      <c r="E729" t="s">
        <v>4837</v>
      </c>
    </row>
    <row r="730" spans="1:5" x14ac:dyDescent="0.35">
      <c r="A730" t="str">
        <f>"2012-11-26"</f>
        <v>2012-11-26</v>
      </c>
      <c r="B730" s="1" t="str">
        <f t="shared" si="11"/>
        <v>11/26/2012</v>
      </c>
      <c r="C730" t="str">
        <f>"42.7357"</f>
        <v>42.7357</v>
      </c>
      <c r="D730" s="1" t="s">
        <v>721</v>
      </c>
      <c r="E730" t="s">
        <v>4838</v>
      </c>
    </row>
    <row r="731" spans="1:5" x14ac:dyDescent="0.35">
      <c r="A731" t="str">
        <f>"2012-11-27"</f>
        <v>2012-11-27</v>
      </c>
      <c r="B731" s="1" t="str">
        <f t="shared" si="11"/>
        <v>11/27/2012</v>
      </c>
      <c r="C731" t="str">
        <f>"43.614"</f>
        <v>43.614</v>
      </c>
      <c r="D731" s="1" t="s">
        <v>722</v>
      </c>
      <c r="E731" t="s">
        <v>4839</v>
      </c>
    </row>
    <row r="732" spans="1:5" x14ac:dyDescent="0.35">
      <c r="A732" t="str">
        <f>"2012-11-28"</f>
        <v>2012-11-28</v>
      </c>
      <c r="B732" s="1" t="str">
        <f t="shared" si="11"/>
        <v>11/28/2012</v>
      </c>
      <c r="C732" t="str">
        <f>"45.2286"</f>
        <v>45.2286</v>
      </c>
      <c r="D732" s="1" t="s">
        <v>723</v>
      </c>
      <c r="E732" t="s">
        <v>4840</v>
      </c>
    </row>
    <row r="733" spans="1:5" x14ac:dyDescent="0.35">
      <c r="A733" t="str">
        <f>"2012-11-29"</f>
        <v>2012-11-29</v>
      </c>
      <c r="B733" s="1" t="str">
        <f t="shared" si="11"/>
        <v>11/29/2012</v>
      </c>
      <c r="C733" t="str">
        <f>"44.6135"</f>
        <v>44.6135</v>
      </c>
      <c r="D733" s="1" t="s">
        <v>724</v>
      </c>
      <c r="E733" t="s">
        <v>4841</v>
      </c>
    </row>
    <row r="734" spans="1:5" x14ac:dyDescent="0.35">
      <c r="A734" t="str">
        <f>"2012-11-30"</f>
        <v>2012-11-30</v>
      </c>
      <c r="B734" s="1" t="str">
        <f t="shared" si="11"/>
        <v>11/30/2012</v>
      </c>
      <c r="C734" t="str">
        <f>"46.5816"</f>
        <v>46.5816</v>
      </c>
      <c r="D734" s="1" t="s">
        <v>725</v>
      </c>
      <c r="E734" t="s">
        <v>4842</v>
      </c>
    </row>
    <row r="735" spans="1:5" x14ac:dyDescent="0.35">
      <c r="A735" t="str">
        <f>"2012-12-03"</f>
        <v>2012-12-03</v>
      </c>
      <c r="B735" s="1" t="str">
        <f t="shared" si="11"/>
        <v>12/03/2012</v>
      </c>
      <c r="C735" t="str">
        <f>"49.3279"</f>
        <v>49.3279</v>
      </c>
      <c r="D735" s="1" t="s">
        <v>726</v>
      </c>
      <c r="E735" t="s">
        <v>4843</v>
      </c>
    </row>
    <row r="736" spans="1:5" x14ac:dyDescent="0.35">
      <c r="A736" t="str">
        <f>"2012-12-04"</f>
        <v>2012-12-04</v>
      </c>
      <c r="B736" s="1" t="str">
        <f t="shared" si="11"/>
        <v>12/04/2012</v>
      </c>
      <c r="C736" t="str">
        <f>"52.5764"</f>
        <v>52.5764</v>
      </c>
      <c r="D736" s="1" t="s">
        <v>727</v>
      </c>
      <c r="E736" t="s">
        <v>4844</v>
      </c>
    </row>
    <row r="737" spans="1:5" x14ac:dyDescent="0.35">
      <c r="A737" t="str">
        <f>"2012-12-05"</f>
        <v>2012-12-05</v>
      </c>
      <c r="B737" s="1" t="str">
        <f t="shared" si="11"/>
        <v>12/05/2012</v>
      </c>
      <c r="C737" t="str">
        <f>"51.4178"</f>
        <v>51.4178</v>
      </c>
      <c r="D737" s="1" t="s">
        <v>728</v>
      </c>
      <c r="E737" t="s">
        <v>4845</v>
      </c>
    </row>
    <row r="738" spans="1:5" x14ac:dyDescent="0.35">
      <c r="A738" t="str">
        <f>"2012-12-06"</f>
        <v>2012-12-06</v>
      </c>
      <c r="B738" s="1" t="str">
        <f t="shared" si="11"/>
        <v>12/06/2012</v>
      </c>
      <c r="C738" t="str">
        <f>"52.9043"</f>
        <v>52.9043</v>
      </c>
      <c r="D738" s="1" t="s">
        <v>729</v>
      </c>
      <c r="E738" t="s">
        <v>4846</v>
      </c>
    </row>
    <row r="739" spans="1:5" x14ac:dyDescent="0.35">
      <c r="A739" t="str">
        <f>"2012-12-07"</f>
        <v>2012-12-07</v>
      </c>
      <c r="B739" s="1" t="str">
        <f t="shared" si="11"/>
        <v>12/07/2012</v>
      </c>
      <c r="C739" t="str">
        <f>"51.8113"</f>
        <v>51.8113</v>
      </c>
      <c r="D739" s="1" t="s">
        <v>730</v>
      </c>
      <c r="E739" t="s">
        <v>4847</v>
      </c>
    </row>
    <row r="740" spans="1:5" x14ac:dyDescent="0.35">
      <c r="A740" t="str">
        <f>"2012-12-10"</f>
        <v>2012-12-10</v>
      </c>
      <c r="B740" s="1" t="str">
        <f t="shared" si="11"/>
        <v>12/10/2012</v>
      </c>
      <c r="C740" t="str">
        <f>"51.8927"</f>
        <v>51.8927</v>
      </c>
      <c r="D740" s="1" t="s">
        <v>731</v>
      </c>
      <c r="E740" t="s">
        <v>4848</v>
      </c>
    </row>
    <row r="741" spans="1:5" x14ac:dyDescent="0.35">
      <c r="A741" t="str">
        <f>"2012-12-11"</f>
        <v>2012-12-11</v>
      </c>
      <c r="B741" s="1" t="str">
        <f t="shared" si="11"/>
        <v>12/11/2012</v>
      </c>
      <c r="C741" t="str">
        <f>"52.07"</f>
        <v>52.07</v>
      </c>
      <c r="D741" s="1" t="s">
        <v>732</v>
      </c>
      <c r="E741" t="s">
        <v>4849</v>
      </c>
    </row>
    <row r="742" spans="1:5" x14ac:dyDescent="0.35">
      <c r="A742" t="str">
        <f>"2012-12-12"</f>
        <v>2012-12-12</v>
      </c>
      <c r="B742" s="1" t="str">
        <f t="shared" si="11"/>
        <v>12/12/2012</v>
      </c>
      <c r="C742" t="str">
        <f>"51.839"</f>
        <v>51.839</v>
      </c>
      <c r="D742" s="1" t="s">
        <v>733</v>
      </c>
      <c r="E742" t="s">
        <v>4850</v>
      </c>
    </row>
    <row r="743" spans="1:5" x14ac:dyDescent="0.35">
      <c r="A743" t="str">
        <f>"2012-12-13"</f>
        <v>2012-12-13</v>
      </c>
      <c r="B743" s="1" t="str">
        <f t="shared" si="11"/>
        <v>12/13/2012</v>
      </c>
      <c r="C743" t="str">
        <f>"52.445"</f>
        <v>52.445</v>
      </c>
      <c r="D743" s="1" t="s">
        <v>734</v>
      </c>
      <c r="E743" t="s">
        <v>4851</v>
      </c>
    </row>
    <row r="744" spans="1:5" x14ac:dyDescent="0.35">
      <c r="A744" t="str">
        <f>"2012-12-14"</f>
        <v>2012-12-14</v>
      </c>
      <c r="B744" s="1" t="str">
        <f t="shared" si="11"/>
        <v>12/14/2012</v>
      </c>
      <c r="C744" t="str">
        <f>"52.4896"</f>
        <v>52.4896</v>
      </c>
      <c r="D744" s="1" t="s">
        <v>735</v>
      </c>
      <c r="E744" t="s">
        <v>4852</v>
      </c>
    </row>
    <row r="745" spans="1:5" x14ac:dyDescent="0.35">
      <c r="A745" t="str">
        <f>"2012-12-17"</f>
        <v>2012-12-17</v>
      </c>
      <c r="B745" s="1" t="str">
        <f t="shared" si="11"/>
        <v>12/17/2012</v>
      </c>
      <c r="C745" t="str">
        <f>"55.3824"</f>
        <v>55.3824</v>
      </c>
      <c r="D745" s="1" t="s">
        <v>736</v>
      </c>
      <c r="E745" t="s">
        <v>4853</v>
      </c>
    </row>
    <row r="746" spans="1:5" x14ac:dyDescent="0.35">
      <c r="A746" t="str">
        <f>"2012-12-18"</f>
        <v>2012-12-18</v>
      </c>
      <c r="B746" s="1" t="str">
        <f t="shared" si="11"/>
        <v>12/18/2012</v>
      </c>
      <c r="C746" t="str">
        <f>"56.4938"</f>
        <v>56.4938</v>
      </c>
      <c r="D746" s="1" t="s">
        <v>737</v>
      </c>
      <c r="E746" t="s">
        <v>4854</v>
      </c>
    </row>
    <row r="747" spans="1:5" x14ac:dyDescent="0.35">
      <c r="A747" t="str">
        <f>"2012-12-19"</f>
        <v>2012-12-19</v>
      </c>
      <c r="B747" s="1" t="str">
        <f t="shared" si="11"/>
        <v>12/19/2012</v>
      </c>
      <c r="C747" t="str">
        <f>"55.844"</f>
        <v>55.844</v>
      </c>
      <c r="D747" s="1" t="s">
        <v>738</v>
      </c>
      <c r="E747" t="s">
        <v>4855</v>
      </c>
    </row>
    <row r="748" spans="1:5" x14ac:dyDescent="0.35">
      <c r="A748" t="str">
        <f>"2012-12-20"</f>
        <v>2012-12-20</v>
      </c>
      <c r="B748" s="1" t="str">
        <f t="shared" si="11"/>
        <v>12/20/2012</v>
      </c>
      <c r="C748" t="str">
        <f>"57.7139"</f>
        <v>57.7139</v>
      </c>
      <c r="D748" s="1" t="s">
        <v>739</v>
      </c>
      <c r="E748" t="s">
        <v>4856</v>
      </c>
    </row>
    <row r="749" spans="1:5" x14ac:dyDescent="0.35">
      <c r="A749" t="str">
        <f>"2012-12-21"</f>
        <v>2012-12-21</v>
      </c>
      <c r="B749" s="1" t="str">
        <f t="shared" si="11"/>
        <v>12/21/2012</v>
      </c>
      <c r="C749" t="str">
        <f>"57.5011"</f>
        <v>57.5011</v>
      </c>
      <c r="D749" s="1" t="s">
        <v>740</v>
      </c>
      <c r="E749" t="s">
        <v>4857</v>
      </c>
    </row>
    <row r="750" spans="1:5" x14ac:dyDescent="0.35">
      <c r="A750" t="str">
        <f>"2012-12-24"</f>
        <v>2012-12-24</v>
      </c>
      <c r="B750" s="1" t="str">
        <f t="shared" si="11"/>
        <v>12/24/2012</v>
      </c>
      <c r="C750" t="str">
        <f>"58.3787"</f>
        <v>58.3787</v>
      </c>
      <c r="D750" s="1" t="s">
        <v>741</v>
      </c>
      <c r="E750" t="s">
        <v>4858</v>
      </c>
    </row>
    <row r="751" spans="1:5" x14ac:dyDescent="0.35">
      <c r="A751" t="str">
        <f>"2012-12-26"</f>
        <v>2012-12-26</v>
      </c>
      <c r="B751" s="1" t="str">
        <f t="shared" si="11"/>
        <v>12/26/2012</v>
      </c>
      <c r="C751" t="str">
        <f>"58.3785"</f>
        <v>58.3785</v>
      </c>
      <c r="D751" s="1" t="s">
        <v>742</v>
      </c>
      <c r="E751" t="s">
        <v>4859</v>
      </c>
    </row>
    <row r="752" spans="1:5" x14ac:dyDescent="0.35">
      <c r="A752" t="str">
        <f>"2012-12-27"</f>
        <v>2012-12-27</v>
      </c>
      <c r="B752" s="1" t="str">
        <f t="shared" si="11"/>
        <v>12/27/2012</v>
      </c>
      <c r="C752" t="str">
        <f>"56.6013"</f>
        <v>56.6013</v>
      </c>
      <c r="D752" s="1" t="s">
        <v>743</v>
      </c>
      <c r="E752" t="s">
        <v>4860</v>
      </c>
    </row>
    <row r="753" spans="1:5" x14ac:dyDescent="0.35">
      <c r="A753" t="str">
        <f>"2012-12-28"</f>
        <v>2012-12-28</v>
      </c>
      <c r="B753" s="1" t="str">
        <f t="shared" si="11"/>
        <v>12/28/2012</v>
      </c>
      <c r="C753" t="str">
        <f>"56.6688"</f>
        <v>56.6688</v>
      </c>
      <c r="D753" s="1" t="s">
        <v>744</v>
      </c>
      <c r="E753" t="s">
        <v>4861</v>
      </c>
    </row>
    <row r="754" spans="1:5" x14ac:dyDescent="0.35">
      <c r="A754" t="str">
        <f>"2012-12-31"</f>
        <v>2012-12-31</v>
      </c>
      <c r="B754" s="1" t="str">
        <f t="shared" si="11"/>
        <v>12/31/2012</v>
      </c>
      <c r="C754" t="str">
        <f>"56.5184"</f>
        <v>56.5184</v>
      </c>
      <c r="D754" s="1" t="s">
        <v>745</v>
      </c>
      <c r="E754" t="s">
        <v>4862</v>
      </c>
    </row>
    <row r="755" spans="1:5" x14ac:dyDescent="0.35">
      <c r="A755" t="str">
        <f>"2013-01-02"</f>
        <v>2013-01-02</v>
      </c>
      <c r="B755" s="1" t="str">
        <f t="shared" si="11"/>
        <v>01/02/2013</v>
      </c>
      <c r="C755" t="str">
        <f>"57.2085"</f>
        <v>57.2085</v>
      </c>
      <c r="D755" s="1" t="s">
        <v>746</v>
      </c>
      <c r="E755" t="s">
        <v>4863</v>
      </c>
    </row>
    <row r="756" spans="1:5" x14ac:dyDescent="0.35">
      <c r="A756" t="str">
        <f>"2013-01-03"</f>
        <v>2013-01-03</v>
      </c>
      <c r="B756" s="1" t="str">
        <f t="shared" si="11"/>
        <v>01/03/2013</v>
      </c>
      <c r="C756" t="str">
        <f>"57.0841"</f>
        <v>57.0841</v>
      </c>
      <c r="D756" s="1" t="s">
        <v>747</v>
      </c>
      <c r="E756" t="s">
        <v>4864</v>
      </c>
    </row>
    <row r="757" spans="1:5" x14ac:dyDescent="0.35">
      <c r="A757" t="str">
        <f>"2013-01-04"</f>
        <v>2013-01-04</v>
      </c>
      <c r="B757" s="1" t="str">
        <f t="shared" si="11"/>
        <v>01/04/2013</v>
      </c>
      <c r="C757" t="str">
        <f>"58.1301"</f>
        <v>58.1301</v>
      </c>
      <c r="D757" s="1" t="s">
        <v>748</v>
      </c>
      <c r="E757" t="s">
        <v>4865</v>
      </c>
    </row>
    <row r="758" spans="1:5" x14ac:dyDescent="0.35">
      <c r="A758" t="str">
        <f>"2013-01-07"</f>
        <v>2013-01-07</v>
      </c>
      <c r="B758" s="1" t="str">
        <f t="shared" si="11"/>
        <v>01/07/2013</v>
      </c>
      <c r="C758" t="str">
        <f>"59.4514"</f>
        <v>59.4514</v>
      </c>
      <c r="D758" s="1" t="s">
        <v>749</v>
      </c>
      <c r="E758" t="s">
        <v>4866</v>
      </c>
    </row>
    <row r="759" spans="1:5" x14ac:dyDescent="0.35">
      <c r="A759" t="str">
        <f>"2013-01-08"</f>
        <v>2013-01-08</v>
      </c>
      <c r="B759" s="1" t="str">
        <f t="shared" si="11"/>
        <v>01/08/2013</v>
      </c>
      <c r="C759" t="str">
        <f>"59.1049"</f>
        <v>59.1049</v>
      </c>
      <c r="D759" s="1" t="s">
        <v>750</v>
      </c>
      <c r="E759" t="s">
        <v>4867</v>
      </c>
    </row>
    <row r="760" spans="1:5" x14ac:dyDescent="0.35">
      <c r="A760" t="str">
        <f>"2013-01-09"</f>
        <v>2013-01-09</v>
      </c>
      <c r="B760" s="1" t="str">
        <f t="shared" si="11"/>
        <v>01/09/2013</v>
      </c>
      <c r="C760" t="str">
        <f>"61.6148"</f>
        <v>61.6148</v>
      </c>
      <c r="D760" s="1" t="s">
        <v>751</v>
      </c>
      <c r="E760" t="s">
        <v>4868</v>
      </c>
    </row>
    <row r="761" spans="1:5" x14ac:dyDescent="0.35">
      <c r="A761" t="str">
        <f>"2013-01-10"</f>
        <v>2013-01-10</v>
      </c>
      <c r="B761" s="1" t="str">
        <f t="shared" si="11"/>
        <v>01/10/2013</v>
      </c>
      <c r="C761" t="str">
        <f>"60.3083"</f>
        <v>60.3083</v>
      </c>
      <c r="D761" s="1" t="s">
        <v>752</v>
      </c>
      <c r="E761" t="s">
        <v>4869</v>
      </c>
    </row>
    <row r="762" spans="1:5" x14ac:dyDescent="0.35">
      <c r="A762" t="str">
        <f>"2013-01-11"</f>
        <v>2013-01-11</v>
      </c>
      <c r="B762" s="1" t="str">
        <f t="shared" si="11"/>
        <v>01/11/2013</v>
      </c>
      <c r="C762" t="str">
        <f>"62.1697"</f>
        <v>62.1697</v>
      </c>
      <c r="D762" s="1" t="s">
        <v>753</v>
      </c>
      <c r="E762" t="s">
        <v>4870</v>
      </c>
    </row>
    <row r="763" spans="1:5" x14ac:dyDescent="0.35">
      <c r="A763" t="str">
        <f>"2013-01-14"</f>
        <v>2013-01-14</v>
      </c>
      <c r="B763" s="1" t="str">
        <f t="shared" si="11"/>
        <v>01/14/2013</v>
      </c>
      <c r="C763" t="str">
        <f>"60.8174"</f>
        <v>60.8174</v>
      </c>
      <c r="D763" s="1" t="s">
        <v>754</v>
      </c>
      <c r="E763" t="s">
        <v>4871</v>
      </c>
    </row>
    <row r="764" spans="1:5" x14ac:dyDescent="0.35">
      <c r="A764" t="str">
        <f>"2013-01-15"</f>
        <v>2013-01-15</v>
      </c>
      <c r="B764" s="1" t="str">
        <f t="shared" si="11"/>
        <v>01/15/2013</v>
      </c>
      <c r="C764" t="str">
        <f>"60.8831"</f>
        <v>60.8831</v>
      </c>
      <c r="D764" s="1" t="s">
        <v>755</v>
      </c>
      <c r="E764" t="s">
        <v>4872</v>
      </c>
    </row>
    <row r="765" spans="1:5" x14ac:dyDescent="0.35">
      <c r="A765" t="str">
        <f>"2013-01-16"</f>
        <v>2013-01-16</v>
      </c>
      <c r="B765" s="1" t="str">
        <f t="shared" si="11"/>
        <v>01/16/2013</v>
      </c>
      <c r="C765" t="str">
        <f>"60.7132"</f>
        <v>60.7132</v>
      </c>
      <c r="D765" s="1" t="s">
        <v>756</v>
      </c>
      <c r="E765" t="s">
        <v>4873</v>
      </c>
    </row>
    <row r="766" spans="1:5" x14ac:dyDescent="0.35">
      <c r="A766" t="str">
        <f>"2013-01-17"</f>
        <v>2013-01-17</v>
      </c>
      <c r="B766" s="1" t="str">
        <f t="shared" si="11"/>
        <v>01/17/2013</v>
      </c>
      <c r="C766" t="str">
        <f>"61.5084"</f>
        <v>61.5084</v>
      </c>
      <c r="D766" s="1" t="s">
        <v>757</v>
      </c>
      <c r="E766" t="s">
        <v>4874</v>
      </c>
    </row>
    <row r="767" spans="1:5" x14ac:dyDescent="0.35">
      <c r="A767" t="str">
        <f>"2013-01-18"</f>
        <v>2013-01-18</v>
      </c>
      <c r="B767" s="1" t="str">
        <f t="shared" si="11"/>
        <v>01/18/2013</v>
      </c>
      <c r="C767" t="str">
        <f>"62.0126"</f>
        <v>62.0126</v>
      </c>
      <c r="D767" s="1" t="s">
        <v>758</v>
      </c>
      <c r="E767" t="s">
        <v>4875</v>
      </c>
    </row>
    <row r="768" spans="1:5" x14ac:dyDescent="0.35">
      <c r="A768" t="str">
        <f>"2013-01-22"</f>
        <v>2013-01-22</v>
      </c>
      <c r="B768" s="1" t="str">
        <f t="shared" si="11"/>
        <v>01/22/2013</v>
      </c>
      <c r="C768" t="str">
        <f>"61.9451"</f>
        <v>61.9451</v>
      </c>
      <c r="D768" s="1" t="s">
        <v>759</v>
      </c>
      <c r="E768" t="s">
        <v>4876</v>
      </c>
    </row>
    <row r="769" spans="1:5" x14ac:dyDescent="0.35">
      <c r="A769" t="str">
        <f>"2013-01-23"</f>
        <v>2013-01-23</v>
      </c>
      <c r="B769" s="1" t="str">
        <f t="shared" si="11"/>
        <v>01/23/2013</v>
      </c>
      <c r="C769" t="str">
        <f>"62.963"</f>
        <v>62.963</v>
      </c>
      <c r="D769" s="1" t="s">
        <v>760</v>
      </c>
      <c r="E769" t="s">
        <v>4877</v>
      </c>
    </row>
    <row r="770" spans="1:5" x14ac:dyDescent="0.35">
      <c r="A770" t="str">
        <f>"2013-01-24"</f>
        <v>2013-01-24</v>
      </c>
      <c r="B770" s="1" t="str">
        <f t="shared" si="11"/>
        <v>01/24/2013</v>
      </c>
      <c r="C770" t="str">
        <f>"66.4201"</f>
        <v>66.4201</v>
      </c>
      <c r="D770" s="1" t="s">
        <v>761</v>
      </c>
      <c r="E770" t="s">
        <v>4878</v>
      </c>
    </row>
    <row r="771" spans="1:5" x14ac:dyDescent="0.35">
      <c r="A771" t="str">
        <f>"2013-01-25"</f>
        <v>2013-01-25</v>
      </c>
      <c r="B771" s="1" t="str">
        <f t="shared" ref="B771:B834" si="12">LEFT(RIGHT(A771,5),2)&amp;"/"&amp;RIGHT(A771,2)&amp;"/"&amp;LEFT(A771,4)</f>
        <v>01/25/2013</v>
      </c>
      <c r="C771" t="str">
        <f>"68.1481"</f>
        <v>68.1481</v>
      </c>
      <c r="D771" s="1" t="s">
        <v>762</v>
      </c>
      <c r="E771" t="s">
        <v>4879</v>
      </c>
    </row>
    <row r="772" spans="1:5" x14ac:dyDescent="0.35">
      <c r="A772" t="str">
        <f>"2013-01-28"</f>
        <v>2013-01-28</v>
      </c>
      <c r="B772" s="1" t="str">
        <f t="shared" si="12"/>
        <v>01/28/2013</v>
      </c>
      <c r="C772" t="str">
        <f>"64.2948"</f>
        <v>64.2948</v>
      </c>
      <c r="D772" s="1" t="s">
        <v>763</v>
      </c>
      <c r="E772" t="s">
        <v>4880</v>
      </c>
    </row>
    <row r="773" spans="1:5" x14ac:dyDescent="0.35">
      <c r="A773" t="str">
        <f>"2013-01-29"</f>
        <v>2013-01-29</v>
      </c>
      <c r="B773" s="1" t="str">
        <f t="shared" si="12"/>
        <v>01/29/2013</v>
      </c>
      <c r="C773" t="str">
        <f>"65.7669"</f>
        <v>65.7669</v>
      </c>
      <c r="D773" s="1" t="s">
        <v>764</v>
      </c>
      <c r="E773" t="s">
        <v>4881</v>
      </c>
    </row>
    <row r="774" spans="1:5" x14ac:dyDescent="0.35">
      <c r="A774" t="str">
        <f>"2013-01-30"</f>
        <v>2013-01-30</v>
      </c>
      <c r="B774" s="1" t="str">
        <f t="shared" si="12"/>
        <v>01/30/2013</v>
      </c>
      <c r="C774" t="str">
        <f>"61.949"</f>
        <v>61.949</v>
      </c>
      <c r="D774" s="1" t="s">
        <v>765</v>
      </c>
      <c r="E774" t="s">
        <v>4882</v>
      </c>
    </row>
    <row r="775" spans="1:5" x14ac:dyDescent="0.35">
      <c r="A775" t="str">
        <f>"2013-01-31"</f>
        <v>2013-01-31</v>
      </c>
      <c r="B775" s="1" t="str">
        <f t="shared" si="12"/>
        <v>01/31/2013</v>
      </c>
      <c r="C775" t="str">
        <f>"60.237"</f>
        <v>60.237</v>
      </c>
      <c r="D775" s="1" t="s">
        <v>766</v>
      </c>
      <c r="E775" t="s">
        <v>4883</v>
      </c>
    </row>
    <row r="776" spans="1:5" x14ac:dyDescent="0.35">
      <c r="A776" t="str">
        <f>"2013-02-01"</f>
        <v>2013-02-01</v>
      </c>
      <c r="B776" s="1" t="str">
        <f t="shared" si="12"/>
        <v>02/01/2013</v>
      </c>
      <c r="C776" t="str">
        <f>"60.3484"</f>
        <v>60.3484</v>
      </c>
      <c r="D776" s="1" t="s">
        <v>767</v>
      </c>
      <c r="E776" t="s">
        <v>4884</v>
      </c>
    </row>
    <row r="777" spans="1:5" x14ac:dyDescent="0.35">
      <c r="A777" t="str">
        <f>"2013-02-04"</f>
        <v>2013-02-04</v>
      </c>
      <c r="B777" s="1" t="str">
        <f t="shared" si="12"/>
        <v>02/04/2013</v>
      </c>
      <c r="C777" t="str">
        <f>"62.2365"</f>
        <v>62.2365</v>
      </c>
      <c r="D777" s="1" t="s">
        <v>768</v>
      </c>
      <c r="E777" t="s">
        <v>4885</v>
      </c>
    </row>
    <row r="778" spans="1:5" x14ac:dyDescent="0.35">
      <c r="A778" t="str">
        <f>"2013-02-05"</f>
        <v>2013-02-05</v>
      </c>
      <c r="B778" s="1" t="str">
        <f t="shared" si="12"/>
        <v>02/05/2013</v>
      </c>
      <c r="C778" t="str">
        <f>"62.241"</f>
        <v>62.241</v>
      </c>
      <c r="D778" s="1" t="s">
        <v>769</v>
      </c>
      <c r="E778" t="s">
        <v>4886</v>
      </c>
    </row>
    <row r="779" spans="1:5" x14ac:dyDescent="0.35">
      <c r="A779" t="str">
        <f>"2013-02-06"</f>
        <v>2013-02-06</v>
      </c>
      <c r="B779" s="1" t="str">
        <f t="shared" si="12"/>
        <v>02/06/2013</v>
      </c>
      <c r="C779" t="str">
        <f>"62.8192"</f>
        <v>62.8192</v>
      </c>
      <c r="D779" s="1" t="s">
        <v>770</v>
      </c>
      <c r="E779" t="s">
        <v>4887</v>
      </c>
    </row>
    <row r="780" spans="1:5" x14ac:dyDescent="0.35">
      <c r="A780" t="str">
        <f>"2013-02-07"</f>
        <v>2013-02-07</v>
      </c>
      <c r="B780" s="1" t="str">
        <f t="shared" si="12"/>
        <v>02/07/2013</v>
      </c>
      <c r="C780" t="str">
        <f>"61.1465"</f>
        <v>61.1465</v>
      </c>
      <c r="D780" s="1" t="s">
        <v>771</v>
      </c>
      <c r="E780" t="s">
        <v>4888</v>
      </c>
    </row>
    <row r="781" spans="1:5" x14ac:dyDescent="0.35">
      <c r="A781" t="str">
        <f>"2013-02-08"</f>
        <v>2013-02-08</v>
      </c>
      <c r="B781" s="1" t="str">
        <f t="shared" si="12"/>
        <v>02/08/2013</v>
      </c>
      <c r="C781" t="str">
        <f>"60.4337"</f>
        <v>60.4337</v>
      </c>
      <c r="D781" s="1" t="s">
        <v>772</v>
      </c>
      <c r="E781" t="s">
        <v>4889</v>
      </c>
    </row>
    <row r="782" spans="1:5" x14ac:dyDescent="0.35">
      <c r="A782" t="str">
        <f>"2013-02-11"</f>
        <v>2013-02-11</v>
      </c>
      <c r="B782" s="1" t="str">
        <f t="shared" si="12"/>
        <v>02/11/2013</v>
      </c>
      <c r="C782" t="str">
        <f>"60.2491"</f>
        <v>60.2491</v>
      </c>
      <c r="D782" s="1" t="s">
        <v>773</v>
      </c>
      <c r="E782" t="s">
        <v>4890</v>
      </c>
    </row>
    <row r="783" spans="1:5" x14ac:dyDescent="0.35">
      <c r="A783" t="str">
        <f>"2013-02-12"</f>
        <v>2013-02-12</v>
      </c>
      <c r="B783" s="1" t="str">
        <f t="shared" si="12"/>
        <v>02/12/2013</v>
      </c>
      <c r="C783" t="str">
        <f>"60.4479"</f>
        <v>60.4479</v>
      </c>
      <c r="D783" s="1" t="s">
        <v>774</v>
      </c>
      <c r="E783" t="s">
        <v>4891</v>
      </c>
    </row>
    <row r="784" spans="1:5" x14ac:dyDescent="0.35">
      <c r="A784" t="str">
        <f>"2013-02-13"</f>
        <v>2013-02-13</v>
      </c>
      <c r="B784" s="1" t="str">
        <f t="shared" si="12"/>
        <v>02/13/2013</v>
      </c>
      <c r="C784" t="str">
        <f>"60.7159"</f>
        <v>60.7159</v>
      </c>
      <c r="D784" s="1" t="s">
        <v>775</v>
      </c>
      <c r="E784" t="s">
        <v>4892</v>
      </c>
    </row>
    <row r="785" spans="1:5" x14ac:dyDescent="0.35">
      <c r="A785" t="str">
        <f>"2013-02-14"</f>
        <v>2013-02-14</v>
      </c>
      <c r="B785" s="1" t="str">
        <f t="shared" si="12"/>
        <v>02/14/2013</v>
      </c>
      <c r="C785" t="str">
        <f>"63.8027"</f>
        <v>63.8027</v>
      </c>
      <c r="D785" s="1" t="s">
        <v>776</v>
      </c>
      <c r="E785" t="s">
        <v>4893</v>
      </c>
    </row>
    <row r="786" spans="1:5" x14ac:dyDescent="0.35">
      <c r="A786" t="str">
        <f>"2013-02-15"</f>
        <v>2013-02-15</v>
      </c>
      <c r="B786" s="1" t="str">
        <f t="shared" si="12"/>
        <v>02/15/2013</v>
      </c>
      <c r="C786" t="str">
        <f>"67.3358"</f>
        <v>67.3358</v>
      </c>
      <c r="D786" s="1" t="s">
        <v>777</v>
      </c>
      <c r="E786" t="s">
        <v>4894</v>
      </c>
    </row>
    <row r="787" spans="1:5" x14ac:dyDescent="0.35">
      <c r="A787" t="str">
        <f>"2013-02-19"</f>
        <v>2013-02-19</v>
      </c>
      <c r="B787" s="1" t="str">
        <f t="shared" si="12"/>
        <v>02/19/2013</v>
      </c>
      <c r="C787" t="str">
        <f>"65.1416"</f>
        <v>65.1416</v>
      </c>
      <c r="D787" s="1" t="s">
        <v>778</v>
      </c>
      <c r="E787" t="s">
        <v>4895</v>
      </c>
    </row>
    <row r="788" spans="1:5" x14ac:dyDescent="0.35">
      <c r="A788" t="str">
        <f>"2013-02-20"</f>
        <v>2013-02-20</v>
      </c>
      <c r="B788" s="1" t="str">
        <f t="shared" si="12"/>
        <v>02/20/2013</v>
      </c>
      <c r="C788" t="str">
        <f>"66.8205"</f>
        <v>66.8205</v>
      </c>
      <c r="D788" s="1" t="s">
        <v>779</v>
      </c>
      <c r="E788" t="s">
        <v>4896</v>
      </c>
    </row>
    <row r="789" spans="1:5" x14ac:dyDescent="0.35">
      <c r="A789" t="str">
        <f>"2013-02-21"</f>
        <v>2013-02-21</v>
      </c>
      <c r="B789" s="1" t="str">
        <f t="shared" si="12"/>
        <v>02/21/2013</v>
      </c>
      <c r="C789" t="str">
        <f>"66.6462"</f>
        <v>66.6462</v>
      </c>
      <c r="D789" s="1" t="s">
        <v>780</v>
      </c>
      <c r="E789" t="s">
        <v>4897</v>
      </c>
    </row>
    <row r="790" spans="1:5" x14ac:dyDescent="0.35">
      <c r="A790" t="str">
        <f>"2013-02-22"</f>
        <v>2013-02-22</v>
      </c>
      <c r="B790" s="1" t="str">
        <f t="shared" si="12"/>
        <v>02/22/2013</v>
      </c>
      <c r="C790" t="str">
        <f>"65.2501"</f>
        <v>65.2501</v>
      </c>
      <c r="D790" s="1" t="s">
        <v>781</v>
      </c>
      <c r="E790" t="s">
        <v>4898</v>
      </c>
    </row>
    <row r="791" spans="1:5" x14ac:dyDescent="0.35">
      <c r="A791" t="str">
        <f>"2013-02-25"</f>
        <v>2013-02-25</v>
      </c>
      <c r="B791" s="1" t="str">
        <f t="shared" si="12"/>
        <v>02/25/2013</v>
      </c>
      <c r="C791" t="str">
        <f>"65.9652"</f>
        <v>65.9652</v>
      </c>
      <c r="D791" s="1" t="s">
        <v>782</v>
      </c>
      <c r="E791" t="s">
        <v>4899</v>
      </c>
    </row>
    <row r="792" spans="1:5" x14ac:dyDescent="0.35">
      <c r="A792" t="str">
        <f>"2013-02-26"</f>
        <v>2013-02-26</v>
      </c>
      <c r="B792" s="1" t="str">
        <f t="shared" si="12"/>
        <v>02/26/2013</v>
      </c>
      <c r="C792" t="str">
        <f>"65.12"</f>
        <v>65.12</v>
      </c>
      <c r="D792" s="1" t="s">
        <v>783</v>
      </c>
      <c r="E792" t="s">
        <v>4900</v>
      </c>
    </row>
    <row r="793" spans="1:5" x14ac:dyDescent="0.35">
      <c r="A793" t="str">
        <f>"2013-02-27"</f>
        <v>2013-02-27</v>
      </c>
      <c r="B793" s="1" t="str">
        <f t="shared" si="12"/>
        <v>02/27/2013</v>
      </c>
      <c r="C793" t="str">
        <f>"66.1411"</f>
        <v>66.1411</v>
      </c>
      <c r="D793" s="1" t="s">
        <v>784</v>
      </c>
      <c r="E793" t="s">
        <v>4901</v>
      </c>
    </row>
    <row r="794" spans="1:5" x14ac:dyDescent="0.35">
      <c r="A794" t="str">
        <f>"2013-02-28"</f>
        <v>2013-02-28</v>
      </c>
      <c r="B794" s="1" t="str">
        <f t="shared" si="12"/>
        <v>02/28/2013</v>
      </c>
      <c r="C794" t="str">
        <f>"71.2077"</f>
        <v>71.2077</v>
      </c>
      <c r="D794" s="1" t="s">
        <v>785</v>
      </c>
      <c r="E794" t="s">
        <v>4902</v>
      </c>
    </row>
    <row r="795" spans="1:5" x14ac:dyDescent="0.35">
      <c r="A795" t="str">
        <f>"2013-03-01"</f>
        <v>2013-03-01</v>
      </c>
      <c r="B795" s="1" t="str">
        <f t="shared" si="12"/>
        <v>03/01/2013</v>
      </c>
      <c r="C795" t="str">
        <f>"70.223"</f>
        <v>70.223</v>
      </c>
      <c r="D795" s="1" t="s">
        <v>786</v>
      </c>
      <c r="E795" t="s">
        <v>4903</v>
      </c>
    </row>
    <row r="796" spans="1:5" x14ac:dyDescent="0.35">
      <c r="A796" t="str">
        <f>"2013-03-04"</f>
        <v>2013-03-04</v>
      </c>
      <c r="B796" s="1" t="str">
        <f t="shared" si="12"/>
        <v>03/04/2013</v>
      </c>
      <c r="C796" t="str">
        <f>"71.7574"</f>
        <v>71.7574</v>
      </c>
      <c r="D796" s="1" t="s">
        <v>787</v>
      </c>
      <c r="E796" t="s">
        <v>4904</v>
      </c>
    </row>
    <row r="797" spans="1:5" x14ac:dyDescent="0.35">
      <c r="A797" t="str">
        <f>"2013-03-05"</f>
        <v>2013-03-05</v>
      </c>
      <c r="B797" s="1" t="str">
        <f t="shared" si="12"/>
        <v>03/05/2013</v>
      </c>
      <c r="C797" t="str">
        <f>"72.0608"</f>
        <v>72.0608</v>
      </c>
      <c r="D797" s="1" t="s">
        <v>788</v>
      </c>
      <c r="E797" t="s">
        <v>4905</v>
      </c>
    </row>
    <row r="798" spans="1:5" x14ac:dyDescent="0.35">
      <c r="A798" t="str">
        <f>"2013-03-06"</f>
        <v>2013-03-06</v>
      </c>
      <c r="B798" s="1" t="str">
        <f t="shared" si="12"/>
        <v>03/06/2013</v>
      </c>
      <c r="C798" t="str">
        <f>"73.8653"</f>
        <v>73.8653</v>
      </c>
      <c r="D798" s="1" t="s">
        <v>789</v>
      </c>
      <c r="E798" t="s">
        <v>4906</v>
      </c>
    </row>
    <row r="799" spans="1:5" x14ac:dyDescent="0.35">
      <c r="A799" t="str">
        <f>"2013-03-07"</f>
        <v>2013-03-07</v>
      </c>
      <c r="B799" s="1" t="str">
        <f t="shared" si="12"/>
        <v>03/07/2013</v>
      </c>
      <c r="C799" t="str">
        <f>"72.0428"</f>
        <v>72.0428</v>
      </c>
      <c r="D799" s="1" t="s">
        <v>790</v>
      </c>
      <c r="E799" t="s">
        <v>4907</v>
      </c>
    </row>
    <row r="800" spans="1:5" x14ac:dyDescent="0.35">
      <c r="A800" t="str">
        <f>"2013-03-08"</f>
        <v>2013-03-08</v>
      </c>
      <c r="B800" s="1" t="str">
        <f t="shared" si="12"/>
        <v>03/08/2013</v>
      </c>
      <c r="C800" t="str">
        <f>"72.3721"</f>
        <v>72.3721</v>
      </c>
      <c r="D800" s="1" t="s">
        <v>791</v>
      </c>
      <c r="E800" t="s">
        <v>4908</v>
      </c>
    </row>
    <row r="801" spans="1:5" x14ac:dyDescent="0.35">
      <c r="A801" t="str">
        <f>"2013-03-11"</f>
        <v>2013-03-11</v>
      </c>
      <c r="B801" s="1" t="str">
        <f t="shared" si="12"/>
        <v>03/11/2013</v>
      </c>
      <c r="C801" t="str">
        <f>"71.2627"</f>
        <v>71.2627</v>
      </c>
      <c r="D801" s="1" t="s">
        <v>792</v>
      </c>
      <c r="E801" t="s">
        <v>4909</v>
      </c>
    </row>
    <row r="802" spans="1:5" x14ac:dyDescent="0.35">
      <c r="A802" t="str">
        <f>"2013-03-12"</f>
        <v>2013-03-12</v>
      </c>
      <c r="B802" s="1" t="str">
        <f t="shared" si="12"/>
        <v>03/12/2013</v>
      </c>
      <c r="C802" t="str">
        <f>"71.8194"</f>
        <v>71.8194</v>
      </c>
      <c r="D802" s="1" t="s">
        <v>793</v>
      </c>
      <c r="E802" t="s">
        <v>4910</v>
      </c>
    </row>
    <row r="803" spans="1:5" x14ac:dyDescent="0.35">
      <c r="A803" t="str">
        <f>"2013-03-13"</f>
        <v>2013-03-13</v>
      </c>
      <c r="B803" s="1" t="str">
        <f t="shared" si="12"/>
        <v>03/13/2013</v>
      </c>
      <c r="C803" t="str">
        <f>"71.0584"</f>
        <v>71.0584</v>
      </c>
      <c r="D803" s="1" t="s">
        <v>794</v>
      </c>
      <c r="E803" t="s">
        <v>4911</v>
      </c>
    </row>
    <row r="804" spans="1:5" x14ac:dyDescent="0.35">
      <c r="A804" t="str">
        <f>"2013-03-14"</f>
        <v>2013-03-14</v>
      </c>
      <c r="B804" s="1" t="str">
        <f t="shared" si="12"/>
        <v>03/14/2013</v>
      </c>
      <c r="C804" t="str">
        <f>"69.0864"</f>
        <v>69.0864</v>
      </c>
      <c r="D804" s="1" t="s">
        <v>795</v>
      </c>
      <c r="E804" t="s">
        <v>4912</v>
      </c>
    </row>
    <row r="805" spans="1:5" x14ac:dyDescent="0.35">
      <c r="A805" t="str">
        <f>"2013-03-15"</f>
        <v>2013-03-15</v>
      </c>
      <c r="B805" s="1" t="str">
        <f t="shared" si="12"/>
        <v>03/15/2013</v>
      </c>
      <c r="C805" t="str">
        <f>"68.5254"</f>
        <v>68.5254</v>
      </c>
      <c r="D805" s="1" t="s">
        <v>796</v>
      </c>
      <c r="E805" t="s">
        <v>4913</v>
      </c>
    </row>
    <row r="806" spans="1:5" x14ac:dyDescent="0.35">
      <c r="A806" t="str">
        <f>"2013-03-18"</f>
        <v>2013-03-18</v>
      </c>
      <c r="B806" s="1" t="str">
        <f t="shared" si="12"/>
        <v>03/18/2013</v>
      </c>
      <c r="C806" t="str">
        <f>"67.0226"</f>
        <v>67.0226</v>
      </c>
      <c r="D806" s="1" t="s">
        <v>797</v>
      </c>
      <c r="E806" t="s">
        <v>4914</v>
      </c>
    </row>
    <row r="807" spans="1:5" x14ac:dyDescent="0.35">
      <c r="A807" t="str">
        <f>"2013-03-19"</f>
        <v>2013-03-19</v>
      </c>
      <c r="B807" s="1" t="str">
        <f t="shared" si="12"/>
        <v>03/19/2013</v>
      </c>
      <c r="C807" t="str">
        <f>"67.6137"</f>
        <v>67.6137</v>
      </c>
      <c r="D807" s="1" t="s">
        <v>798</v>
      </c>
      <c r="E807" t="s">
        <v>4915</v>
      </c>
    </row>
    <row r="808" spans="1:5" x14ac:dyDescent="0.35">
      <c r="A808" t="str">
        <f>"2013-03-20"</f>
        <v>2013-03-20</v>
      </c>
      <c r="B808" s="1" t="str">
        <f t="shared" si="12"/>
        <v>03/20/2013</v>
      </c>
      <c r="C808" t="str">
        <f>"68.4008"</f>
        <v>68.4008</v>
      </c>
      <c r="D808" s="1" t="s">
        <v>799</v>
      </c>
      <c r="E808" t="s">
        <v>4916</v>
      </c>
    </row>
    <row r="809" spans="1:5" x14ac:dyDescent="0.35">
      <c r="A809" t="str">
        <f>"2013-03-21"</f>
        <v>2013-03-21</v>
      </c>
      <c r="B809" s="1" t="str">
        <f t="shared" si="12"/>
        <v>03/21/2013</v>
      </c>
      <c r="C809" t="str">
        <f>"68.0985"</f>
        <v>68.0985</v>
      </c>
      <c r="D809" s="1" t="s">
        <v>800</v>
      </c>
      <c r="E809" t="s">
        <v>4917</v>
      </c>
    </row>
    <row r="810" spans="1:5" x14ac:dyDescent="0.35">
      <c r="A810" t="str">
        <f>"2013-03-22"</f>
        <v>2013-03-22</v>
      </c>
      <c r="B810" s="1" t="str">
        <f t="shared" si="12"/>
        <v>03/22/2013</v>
      </c>
      <c r="C810" t="str">
        <f>"67.8309"</f>
        <v>67.8309</v>
      </c>
      <c r="D810" s="1" t="s">
        <v>801</v>
      </c>
      <c r="E810" t="s">
        <v>4918</v>
      </c>
    </row>
    <row r="811" spans="1:5" x14ac:dyDescent="0.35">
      <c r="A811" t="str">
        <f>"2013-03-25"</f>
        <v>2013-03-25</v>
      </c>
      <c r="B811" s="1" t="str">
        <f t="shared" si="12"/>
        <v>03/25/2013</v>
      </c>
      <c r="C811" t="str">
        <f>"69.4282"</f>
        <v>69.4282</v>
      </c>
      <c r="D811" s="1" t="s">
        <v>802</v>
      </c>
      <c r="E811" t="s">
        <v>4919</v>
      </c>
    </row>
    <row r="812" spans="1:5" x14ac:dyDescent="0.35">
      <c r="A812" t="str">
        <f>"2013-03-26"</f>
        <v>2013-03-26</v>
      </c>
      <c r="B812" s="1" t="str">
        <f t="shared" si="12"/>
        <v>03/26/2013</v>
      </c>
      <c r="C812" t="str">
        <f>"68.7021"</f>
        <v>68.7021</v>
      </c>
      <c r="D812" s="1" t="s">
        <v>803</v>
      </c>
      <c r="E812" t="s">
        <v>4920</v>
      </c>
    </row>
    <row r="813" spans="1:5" x14ac:dyDescent="0.35">
      <c r="A813" t="str">
        <f>"2013-03-27"</f>
        <v>2013-03-27</v>
      </c>
      <c r="B813" s="1" t="str">
        <f t="shared" si="12"/>
        <v>03/27/2013</v>
      </c>
      <c r="C813" t="str">
        <f>"68.369"</f>
        <v>68.369</v>
      </c>
      <c r="D813" s="1" t="s">
        <v>804</v>
      </c>
      <c r="E813" t="s">
        <v>4921</v>
      </c>
    </row>
    <row r="814" spans="1:5" x14ac:dyDescent="0.35">
      <c r="A814" t="str">
        <f>"2013-03-28"</f>
        <v>2013-03-28</v>
      </c>
      <c r="B814" s="1" t="str">
        <f t="shared" si="12"/>
        <v>03/28/2013</v>
      </c>
      <c r="C814" t="str">
        <f>"69.2689"</f>
        <v>69.2689</v>
      </c>
      <c r="D814" s="1" t="s">
        <v>805</v>
      </c>
      <c r="E814" t="s">
        <v>4922</v>
      </c>
    </row>
    <row r="815" spans="1:5" x14ac:dyDescent="0.35">
      <c r="A815" t="str">
        <f>"2013-04-01"</f>
        <v>2013-04-01</v>
      </c>
      <c r="B815" s="1" t="str">
        <f t="shared" si="12"/>
        <v>04/01/2013</v>
      </c>
      <c r="C815" t="str">
        <f>"69.7068"</f>
        <v>69.7068</v>
      </c>
      <c r="D815" s="1" t="s">
        <v>806</v>
      </c>
      <c r="E815" t="s">
        <v>4923</v>
      </c>
    </row>
    <row r="816" spans="1:5" x14ac:dyDescent="0.35">
      <c r="A816" t="str">
        <f>"2013-04-02"</f>
        <v>2013-04-02</v>
      </c>
      <c r="B816" s="1" t="str">
        <f t="shared" si="12"/>
        <v>04/02/2013</v>
      </c>
      <c r="C816" t="str">
        <f>"70.6301"</f>
        <v>70.6301</v>
      </c>
      <c r="D816" s="1" t="s">
        <v>807</v>
      </c>
      <c r="E816" t="s">
        <v>4924</v>
      </c>
    </row>
    <row r="817" spans="1:5" x14ac:dyDescent="0.35">
      <c r="A817" t="str">
        <f>"2013-04-03"</f>
        <v>2013-04-03</v>
      </c>
      <c r="B817" s="1" t="str">
        <f t="shared" si="12"/>
        <v>04/03/2013</v>
      </c>
      <c r="C817" t="str">
        <f>"71.6961"</f>
        <v>71.6961</v>
      </c>
      <c r="D817" s="1" t="s">
        <v>808</v>
      </c>
      <c r="E817" t="s">
        <v>4925</v>
      </c>
    </row>
    <row r="818" spans="1:5" x14ac:dyDescent="0.35">
      <c r="A818" t="str">
        <f>"2013-04-04"</f>
        <v>2013-04-04</v>
      </c>
      <c r="B818" s="1" t="str">
        <f t="shared" si="12"/>
        <v>04/04/2013</v>
      </c>
      <c r="C818" t="str">
        <f>"71.1936"</f>
        <v>71.1936</v>
      </c>
      <c r="D818" s="1" t="s">
        <v>809</v>
      </c>
      <c r="E818" t="s">
        <v>4926</v>
      </c>
    </row>
    <row r="819" spans="1:5" x14ac:dyDescent="0.35">
      <c r="A819" t="str">
        <f>"2013-04-05"</f>
        <v>2013-04-05</v>
      </c>
      <c r="B819" s="1" t="str">
        <f t="shared" si="12"/>
        <v>04/05/2013</v>
      </c>
      <c r="C819" t="str">
        <f>"68.0443"</f>
        <v>68.0443</v>
      </c>
      <c r="D819" s="1" t="s">
        <v>810</v>
      </c>
      <c r="E819" t="s">
        <v>4927</v>
      </c>
    </row>
    <row r="820" spans="1:5" x14ac:dyDescent="0.35">
      <c r="A820" t="str">
        <f>"2013-04-08"</f>
        <v>2013-04-08</v>
      </c>
      <c r="B820" s="1" t="str">
        <f t="shared" si="12"/>
        <v>04/08/2013</v>
      </c>
      <c r="C820" t="str">
        <f>"68.3741"</f>
        <v>68.3741</v>
      </c>
      <c r="D820" s="1" t="s">
        <v>811</v>
      </c>
      <c r="E820" t="s">
        <v>4928</v>
      </c>
    </row>
    <row r="821" spans="1:5" x14ac:dyDescent="0.35">
      <c r="A821" t="str">
        <f>"2013-04-09"</f>
        <v>2013-04-09</v>
      </c>
      <c r="B821" s="1" t="str">
        <f t="shared" si="12"/>
        <v>04/09/2013</v>
      </c>
      <c r="C821" t="str">
        <f>"68.5874"</f>
        <v>68.5874</v>
      </c>
      <c r="D821" s="1" t="s">
        <v>812</v>
      </c>
      <c r="E821" t="s">
        <v>4929</v>
      </c>
    </row>
    <row r="822" spans="1:5" x14ac:dyDescent="0.35">
      <c r="A822" t="str">
        <f>"2013-04-10"</f>
        <v>2013-04-10</v>
      </c>
      <c r="B822" s="1" t="str">
        <f t="shared" si="12"/>
        <v>04/10/2013</v>
      </c>
      <c r="C822" t="str">
        <f>"68.726"</f>
        <v>68.726</v>
      </c>
      <c r="D822" s="1" t="s">
        <v>813</v>
      </c>
      <c r="E822" t="s">
        <v>4930</v>
      </c>
    </row>
    <row r="823" spans="1:5" x14ac:dyDescent="0.35">
      <c r="A823" t="str">
        <f>"2013-04-11"</f>
        <v>2013-04-11</v>
      </c>
      <c r="B823" s="1" t="str">
        <f t="shared" si="12"/>
        <v>04/11/2013</v>
      </c>
      <c r="C823" t="str">
        <f>"68.5983"</f>
        <v>68.5983</v>
      </c>
      <c r="D823" s="1" t="s">
        <v>814</v>
      </c>
      <c r="E823" t="s">
        <v>4931</v>
      </c>
    </row>
    <row r="824" spans="1:5" x14ac:dyDescent="0.35">
      <c r="A824" t="str">
        <f>"2013-04-12"</f>
        <v>2013-04-12</v>
      </c>
      <c r="B824" s="1" t="str">
        <f t="shared" si="12"/>
        <v>04/12/2013</v>
      </c>
      <c r="C824" t="str">
        <f>"69.69"</f>
        <v>69.69</v>
      </c>
      <c r="D824" s="1" t="s">
        <v>815</v>
      </c>
      <c r="E824" t="s">
        <v>4932</v>
      </c>
    </row>
    <row r="825" spans="1:5" x14ac:dyDescent="0.35">
      <c r="A825" t="str">
        <f>"2013-04-15"</f>
        <v>2013-04-15</v>
      </c>
      <c r="B825" s="1" t="str">
        <f t="shared" si="12"/>
        <v>04/15/2013</v>
      </c>
      <c r="C825" t="str">
        <f>"78.4337"</f>
        <v>78.4337</v>
      </c>
      <c r="D825" s="1" t="s">
        <v>816</v>
      </c>
      <c r="E825" t="s">
        <v>4933</v>
      </c>
    </row>
    <row r="826" spans="1:5" x14ac:dyDescent="0.35">
      <c r="A826" t="str">
        <f>"2013-04-16"</f>
        <v>2013-04-16</v>
      </c>
      <c r="B826" s="1" t="str">
        <f t="shared" si="12"/>
        <v>04/16/2013</v>
      </c>
      <c r="C826" t="str">
        <f>"78.0779"</f>
        <v>78.0779</v>
      </c>
      <c r="D826" s="1" t="s">
        <v>817</v>
      </c>
      <c r="E826" t="s">
        <v>4934</v>
      </c>
    </row>
    <row r="827" spans="1:5" x14ac:dyDescent="0.35">
      <c r="A827" t="str">
        <f>"2013-04-17"</f>
        <v>2013-04-17</v>
      </c>
      <c r="B827" s="1" t="str">
        <f t="shared" si="12"/>
        <v>04/17/2013</v>
      </c>
      <c r="C827" t="str">
        <f>"79.4987"</f>
        <v>79.4987</v>
      </c>
      <c r="D827" s="1" t="s">
        <v>818</v>
      </c>
      <c r="E827" t="s">
        <v>4935</v>
      </c>
    </row>
    <row r="828" spans="1:5" x14ac:dyDescent="0.35">
      <c r="A828" t="str">
        <f>"2013-04-18"</f>
        <v>2013-04-18</v>
      </c>
      <c r="B828" s="1" t="str">
        <f t="shared" si="12"/>
        <v>04/18/2013</v>
      </c>
      <c r="C828" t="str">
        <f>"76.7099"</f>
        <v>76.7099</v>
      </c>
      <c r="D828" s="1" t="s">
        <v>819</v>
      </c>
      <c r="E828" t="s">
        <v>4936</v>
      </c>
    </row>
    <row r="829" spans="1:5" x14ac:dyDescent="0.35">
      <c r="A829" t="str">
        <f>"2013-04-19"</f>
        <v>2013-04-19</v>
      </c>
      <c r="B829" s="1" t="str">
        <f t="shared" si="12"/>
        <v>04/19/2013</v>
      </c>
      <c r="C829" t="str">
        <f>"76.4447"</f>
        <v>76.4447</v>
      </c>
      <c r="D829" s="1" t="s">
        <v>820</v>
      </c>
      <c r="E829" t="s">
        <v>4937</v>
      </c>
    </row>
    <row r="830" spans="1:5" x14ac:dyDescent="0.35">
      <c r="A830" t="str">
        <f>"2013-04-22"</f>
        <v>2013-04-22</v>
      </c>
      <c r="B830" s="1" t="str">
        <f t="shared" si="12"/>
        <v>04/22/2013</v>
      </c>
      <c r="C830" t="str">
        <f>"75.6675"</f>
        <v>75.6675</v>
      </c>
      <c r="D830" s="1" t="s">
        <v>821</v>
      </c>
      <c r="E830" t="s">
        <v>4938</v>
      </c>
    </row>
    <row r="831" spans="1:5" x14ac:dyDescent="0.35">
      <c r="A831" t="str">
        <f>"2013-04-23"</f>
        <v>2013-04-23</v>
      </c>
      <c r="B831" s="1" t="str">
        <f t="shared" si="12"/>
        <v>04/23/2013</v>
      </c>
      <c r="C831" t="str">
        <f>"76.2113"</f>
        <v>76.2113</v>
      </c>
      <c r="D831" s="1" t="s">
        <v>822</v>
      </c>
      <c r="E831" t="s">
        <v>4939</v>
      </c>
    </row>
    <row r="832" spans="1:5" x14ac:dyDescent="0.35">
      <c r="A832" t="str">
        <f>"2013-04-24"</f>
        <v>2013-04-24</v>
      </c>
      <c r="B832" s="1" t="str">
        <f t="shared" si="12"/>
        <v>04/24/2013</v>
      </c>
      <c r="C832" t="str">
        <f>"78.2317"</f>
        <v>78.2317</v>
      </c>
      <c r="D832" s="1" t="s">
        <v>823</v>
      </c>
      <c r="E832" t="s">
        <v>4940</v>
      </c>
    </row>
    <row r="833" spans="1:5" x14ac:dyDescent="0.35">
      <c r="A833" t="str">
        <f>"2013-04-25"</f>
        <v>2013-04-25</v>
      </c>
      <c r="B833" s="1" t="str">
        <f t="shared" si="12"/>
        <v>04/25/2013</v>
      </c>
      <c r="C833" t="str">
        <f>"76.5911"</f>
        <v>76.5911</v>
      </c>
      <c r="D833" s="1" t="s">
        <v>824</v>
      </c>
      <c r="E833" t="s">
        <v>4941</v>
      </c>
    </row>
    <row r="834" spans="1:5" x14ac:dyDescent="0.35">
      <c r="A834" t="str">
        <f>"2013-04-26"</f>
        <v>2013-04-26</v>
      </c>
      <c r="B834" s="1" t="str">
        <f t="shared" si="12"/>
        <v>04/26/2013</v>
      </c>
      <c r="C834" t="str">
        <f>"78.8436"</f>
        <v>78.8436</v>
      </c>
      <c r="D834" s="1" t="s">
        <v>825</v>
      </c>
      <c r="E834" t="s">
        <v>4942</v>
      </c>
    </row>
    <row r="835" spans="1:5" x14ac:dyDescent="0.35">
      <c r="A835" t="str">
        <f>"2013-04-29"</f>
        <v>2013-04-29</v>
      </c>
      <c r="B835" s="1" t="str">
        <f t="shared" ref="B835:B898" si="13">LEFT(RIGHT(A835,5),2)&amp;"/"&amp;RIGHT(A835,2)&amp;"/"&amp;LEFT(A835,4)</f>
        <v>04/29/2013</v>
      </c>
      <c r="C835" t="str">
        <f>"76.1751"</f>
        <v>76.1751</v>
      </c>
      <c r="D835" s="1" t="s">
        <v>826</v>
      </c>
      <c r="E835" t="s">
        <v>4943</v>
      </c>
    </row>
    <row r="836" spans="1:5" x14ac:dyDescent="0.35">
      <c r="A836" t="str">
        <f>"2013-04-30"</f>
        <v>2013-04-30</v>
      </c>
      <c r="B836" s="1" t="str">
        <f t="shared" si="13"/>
        <v>04/30/2013</v>
      </c>
      <c r="C836" t="str">
        <f>"76.4109"</f>
        <v>76.4109</v>
      </c>
      <c r="D836" s="1" t="s">
        <v>827</v>
      </c>
      <c r="E836" t="s">
        <v>4944</v>
      </c>
    </row>
    <row r="837" spans="1:5" x14ac:dyDescent="0.35">
      <c r="A837" t="str">
        <f>"2013-05-01"</f>
        <v>2013-05-01</v>
      </c>
      <c r="B837" s="1" t="str">
        <f t="shared" si="13"/>
        <v>05/01/2013</v>
      </c>
      <c r="C837" t="str">
        <f>"77.8878"</f>
        <v>77.8878</v>
      </c>
      <c r="D837" s="1" t="s">
        <v>828</v>
      </c>
      <c r="E837" t="s">
        <v>4945</v>
      </c>
    </row>
    <row r="838" spans="1:5" x14ac:dyDescent="0.35">
      <c r="A838" t="str">
        <f>"2013-05-02"</f>
        <v>2013-05-02</v>
      </c>
      <c r="B838" s="1" t="str">
        <f t="shared" si="13"/>
        <v>05/02/2013</v>
      </c>
      <c r="C838" t="str">
        <f>"78.5694"</f>
        <v>78.5694</v>
      </c>
      <c r="D838" s="1" t="s">
        <v>829</v>
      </c>
      <c r="E838" t="s">
        <v>4946</v>
      </c>
    </row>
    <row r="839" spans="1:5" x14ac:dyDescent="0.35">
      <c r="A839" t="str">
        <f>"2013-05-03"</f>
        <v>2013-05-03</v>
      </c>
      <c r="B839" s="1" t="str">
        <f t="shared" si="13"/>
        <v>05/03/2013</v>
      </c>
      <c r="C839" t="str">
        <f>"81.1737"</f>
        <v>81.1737</v>
      </c>
      <c r="D839" s="1" t="s">
        <v>830</v>
      </c>
      <c r="E839" t="s">
        <v>4947</v>
      </c>
    </row>
    <row r="840" spans="1:5" x14ac:dyDescent="0.35">
      <c r="A840" t="str">
        <f>"2013-05-06"</f>
        <v>2013-05-06</v>
      </c>
      <c r="B840" s="1" t="str">
        <f t="shared" si="13"/>
        <v>05/06/2013</v>
      </c>
      <c r="C840" t="str">
        <f>"83.6275"</f>
        <v>83.6275</v>
      </c>
      <c r="D840" s="1" t="s">
        <v>831</v>
      </c>
      <c r="E840" t="s">
        <v>4948</v>
      </c>
    </row>
    <row r="841" spans="1:5" x14ac:dyDescent="0.35">
      <c r="A841" t="str">
        <f>"2013-05-07"</f>
        <v>2013-05-07</v>
      </c>
      <c r="B841" s="1" t="str">
        <f t="shared" si="13"/>
        <v>05/07/2013</v>
      </c>
      <c r="C841" t="str">
        <f>"82.7196"</f>
        <v>82.7196</v>
      </c>
      <c r="D841" s="1" t="s">
        <v>832</v>
      </c>
      <c r="E841" t="s">
        <v>4949</v>
      </c>
    </row>
    <row r="842" spans="1:5" x14ac:dyDescent="0.35">
      <c r="A842" t="str">
        <f>"2013-05-08"</f>
        <v>2013-05-08</v>
      </c>
      <c r="B842" s="1" t="str">
        <f t="shared" si="13"/>
        <v>05/08/2013</v>
      </c>
      <c r="C842" t="str">
        <f>"82.1427"</f>
        <v>82.1427</v>
      </c>
      <c r="D842" s="1" t="s">
        <v>833</v>
      </c>
      <c r="E842" t="s">
        <v>4950</v>
      </c>
    </row>
    <row r="843" spans="1:5" x14ac:dyDescent="0.35">
      <c r="A843" t="str">
        <f>"2013-05-09"</f>
        <v>2013-05-09</v>
      </c>
      <c r="B843" s="1" t="str">
        <f t="shared" si="13"/>
        <v>05/09/2013</v>
      </c>
      <c r="C843" t="str">
        <f>"82.3332"</f>
        <v>82.3332</v>
      </c>
      <c r="D843" s="1" t="s">
        <v>834</v>
      </c>
      <c r="E843" t="s">
        <v>4951</v>
      </c>
    </row>
    <row r="844" spans="1:5" x14ac:dyDescent="0.35">
      <c r="A844" t="str">
        <f>"2013-05-10"</f>
        <v>2013-05-10</v>
      </c>
      <c r="B844" s="1" t="str">
        <f t="shared" si="13"/>
        <v>05/10/2013</v>
      </c>
      <c r="C844" t="str">
        <f>"84.2975"</f>
        <v>84.2975</v>
      </c>
      <c r="D844" s="1" t="s">
        <v>835</v>
      </c>
      <c r="E844" t="s">
        <v>4952</v>
      </c>
    </row>
    <row r="845" spans="1:5" x14ac:dyDescent="0.35">
      <c r="A845" t="str">
        <f>"2013-05-13"</f>
        <v>2013-05-13</v>
      </c>
      <c r="B845" s="1" t="str">
        <f t="shared" si="13"/>
        <v>05/13/2013</v>
      </c>
      <c r="C845" t="str">
        <f>"83.6752"</f>
        <v>83.6752</v>
      </c>
      <c r="D845" s="1" t="s">
        <v>836</v>
      </c>
      <c r="E845" t="s">
        <v>4953</v>
      </c>
    </row>
    <row r="846" spans="1:5" x14ac:dyDescent="0.35">
      <c r="A846" t="str">
        <f>"2013-05-14"</f>
        <v>2013-05-14</v>
      </c>
      <c r="B846" s="1" t="str">
        <f t="shared" si="13"/>
        <v>05/14/2013</v>
      </c>
      <c r="C846" t="str">
        <f>"84.9411"</f>
        <v>84.9411</v>
      </c>
      <c r="D846" s="1" t="s">
        <v>837</v>
      </c>
      <c r="E846" t="s">
        <v>4954</v>
      </c>
    </row>
    <row r="847" spans="1:5" x14ac:dyDescent="0.35">
      <c r="A847" t="str">
        <f>"2013-05-15"</f>
        <v>2013-05-15</v>
      </c>
      <c r="B847" s="1" t="str">
        <f t="shared" si="13"/>
        <v>05/15/2013</v>
      </c>
      <c r="C847" t="str">
        <f>"89.2195"</f>
        <v>89.2195</v>
      </c>
      <c r="D847" s="1" t="s">
        <v>838</v>
      </c>
      <c r="E847" t="s">
        <v>4955</v>
      </c>
    </row>
    <row r="848" spans="1:5" x14ac:dyDescent="0.35">
      <c r="A848" t="str">
        <f>"2013-05-16"</f>
        <v>2013-05-16</v>
      </c>
      <c r="B848" s="1" t="str">
        <f t="shared" si="13"/>
        <v>05/16/2013</v>
      </c>
      <c r="C848" t="str">
        <f>"88.3922"</f>
        <v>88.3922</v>
      </c>
      <c r="D848" s="1" t="s">
        <v>839</v>
      </c>
      <c r="E848" t="s">
        <v>4956</v>
      </c>
    </row>
    <row r="849" spans="1:5" x14ac:dyDescent="0.35">
      <c r="A849" t="str">
        <f>"2013-05-17"</f>
        <v>2013-05-17</v>
      </c>
      <c r="B849" s="1" t="str">
        <f t="shared" si="13"/>
        <v>05/17/2013</v>
      </c>
      <c r="C849" t="str">
        <f>"90.881"</f>
        <v>90.881</v>
      </c>
      <c r="D849" s="1" t="s">
        <v>840</v>
      </c>
      <c r="E849" t="s">
        <v>4957</v>
      </c>
    </row>
    <row r="850" spans="1:5" x14ac:dyDescent="0.35">
      <c r="A850" t="str">
        <f>"2013-05-20"</f>
        <v>2013-05-20</v>
      </c>
      <c r="B850" s="1" t="str">
        <f t="shared" si="13"/>
        <v>05/20/2013</v>
      </c>
      <c r="C850" t="str">
        <f>"88.8831"</f>
        <v>88.8831</v>
      </c>
      <c r="D850" s="1" t="s">
        <v>841</v>
      </c>
      <c r="E850" t="s">
        <v>4958</v>
      </c>
    </row>
    <row r="851" spans="1:5" x14ac:dyDescent="0.35">
      <c r="A851" t="str">
        <f>"2013-05-21"</f>
        <v>2013-05-21</v>
      </c>
      <c r="B851" s="1" t="str">
        <f t="shared" si="13"/>
        <v>05/21/2013</v>
      </c>
      <c r="C851" t="str">
        <f>"92.1562"</f>
        <v>92.1562</v>
      </c>
      <c r="D851" s="1" t="s">
        <v>842</v>
      </c>
      <c r="E851" t="s">
        <v>4959</v>
      </c>
    </row>
    <row r="852" spans="1:5" x14ac:dyDescent="0.35">
      <c r="A852" t="str">
        <f>"2013-05-22"</f>
        <v>2013-05-22</v>
      </c>
      <c r="B852" s="1" t="str">
        <f t="shared" si="13"/>
        <v>05/22/2013</v>
      </c>
      <c r="C852" t="str">
        <f>"92.9745"</f>
        <v>92.9745</v>
      </c>
      <c r="D852" s="1" t="s">
        <v>843</v>
      </c>
      <c r="E852" t="s">
        <v>4960</v>
      </c>
    </row>
    <row r="853" spans="1:5" x14ac:dyDescent="0.35">
      <c r="A853" t="str">
        <f>"2013-05-23"</f>
        <v>2013-05-23</v>
      </c>
      <c r="B853" s="1" t="str">
        <f t="shared" si="13"/>
        <v>05/23/2013</v>
      </c>
      <c r="C853" t="str">
        <f>"91.9038"</f>
        <v>91.9038</v>
      </c>
      <c r="D853" s="1" t="s">
        <v>844</v>
      </c>
      <c r="E853" t="s">
        <v>4961</v>
      </c>
    </row>
    <row r="854" spans="1:5" x14ac:dyDescent="0.35">
      <c r="A854" t="str">
        <f>"2013-05-24"</f>
        <v>2013-05-24</v>
      </c>
      <c r="B854" s="1" t="str">
        <f t="shared" si="13"/>
        <v>05/24/2013</v>
      </c>
      <c r="C854" t="str">
        <f>"93.408"</f>
        <v>93.408</v>
      </c>
      <c r="D854" s="1" t="s">
        <v>845</v>
      </c>
      <c r="E854" t="s">
        <v>4962</v>
      </c>
    </row>
    <row r="855" spans="1:5" x14ac:dyDescent="0.35">
      <c r="A855" t="str">
        <f>"2013-05-28"</f>
        <v>2013-05-28</v>
      </c>
      <c r="B855" s="1" t="str">
        <f t="shared" si="13"/>
        <v>05/28/2013</v>
      </c>
      <c r="C855" t="str">
        <f>"95.5646"</f>
        <v>95.5646</v>
      </c>
      <c r="D855" s="1" t="s">
        <v>846</v>
      </c>
      <c r="E855" t="s">
        <v>4963</v>
      </c>
    </row>
    <row r="856" spans="1:5" x14ac:dyDescent="0.35">
      <c r="A856" t="str">
        <f>"2013-05-29"</f>
        <v>2013-05-29</v>
      </c>
      <c r="B856" s="1" t="str">
        <f t="shared" si="13"/>
        <v>05/29/2013</v>
      </c>
      <c r="C856" t="str">
        <f>"91.9834"</f>
        <v>91.9834</v>
      </c>
      <c r="D856" s="1" t="s">
        <v>847</v>
      </c>
      <c r="E856" t="s">
        <v>4964</v>
      </c>
    </row>
    <row r="857" spans="1:5" x14ac:dyDescent="0.35">
      <c r="A857" t="str">
        <f>"2013-05-30"</f>
        <v>2013-05-30</v>
      </c>
      <c r="B857" s="1" t="str">
        <f t="shared" si="13"/>
        <v>05/30/2013</v>
      </c>
      <c r="C857" t="str">
        <f>"90.0014"</f>
        <v>90.0014</v>
      </c>
      <c r="D857" s="1" t="s">
        <v>848</v>
      </c>
      <c r="E857" t="s">
        <v>4965</v>
      </c>
    </row>
    <row r="858" spans="1:5" x14ac:dyDescent="0.35">
      <c r="A858" t="str">
        <f>"2013-05-31"</f>
        <v>2013-05-31</v>
      </c>
      <c r="B858" s="1" t="str">
        <f t="shared" si="13"/>
        <v>05/31/2013</v>
      </c>
      <c r="C858" t="str">
        <f>"90.2891"</f>
        <v>90.2891</v>
      </c>
      <c r="D858" s="1" t="s">
        <v>849</v>
      </c>
      <c r="E858" t="s">
        <v>4966</v>
      </c>
    </row>
    <row r="859" spans="1:5" x14ac:dyDescent="0.35">
      <c r="A859" t="str">
        <f>"2013-06-03"</f>
        <v>2013-06-03</v>
      </c>
      <c r="B859" s="1" t="str">
        <f t="shared" si="13"/>
        <v>06/03/2013</v>
      </c>
      <c r="C859" t="str">
        <f>"75.1817"</f>
        <v>75.1817</v>
      </c>
      <c r="D859" s="1" t="s">
        <v>850</v>
      </c>
      <c r="E859" t="s">
        <v>4967</v>
      </c>
    </row>
    <row r="860" spans="1:5" x14ac:dyDescent="0.35">
      <c r="A860" t="str">
        <f>"2013-06-04"</f>
        <v>2013-06-04</v>
      </c>
      <c r="B860" s="1" t="str">
        <f t="shared" si="13"/>
        <v>06/04/2013</v>
      </c>
      <c r="C860" t="str">
        <f>"82.8377"</f>
        <v>82.8377</v>
      </c>
      <c r="D860" s="1" t="s">
        <v>851</v>
      </c>
      <c r="E860" t="s">
        <v>4968</v>
      </c>
    </row>
    <row r="861" spans="1:5" x14ac:dyDescent="0.35">
      <c r="A861" t="str">
        <f>"2013-06-05"</f>
        <v>2013-06-05</v>
      </c>
      <c r="B861" s="1" t="str">
        <f t="shared" si="13"/>
        <v>06/05/2013</v>
      </c>
      <c r="C861" t="str">
        <f>"84.3373"</f>
        <v>84.3373</v>
      </c>
      <c r="D861" s="1" t="s">
        <v>852</v>
      </c>
      <c r="E861" t="s">
        <v>4969</v>
      </c>
    </row>
    <row r="862" spans="1:5" x14ac:dyDescent="0.35">
      <c r="A862" t="str">
        <f>"2013-06-06"</f>
        <v>2013-06-06</v>
      </c>
      <c r="B862" s="1" t="str">
        <f t="shared" si="13"/>
        <v>06/06/2013</v>
      </c>
      <c r="C862" t="str">
        <f>"77.9623"</f>
        <v>77.9623</v>
      </c>
      <c r="D862" s="1" t="s">
        <v>853</v>
      </c>
      <c r="E862" t="s">
        <v>4970</v>
      </c>
    </row>
    <row r="863" spans="1:5" x14ac:dyDescent="0.35">
      <c r="A863" t="str">
        <f>"2013-06-07"</f>
        <v>2013-06-07</v>
      </c>
      <c r="B863" s="1" t="str">
        <f t="shared" si="13"/>
        <v>06/07/2013</v>
      </c>
      <c r="C863" t="str">
        <f>"83.5086"</f>
        <v>83.5086</v>
      </c>
      <c r="D863" s="1" t="s">
        <v>854</v>
      </c>
      <c r="E863" t="s">
        <v>4971</v>
      </c>
    </row>
    <row r="864" spans="1:5" x14ac:dyDescent="0.35">
      <c r="A864" t="str">
        <f>"2013-06-10"</f>
        <v>2013-06-10</v>
      </c>
      <c r="B864" s="1" t="str">
        <f t="shared" si="13"/>
        <v>06/10/2013</v>
      </c>
      <c r="C864" t="str">
        <f>"82.6982"</f>
        <v>82.6982</v>
      </c>
      <c r="D864" s="1" t="s">
        <v>855</v>
      </c>
      <c r="E864" t="s">
        <v>4972</v>
      </c>
    </row>
    <row r="865" spans="1:5" x14ac:dyDescent="0.35">
      <c r="A865" t="str">
        <f>"2013-06-11"</f>
        <v>2013-06-11</v>
      </c>
      <c r="B865" s="1" t="str">
        <f t="shared" si="13"/>
        <v>06/11/2013</v>
      </c>
      <c r="C865" t="str">
        <f>"77.7735"</f>
        <v>77.7735</v>
      </c>
      <c r="D865" s="1" t="s">
        <v>856</v>
      </c>
      <c r="E865" t="s">
        <v>4973</v>
      </c>
    </row>
    <row r="866" spans="1:5" x14ac:dyDescent="0.35">
      <c r="A866" t="str">
        <f>"2013-06-12"</f>
        <v>2013-06-12</v>
      </c>
      <c r="B866" s="1" t="str">
        <f t="shared" si="13"/>
        <v>06/12/2013</v>
      </c>
      <c r="C866" t="str">
        <f>"78.1353"</f>
        <v>78.1353</v>
      </c>
      <c r="D866" s="1" t="s">
        <v>857</v>
      </c>
      <c r="E866" t="s">
        <v>4974</v>
      </c>
    </row>
    <row r="867" spans="1:5" x14ac:dyDescent="0.35">
      <c r="A867" t="str">
        <f>"2013-06-13"</f>
        <v>2013-06-13</v>
      </c>
      <c r="B867" s="1" t="str">
        <f t="shared" si="13"/>
        <v>06/13/2013</v>
      </c>
      <c r="C867" t="str">
        <f>"80.2676"</f>
        <v>80.2676</v>
      </c>
      <c r="D867" s="1" t="s">
        <v>858</v>
      </c>
      <c r="E867" t="s">
        <v>4975</v>
      </c>
    </row>
    <row r="868" spans="1:5" x14ac:dyDescent="0.35">
      <c r="A868" t="str">
        <f>"2013-06-14"</f>
        <v>2013-06-14</v>
      </c>
      <c r="B868" s="1" t="str">
        <f t="shared" si="13"/>
        <v>06/14/2013</v>
      </c>
      <c r="C868" t="str">
        <f>"84.0639"</f>
        <v>84.0639</v>
      </c>
      <c r="D868" s="1" t="s">
        <v>859</v>
      </c>
      <c r="E868" t="s">
        <v>4976</v>
      </c>
    </row>
    <row r="869" spans="1:5" x14ac:dyDescent="0.35">
      <c r="A869" t="str">
        <f>"2013-06-17"</f>
        <v>2013-06-17</v>
      </c>
      <c r="B869" s="1" t="str">
        <f t="shared" si="13"/>
        <v>06/17/2013</v>
      </c>
      <c r="C869" t="str">
        <f>"82.7346"</f>
        <v>82.7346</v>
      </c>
      <c r="D869" s="1" t="s">
        <v>860</v>
      </c>
      <c r="E869" t="s">
        <v>4977</v>
      </c>
    </row>
    <row r="870" spans="1:5" x14ac:dyDescent="0.35">
      <c r="A870" t="str">
        <f>"2013-06-18"</f>
        <v>2013-06-18</v>
      </c>
      <c r="B870" s="1" t="str">
        <f t="shared" si="13"/>
        <v>06/18/2013</v>
      </c>
      <c r="C870" t="str">
        <f>"85.5465"</f>
        <v>85.5465</v>
      </c>
      <c r="D870" s="1" t="s">
        <v>861</v>
      </c>
      <c r="E870" t="s">
        <v>4978</v>
      </c>
    </row>
    <row r="871" spans="1:5" x14ac:dyDescent="0.35">
      <c r="A871" t="str">
        <f>"2013-06-19"</f>
        <v>2013-06-19</v>
      </c>
      <c r="B871" s="1" t="str">
        <f t="shared" si="13"/>
        <v>06/19/2013</v>
      </c>
      <c r="C871" t="str">
        <f>"85.2251"</f>
        <v>85.2251</v>
      </c>
      <c r="D871" s="1" t="s">
        <v>862</v>
      </c>
      <c r="E871" t="s">
        <v>4979</v>
      </c>
    </row>
    <row r="872" spans="1:5" x14ac:dyDescent="0.35">
      <c r="A872" t="str">
        <f>"2013-06-20"</f>
        <v>2013-06-20</v>
      </c>
      <c r="B872" s="1" t="str">
        <f t="shared" si="13"/>
        <v>06/20/2013</v>
      </c>
      <c r="C872" t="str">
        <f>"87.3447"</f>
        <v>87.3447</v>
      </c>
      <c r="D872" s="1" t="s">
        <v>863</v>
      </c>
      <c r="E872" t="s">
        <v>4980</v>
      </c>
    </row>
    <row r="873" spans="1:5" x14ac:dyDescent="0.35">
      <c r="A873" t="str">
        <f>"2013-06-21"</f>
        <v>2013-06-21</v>
      </c>
      <c r="B873" s="1" t="str">
        <f t="shared" si="13"/>
        <v>06/21/2013</v>
      </c>
      <c r="C873" t="str">
        <f>"82.5213"</f>
        <v>82.5213</v>
      </c>
      <c r="D873" s="1" t="s">
        <v>864</v>
      </c>
      <c r="E873" t="s">
        <v>4981</v>
      </c>
    </row>
    <row r="874" spans="1:5" x14ac:dyDescent="0.35">
      <c r="A874" t="str">
        <f>"2013-06-24"</f>
        <v>2013-06-24</v>
      </c>
      <c r="B874" s="1" t="str">
        <f t="shared" si="13"/>
        <v>06/24/2013</v>
      </c>
      <c r="C874" t="str">
        <f>"80.5098"</f>
        <v>80.5098</v>
      </c>
      <c r="D874" s="1" t="s">
        <v>865</v>
      </c>
      <c r="E874" t="s">
        <v>4982</v>
      </c>
    </row>
    <row r="875" spans="1:5" x14ac:dyDescent="0.35">
      <c r="A875" t="str">
        <f>"2013-06-25"</f>
        <v>2013-06-25</v>
      </c>
      <c r="B875" s="1" t="str">
        <f t="shared" si="13"/>
        <v>06/25/2013</v>
      </c>
      <c r="C875" t="str">
        <f>"87.3022"</f>
        <v>87.3022</v>
      </c>
      <c r="D875" s="1" t="s">
        <v>866</v>
      </c>
      <c r="E875" t="s">
        <v>4983</v>
      </c>
    </row>
    <row r="876" spans="1:5" x14ac:dyDescent="0.35">
      <c r="A876" t="str">
        <f>"2013-06-26"</f>
        <v>2013-06-26</v>
      </c>
      <c r="B876" s="1" t="str">
        <f t="shared" si="13"/>
        <v>06/26/2013</v>
      </c>
      <c r="C876" t="str">
        <f>"94.0704"</f>
        <v>94.0704</v>
      </c>
      <c r="D876" s="1" t="s">
        <v>867</v>
      </c>
      <c r="E876" t="s">
        <v>4984</v>
      </c>
    </row>
    <row r="877" spans="1:5" x14ac:dyDescent="0.35">
      <c r="A877" t="str">
        <f>"2013-06-27"</f>
        <v>2013-06-27</v>
      </c>
      <c r="B877" s="1" t="str">
        <f t="shared" si="13"/>
        <v>06/27/2013</v>
      </c>
      <c r="C877" t="str">
        <f>"101.7058"</f>
        <v>101.7058</v>
      </c>
      <c r="D877" s="1" t="s">
        <v>868</v>
      </c>
      <c r="E877" t="s">
        <v>4985</v>
      </c>
    </row>
    <row r="878" spans="1:5" x14ac:dyDescent="0.35">
      <c r="A878" t="str">
        <f>"2013-06-28"</f>
        <v>2013-06-28</v>
      </c>
      <c r="B878" s="1" t="str">
        <f t="shared" si="13"/>
        <v>06/28/2013</v>
      </c>
      <c r="C878" t="str">
        <f>"99.4"</f>
        <v>99.4</v>
      </c>
      <c r="D878" s="1" t="s">
        <v>869</v>
      </c>
      <c r="E878" t="s">
        <v>4986</v>
      </c>
    </row>
    <row r="879" spans="1:5" x14ac:dyDescent="0.35">
      <c r="A879" t="str">
        <f>"2013-07-01"</f>
        <v>2013-07-01</v>
      </c>
      <c r="B879" s="1" t="str">
        <f t="shared" si="13"/>
        <v>07/01/2013</v>
      </c>
      <c r="C879" t="str">
        <f>"97.5971"</f>
        <v>97.5971</v>
      </c>
      <c r="D879" s="1" t="s">
        <v>870</v>
      </c>
      <c r="E879" t="s">
        <v>4987</v>
      </c>
    </row>
    <row r="880" spans="1:5" x14ac:dyDescent="0.35">
      <c r="A880" t="str">
        <f>"2013-07-02"</f>
        <v>2013-07-02</v>
      </c>
      <c r="B880" s="1" t="str">
        <f t="shared" si="13"/>
        <v>07/02/2013</v>
      </c>
      <c r="C880" t="str">
        <f>"97.7926"</f>
        <v>97.7926</v>
      </c>
      <c r="D880" s="1" t="s">
        <v>871</v>
      </c>
      <c r="E880" t="s">
        <v>4988</v>
      </c>
    </row>
    <row r="881" spans="1:5" x14ac:dyDescent="0.35">
      <c r="A881" t="str">
        <f>"2013-07-03"</f>
        <v>2013-07-03</v>
      </c>
      <c r="B881" s="1" t="str">
        <f t="shared" si="13"/>
        <v>07/03/2013</v>
      </c>
      <c r="C881" t="str">
        <f>"94.3481"</f>
        <v>94.3481</v>
      </c>
      <c r="D881" s="1" t="s">
        <v>872</v>
      </c>
      <c r="E881" t="s">
        <v>4989</v>
      </c>
    </row>
    <row r="882" spans="1:5" x14ac:dyDescent="0.35">
      <c r="A882" t="str">
        <f>"2013-07-05"</f>
        <v>2013-07-05</v>
      </c>
      <c r="B882" s="1" t="str">
        <f t="shared" si="13"/>
        <v>07/05/2013</v>
      </c>
      <c r="C882" t="str">
        <f>"98.8235"</f>
        <v>98.8235</v>
      </c>
      <c r="D882" s="1" t="s">
        <v>873</v>
      </c>
      <c r="E882" t="s">
        <v>4990</v>
      </c>
    </row>
    <row r="883" spans="1:5" x14ac:dyDescent="0.35">
      <c r="A883" t="str">
        <f>"2013-07-08"</f>
        <v>2013-07-08</v>
      </c>
      <c r="B883" s="1" t="str">
        <f t="shared" si="13"/>
        <v>07/08/2013</v>
      </c>
      <c r="C883" t="str">
        <f>"97.0674"</f>
        <v>97.0674</v>
      </c>
      <c r="D883" s="1" t="s">
        <v>874</v>
      </c>
      <c r="E883" t="s">
        <v>4991</v>
      </c>
    </row>
    <row r="884" spans="1:5" x14ac:dyDescent="0.35">
      <c r="A884" t="str">
        <f>"2013-07-09"</f>
        <v>2013-07-09</v>
      </c>
      <c r="B884" s="1" t="str">
        <f t="shared" si="13"/>
        <v>07/09/2013</v>
      </c>
      <c r="C884" t="str">
        <f>"102.1008"</f>
        <v>102.1008</v>
      </c>
      <c r="D884" s="1" t="s">
        <v>875</v>
      </c>
      <c r="E884" t="s">
        <v>4992</v>
      </c>
    </row>
    <row r="885" spans="1:5" x14ac:dyDescent="0.35">
      <c r="A885" t="str">
        <f>"2013-07-10"</f>
        <v>2013-07-10</v>
      </c>
      <c r="B885" s="1" t="str">
        <f t="shared" si="13"/>
        <v>07/10/2013</v>
      </c>
      <c r="C885" t="str">
        <f>"103.3417"</f>
        <v>103.3417</v>
      </c>
      <c r="D885" s="1" t="s">
        <v>876</v>
      </c>
      <c r="E885" t="s">
        <v>4993</v>
      </c>
    </row>
    <row r="886" spans="1:5" x14ac:dyDescent="0.35">
      <c r="A886" t="str">
        <f>"2013-07-11"</f>
        <v>2013-07-11</v>
      </c>
      <c r="B886" s="1" t="str">
        <f t="shared" si="13"/>
        <v>07/11/2013</v>
      </c>
      <c r="C886" t="str">
        <f>"101.2684"</f>
        <v>101.2684</v>
      </c>
      <c r="D886" s="1" t="s">
        <v>877</v>
      </c>
      <c r="E886" t="s">
        <v>4994</v>
      </c>
    </row>
    <row r="887" spans="1:5" x14ac:dyDescent="0.35">
      <c r="A887" t="str">
        <f>"2013-07-12"</f>
        <v>2013-07-12</v>
      </c>
      <c r="B887" s="1" t="str">
        <f t="shared" si="13"/>
        <v>07/12/2013</v>
      </c>
      <c r="C887" t="str">
        <f>"100.9112"</f>
        <v>100.9112</v>
      </c>
      <c r="D887" s="1" t="s">
        <v>878</v>
      </c>
      <c r="E887" t="s">
        <v>4995</v>
      </c>
    </row>
    <row r="888" spans="1:5" x14ac:dyDescent="0.35">
      <c r="A888" t="str">
        <f>"2013-07-15"</f>
        <v>2013-07-15</v>
      </c>
      <c r="B888" s="1" t="str">
        <f t="shared" si="13"/>
        <v>07/15/2013</v>
      </c>
      <c r="C888" t="str">
        <f>"100.0426"</f>
        <v>100.0426</v>
      </c>
      <c r="D888" s="1" t="s">
        <v>879</v>
      </c>
      <c r="E888" t="s">
        <v>4996</v>
      </c>
    </row>
    <row r="889" spans="1:5" x14ac:dyDescent="0.35">
      <c r="A889" t="str">
        <f>"2013-07-16"</f>
        <v>2013-07-16</v>
      </c>
      <c r="B889" s="1" t="str">
        <f t="shared" si="13"/>
        <v>07/16/2013</v>
      </c>
      <c r="C889" t="str">
        <f>"100.5312"</f>
        <v>100.5312</v>
      </c>
      <c r="D889" s="1" t="s">
        <v>880</v>
      </c>
      <c r="E889" t="s">
        <v>4997</v>
      </c>
    </row>
    <row r="890" spans="1:5" x14ac:dyDescent="0.35">
      <c r="A890" t="str">
        <f>"2013-07-17"</f>
        <v>2013-07-17</v>
      </c>
      <c r="B890" s="1" t="str">
        <f t="shared" si="13"/>
        <v>07/17/2013</v>
      </c>
      <c r="C890" t="str">
        <f>"101.4295"</f>
        <v>101.4295</v>
      </c>
      <c r="D890" s="1" t="s">
        <v>881</v>
      </c>
      <c r="E890" t="s">
        <v>4998</v>
      </c>
    </row>
    <row r="891" spans="1:5" x14ac:dyDescent="0.35">
      <c r="A891" t="str">
        <f>"2013-07-18"</f>
        <v>2013-07-18</v>
      </c>
      <c r="B891" s="1" t="str">
        <f t="shared" si="13"/>
        <v>07/18/2013</v>
      </c>
      <c r="C891" t="str">
        <f>"102.1639"</f>
        <v>102.1639</v>
      </c>
      <c r="D891" s="1" t="s">
        <v>882</v>
      </c>
      <c r="E891" t="s">
        <v>4999</v>
      </c>
    </row>
    <row r="892" spans="1:5" x14ac:dyDescent="0.35">
      <c r="A892" t="str">
        <f>"2013-07-19"</f>
        <v>2013-07-19</v>
      </c>
      <c r="B892" s="1" t="str">
        <f t="shared" si="13"/>
        <v>07/19/2013</v>
      </c>
      <c r="C892" t="str">
        <f>"99.4401"</f>
        <v>99.4401</v>
      </c>
      <c r="D892" s="1" t="s">
        <v>883</v>
      </c>
      <c r="E892" t="s">
        <v>5000</v>
      </c>
    </row>
    <row r="893" spans="1:5" x14ac:dyDescent="0.35">
      <c r="A893" t="str">
        <f>"2013-07-22"</f>
        <v>2013-07-22</v>
      </c>
      <c r="B893" s="1" t="str">
        <f t="shared" si="13"/>
        <v>07/22/2013</v>
      </c>
      <c r="C893" t="str">
        <f>"97.9476"</f>
        <v>97.9476</v>
      </c>
      <c r="D893" s="1" t="s">
        <v>884</v>
      </c>
      <c r="E893" t="s">
        <v>5001</v>
      </c>
    </row>
    <row r="894" spans="1:5" x14ac:dyDescent="0.35">
      <c r="A894" t="str">
        <f>"2013-07-23"</f>
        <v>2013-07-23</v>
      </c>
      <c r="B894" s="1" t="str">
        <f t="shared" si="13"/>
        <v>07/23/2013</v>
      </c>
      <c r="C894" t="str">
        <f>"98.9909"</f>
        <v>98.9909</v>
      </c>
      <c r="D894" s="1" t="s">
        <v>885</v>
      </c>
      <c r="E894" t="s">
        <v>5002</v>
      </c>
    </row>
    <row r="895" spans="1:5" x14ac:dyDescent="0.35">
      <c r="A895" t="str">
        <f>"2013-07-24"</f>
        <v>2013-07-24</v>
      </c>
      <c r="B895" s="1" t="str">
        <f t="shared" si="13"/>
        <v>07/24/2013</v>
      </c>
      <c r="C895" t="str">
        <f>"100.4868"</f>
        <v>100.4868</v>
      </c>
      <c r="D895" s="1" t="s">
        <v>886</v>
      </c>
      <c r="E895" t="s">
        <v>5003</v>
      </c>
    </row>
    <row r="896" spans="1:5" x14ac:dyDescent="0.35">
      <c r="A896" t="str">
        <f>"2013-07-25"</f>
        <v>2013-07-25</v>
      </c>
      <c r="B896" s="1" t="str">
        <f t="shared" si="13"/>
        <v>07/25/2013</v>
      </c>
      <c r="C896" t="str">
        <f>"97.905"</f>
        <v>97.905</v>
      </c>
      <c r="D896" s="1" t="s">
        <v>887</v>
      </c>
      <c r="E896" t="s">
        <v>5004</v>
      </c>
    </row>
    <row r="897" spans="1:5" x14ac:dyDescent="0.35">
      <c r="A897" t="str">
        <f>"2013-07-26"</f>
        <v>2013-07-26</v>
      </c>
      <c r="B897" s="1" t="str">
        <f t="shared" si="13"/>
        <v>07/26/2013</v>
      </c>
      <c r="C897" t="str">
        <f>"99.4543"</f>
        <v>99.4543</v>
      </c>
      <c r="D897" s="1" t="s">
        <v>888</v>
      </c>
      <c r="E897" t="s">
        <v>5005</v>
      </c>
    </row>
    <row r="898" spans="1:5" x14ac:dyDescent="0.35">
      <c r="A898" t="str">
        <f>"2013-07-29"</f>
        <v>2013-07-29</v>
      </c>
      <c r="B898" s="1" t="str">
        <f t="shared" si="13"/>
        <v>07/29/2013</v>
      </c>
      <c r="C898" t="str">
        <f>"98.5469"</f>
        <v>98.5469</v>
      </c>
      <c r="D898" s="1" t="s">
        <v>889</v>
      </c>
      <c r="E898" t="s">
        <v>5006</v>
      </c>
    </row>
    <row r="899" spans="1:5" x14ac:dyDescent="0.35">
      <c r="A899" t="str">
        <f>"2013-07-30"</f>
        <v>2013-07-30</v>
      </c>
      <c r="B899" s="1" t="str">
        <f t="shared" ref="B899:B962" si="14">LEFT(RIGHT(A899,5),2)&amp;"/"&amp;RIGHT(A899,2)&amp;"/"&amp;LEFT(A899,4)</f>
        <v>07/30/2013</v>
      </c>
      <c r="C899" t="str">
        <f>"100.2257"</f>
        <v>100.2257</v>
      </c>
      <c r="D899" s="1" t="s">
        <v>890</v>
      </c>
      <c r="E899" t="s">
        <v>5007</v>
      </c>
    </row>
    <row r="900" spans="1:5" x14ac:dyDescent="0.35">
      <c r="A900" t="str">
        <f>"2013-07-31"</f>
        <v>2013-07-31</v>
      </c>
      <c r="B900" s="1" t="str">
        <f t="shared" si="14"/>
        <v>07/31/2013</v>
      </c>
      <c r="C900" t="str">
        <f>"100.5954"</f>
        <v>100.5954</v>
      </c>
      <c r="D900" s="1" t="s">
        <v>891</v>
      </c>
      <c r="E900" t="s">
        <v>5008</v>
      </c>
    </row>
    <row r="901" spans="1:5" x14ac:dyDescent="0.35">
      <c r="A901" t="str">
        <f>"2013-08-01"</f>
        <v>2013-08-01</v>
      </c>
      <c r="B901" s="1" t="str">
        <f t="shared" si="14"/>
        <v>08/01/2013</v>
      </c>
      <c r="C901" t="str">
        <f>"99.4029"</f>
        <v>99.4029</v>
      </c>
      <c r="D901" s="1" t="s">
        <v>892</v>
      </c>
      <c r="E901" t="s">
        <v>5009</v>
      </c>
    </row>
    <row r="902" spans="1:5" x14ac:dyDescent="0.35">
      <c r="A902" t="str">
        <f>"2013-08-02"</f>
        <v>2013-08-02</v>
      </c>
      <c r="B902" s="1" t="str">
        <f t="shared" si="14"/>
        <v>08/02/2013</v>
      </c>
      <c r="C902" t="str">
        <f>"100.045"</f>
        <v>100.045</v>
      </c>
      <c r="D902" s="1" t="s">
        <v>893</v>
      </c>
      <c r="E902" t="s">
        <v>5010</v>
      </c>
    </row>
    <row r="903" spans="1:5" x14ac:dyDescent="0.35">
      <c r="A903" t="str">
        <f>"2013-08-05"</f>
        <v>2013-08-05</v>
      </c>
      <c r="B903" s="1" t="str">
        <f t="shared" si="14"/>
        <v>08/05/2013</v>
      </c>
      <c r="C903" t="str">
        <f>"102.1477"</f>
        <v>102.1477</v>
      </c>
      <c r="D903" s="1" t="s">
        <v>894</v>
      </c>
      <c r="E903" t="s">
        <v>5011</v>
      </c>
    </row>
    <row r="904" spans="1:5" x14ac:dyDescent="0.35">
      <c r="A904" t="str">
        <f>"2013-08-06"</f>
        <v>2013-08-06</v>
      </c>
      <c r="B904" s="1" t="str">
        <f t="shared" si="14"/>
        <v>08/06/2013</v>
      </c>
      <c r="C904" t="str">
        <f>"105.0772"</f>
        <v>105.0772</v>
      </c>
      <c r="D904" s="1" t="s">
        <v>895</v>
      </c>
      <c r="E904" t="s">
        <v>5012</v>
      </c>
    </row>
    <row r="905" spans="1:5" x14ac:dyDescent="0.35">
      <c r="A905" t="str">
        <f>"2013-08-07"</f>
        <v>2013-08-07</v>
      </c>
      <c r="B905" s="1" t="str">
        <f t="shared" si="14"/>
        <v>08/07/2013</v>
      </c>
      <c r="C905" t="str">
        <f>"106.004"</f>
        <v>106.004</v>
      </c>
      <c r="D905" s="1" t="s">
        <v>896</v>
      </c>
      <c r="E905" t="s">
        <v>5013</v>
      </c>
    </row>
    <row r="906" spans="1:5" x14ac:dyDescent="0.35">
      <c r="A906" t="str">
        <f>"2013-08-08"</f>
        <v>2013-08-08</v>
      </c>
      <c r="B906" s="1" t="str">
        <f t="shared" si="14"/>
        <v>08/08/2013</v>
      </c>
      <c r="C906" t="str">
        <f>"102.7979"</f>
        <v>102.7979</v>
      </c>
      <c r="D906" s="1" t="s">
        <v>897</v>
      </c>
      <c r="E906" t="s">
        <v>5014</v>
      </c>
    </row>
    <row r="907" spans="1:5" x14ac:dyDescent="0.35">
      <c r="A907" t="str">
        <f>"2013-08-09"</f>
        <v>2013-08-09</v>
      </c>
      <c r="B907" s="1" t="str">
        <f t="shared" si="14"/>
        <v>08/09/2013</v>
      </c>
      <c r="C907" t="str">
        <f>"103.0743"</f>
        <v>103.0743</v>
      </c>
      <c r="D907" s="1" t="s">
        <v>898</v>
      </c>
      <c r="E907" t="s">
        <v>5015</v>
      </c>
    </row>
    <row r="908" spans="1:5" x14ac:dyDescent="0.35">
      <c r="A908" t="str">
        <f>"2013-08-12"</f>
        <v>2013-08-12</v>
      </c>
      <c r="B908" s="1" t="str">
        <f t="shared" si="14"/>
        <v>08/12/2013</v>
      </c>
      <c r="C908" t="str">
        <f>"105.5852"</f>
        <v>105.5852</v>
      </c>
      <c r="D908" s="1" t="s">
        <v>899</v>
      </c>
      <c r="E908" t="s">
        <v>5016</v>
      </c>
    </row>
    <row r="909" spans="1:5" x14ac:dyDescent="0.35">
      <c r="A909" t="str">
        <f>"2013-08-13"</f>
        <v>2013-08-13</v>
      </c>
      <c r="B909" s="1" t="str">
        <f t="shared" si="14"/>
        <v>08/13/2013</v>
      </c>
      <c r="C909" t="str">
        <f>"104.7256"</f>
        <v>104.7256</v>
      </c>
      <c r="D909" s="1" t="s">
        <v>900</v>
      </c>
      <c r="E909" t="s">
        <v>5017</v>
      </c>
    </row>
    <row r="910" spans="1:5" x14ac:dyDescent="0.35">
      <c r="A910" t="str">
        <f>"2013-08-14"</f>
        <v>2013-08-14</v>
      </c>
      <c r="B910" s="1" t="str">
        <f t="shared" si="14"/>
        <v>08/14/2013</v>
      </c>
      <c r="C910" t="str">
        <f>"102.3631"</f>
        <v>102.3631</v>
      </c>
      <c r="D910" s="1" t="s">
        <v>901</v>
      </c>
      <c r="E910" t="s">
        <v>5018</v>
      </c>
    </row>
    <row r="911" spans="1:5" x14ac:dyDescent="0.35">
      <c r="A911" t="str">
        <f>"2013-08-15"</f>
        <v>2013-08-15</v>
      </c>
      <c r="B911" s="1" t="str">
        <f t="shared" si="14"/>
        <v>08/15/2013</v>
      </c>
      <c r="C911" t="str">
        <f>"98.5702"</f>
        <v>98.5702</v>
      </c>
      <c r="D911" s="1" t="s">
        <v>902</v>
      </c>
      <c r="E911" t="s">
        <v>5019</v>
      </c>
    </row>
    <row r="912" spans="1:5" x14ac:dyDescent="0.35">
      <c r="A912" t="str">
        <f>"2013-08-16"</f>
        <v>2013-08-16</v>
      </c>
      <c r="B912" s="1" t="str">
        <f t="shared" si="14"/>
        <v>08/16/2013</v>
      </c>
      <c r="C912" t="str">
        <f>"100.2323"</f>
        <v>100.2323</v>
      </c>
      <c r="D912" s="1" t="s">
        <v>903</v>
      </c>
      <c r="E912" t="s">
        <v>5020</v>
      </c>
    </row>
    <row r="913" spans="1:5" x14ac:dyDescent="0.35">
      <c r="A913" t="str">
        <f>"2013-08-19"</f>
        <v>2013-08-19</v>
      </c>
      <c r="B913" s="1" t="str">
        <f t="shared" si="14"/>
        <v>08/19/2013</v>
      </c>
      <c r="C913" t="str">
        <f>"98.4383"</f>
        <v>98.4383</v>
      </c>
      <c r="D913" s="1" t="s">
        <v>904</v>
      </c>
      <c r="E913" t="s">
        <v>5021</v>
      </c>
    </row>
    <row r="914" spans="1:5" x14ac:dyDescent="0.35">
      <c r="A914" t="str">
        <f>"2013-08-20"</f>
        <v>2013-08-20</v>
      </c>
      <c r="B914" s="1" t="str">
        <f t="shared" si="14"/>
        <v>08/20/2013</v>
      </c>
      <c r="C914" t="str">
        <f>"93.2478"</f>
        <v>93.2478</v>
      </c>
      <c r="D914" s="1" t="s">
        <v>905</v>
      </c>
      <c r="E914" t="s">
        <v>5022</v>
      </c>
    </row>
    <row r="915" spans="1:5" x14ac:dyDescent="0.35">
      <c r="A915" t="str">
        <f>"2013-08-21"</f>
        <v>2013-08-21</v>
      </c>
      <c r="B915" s="1" t="str">
        <f t="shared" si="14"/>
        <v>08/21/2013</v>
      </c>
      <c r="C915" t="str">
        <f>"86.6727"</f>
        <v>86.6727</v>
      </c>
      <c r="D915" s="1" t="s">
        <v>906</v>
      </c>
      <c r="E915" t="s">
        <v>5023</v>
      </c>
    </row>
    <row r="916" spans="1:5" x14ac:dyDescent="0.35">
      <c r="A916" t="str">
        <f>"2013-08-22"</f>
        <v>2013-08-22</v>
      </c>
      <c r="B916" s="1" t="str">
        <f t="shared" si="14"/>
        <v>08/22/2013</v>
      </c>
      <c r="C916" t="str">
        <f>"83.8599"</f>
        <v>83.8599</v>
      </c>
      <c r="D916" s="1" t="s">
        <v>907</v>
      </c>
      <c r="E916" t="s">
        <v>5024</v>
      </c>
    </row>
    <row r="917" spans="1:5" x14ac:dyDescent="0.35">
      <c r="A917" t="str">
        <f>"2013-08-23"</f>
        <v>2013-08-23</v>
      </c>
      <c r="B917" s="1" t="str">
        <f t="shared" si="14"/>
        <v>08/23/2013</v>
      </c>
      <c r="C917" t="str">
        <f>"82.0439"</f>
        <v>82.0439</v>
      </c>
      <c r="D917" s="1" t="s">
        <v>908</v>
      </c>
      <c r="E917" t="s">
        <v>5025</v>
      </c>
    </row>
    <row r="918" spans="1:5" x14ac:dyDescent="0.35">
      <c r="A918" t="str">
        <f>"2013-08-26"</f>
        <v>2013-08-26</v>
      </c>
      <c r="B918" s="1" t="str">
        <f t="shared" si="14"/>
        <v>08/26/2013</v>
      </c>
      <c r="C918" t="str">
        <f>"83.7195"</f>
        <v>83.7195</v>
      </c>
      <c r="D918" s="1" t="s">
        <v>909</v>
      </c>
      <c r="E918" t="s">
        <v>5026</v>
      </c>
    </row>
    <row r="919" spans="1:5" x14ac:dyDescent="0.35">
      <c r="A919" t="str">
        <f>"2013-08-27"</f>
        <v>2013-08-27</v>
      </c>
      <c r="B919" s="1" t="str">
        <f t="shared" si="14"/>
        <v>08/27/2013</v>
      </c>
      <c r="C919" t="str">
        <f>"74.6014"</f>
        <v>74.6014</v>
      </c>
      <c r="D919" s="1" t="s">
        <v>910</v>
      </c>
      <c r="E919" t="s">
        <v>5027</v>
      </c>
    </row>
    <row r="920" spans="1:5" x14ac:dyDescent="0.35">
      <c r="A920" t="str">
        <f>"2013-08-28"</f>
        <v>2013-08-28</v>
      </c>
      <c r="B920" s="1" t="str">
        <f t="shared" si="14"/>
        <v>08/28/2013</v>
      </c>
      <c r="C920" t="str">
        <f>"68.9583"</f>
        <v>68.9583</v>
      </c>
      <c r="D920" s="1" t="s">
        <v>911</v>
      </c>
      <c r="E920" t="s">
        <v>5028</v>
      </c>
    </row>
    <row r="921" spans="1:5" x14ac:dyDescent="0.35">
      <c r="A921" t="str">
        <f>"2013-08-29"</f>
        <v>2013-08-29</v>
      </c>
      <c r="B921" s="1" t="str">
        <f t="shared" si="14"/>
        <v>08/29/2013</v>
      </c>
      <c r="C921" t="str">
        <f>"68.5884"</f>
        <v>68.5884</v>
      </c>
      <c r="D921" s="1" t="s">
        <v>912</v>
      </c>
      <c r="E921" t="s">
        <v>5029</v>
      </c>
    </row>
    <row r="922" spans="1:5" x14ac:dyDescent="0.35">
      <c r="A922" t="str">
        <f>"2013-08-30"</f>
        <v>2013-08-30</v>
      </c>
      <c r="B922" s="1" t="str">
        <f t="shared" si="14"/>
        <v>08/30/2013</v>
      </c>
      <c r="C922" t="str">
        <f>"69.3956"</f>
        <v>69.3956</v>
      </c>
      <c r="D922" s="1" t="s">
        <v>913</v>
      </c>
      <c r="E922" t="s">
        <v>5030</v>
      </c>
    </row>
    <row r="923" spans="1:5" x14ac:dyDescent="0.35">
      <c r="A923" t="str">
        <f>"2013-09-03"</f>
        <v>2013-09-03</v>
      </c>
      <c r="B923" s="1" t="str">
        <f t="shared" si="14"/>
        <v>09/03/2013</v>
      </c>
      <c r="C923" t="str">
        <f>"68.0991"</f>
        <v>68.0991</v>
      </c>
      <c r="D923" s="1" t="s">
        <v>914</v>
      </c>
      <c r="E923" t="s">
        <v>5031</v>
      </c>
    </row>
    <row r="924" spans="1:5" x14ac:dyDescent="0.35">
      <c r="A924" t="str">
        <f>"2013-09-04"</f>
        <v>2013-09-04</v>
      </c>
      <c r="B924" s="1" t="str">
        <f t="shared" si="14"/>
        <v>09/04/2013</v>
      </c>
      <c r="C924" t="str">
        <f>"67.6901"</f>
        <v>67.6901</v>
      </c>
      <c r="D924" s="1" t="s">
        <v>915</v>
      </c>
      <c r="E924" t="s">
        <v>5032</v>
      </c>
    </row>
    <row r="925" spans="1:5" x14ac:dyDescent="0.35">
      <c r="A925" t="str">
        <f>"2013-09-05"</f>
        <v>2013-09-05</v>
      </c>
      <c r="B925" s="1" t="str">
        <f t="shared" si="14"/>
        <v>09/05/2013</v>
      </c>
      <c r="C925" t="str">
        <f>"66.6047"</f>
        <v>66.6047</v>
      </c>
      <c r="D925" s="1" t="s">
        <v>916</v>
      </c>
      <c r="E925" t="s">
        <v>5033</v>
      </c>
    </row>
    <row r="926" spans="1:5" x14ac:dyDescent="0.35">
      <c r="A926" t="str">
        <f>"2013-09-06"</f>
        <v>2013-09-06</v>
      </c>
      <c r="B926" s="1" t="str">
        <f t="shared" si="14"/>
        <v>09/06/2013</v>
      </c>
      <c r="C926" t="str">
        <f>"64.6425"</f>
        <v>64.6425</v>
      </c>
      <c r="D926" s="1" t="s">
        <v>917</v>
      </c>
      <c r="E926" t="s">
        <v>5034</v>
      </c>
    </row>
    <row r="927" spans="1:5" x14ac:dyDescent="0.35">
      <c r="A927" t="str">
        <f>"2013-09-09"</f>
        <v>2013-09-09</v>
      </c>
      <c r="B927" s="1" t="str">
        <f t="shared" si="14"/>
        <v>09/09/2013</v>
      </c>
      <c r="C927" t="str">
        <f>"68.2162"</f>
        <v>68.2162</v>
      </c>
      <c r="D927" s="1" t="s">
        <v>918</v>
      </c>
      <c r="E927" t="s">
        <v>5035</v>
      </c>
    </row>
    <row r="928" spans="1:5" x14ac:dyDescent="0.35">
      <c r="A928" t="str">
        <f>"2013-09-10"</f>
        <v>2013-09-10</v>
      </c>
      <c r="B928" s="1" t="str">
        <f t="shared" si="14"/>
        <v>09/10/2013</v>
      </c>
      <c r="C928" t="str">
        <f>"77.9522"</f>
        <v>77.9522</v>
      </c>
      <c r="D928" s="1" t="s">
        <v>919</v>
      </c>
      <c r="E928" t="s">
        <v>5036</v>
      </c>
    </row>
    <row r="929" spans="1:5" x14ac:dyDescent="0.35">
      <c r="A929" t="str">
        <f>"2013-09-11"</f>
        <v>2013-09-11</v>
      </c>
      <c r="B929" s="1" t="str">
        <f t="shared" si="14"/>
        <v>09/11/2013</v>
      </c>
      <c r="C929" t="str">
        <f>"77.8631"</f>
        <v>77.8631</v>
      </c>
      <c r="D929" s="1" t="s">
        <v>920</v>
      </c>
      <c r="E929" t="s">
        <v>5037</v>
      </c>
    </row>
    <row r="930" spans="1:5" x14ac:dyDescent="0.35">
      <c r="A930" t="str">
        <f>"2013-09-12"</f>
        <v>2013-09-12</v>
      </c>
      <c r="B930" s="1" t="str">
        <f t="shared" si="14"/>
        <v>09/12/2013</v>
      </c>
      <c r="C930" t="str">
        <f>"81.1389"</f>
        <v>81.1389</v>
      </c>
      <c r="D930" s="1" t="s">
        <v>921</v>
      </c>
      <c r="E930" t="s">
        <v>5038</v>
      </c>
    </row>
    <row r="931" spans="1:5" x14ac:dyDescent="0.35">
      <c r="A931" t="str">
        <f>"2013-09-13"</f>
        <v>2013-09-13</v>
      </c>
      <c r="B931" s="1" t="str">
        <f t="shared" si="14"/>
        <v>09/13/2013</v>
      </c>
      <c r="C931" t="str">
        <f>"79.7802"</f>
        <v>79.7802</v>
      </c>
      <c r="D931" s="1" t="s">
        <v>922</v>
      </c>
      <c r="E931" t="s">
        <v>5039</v>
      </c>
    </row>
    <row r="932" spans="1:5" x14ac:dyDescent="0.35">
      <c r="A932" t="str">
        <f>"2013-09-16"</f>
        <v>2013-09-16</v>
      </c>
      <c r="B932" s="1" t="str">
        <f t="shared" si="14"/>
        <v>09/16/2013</v>
      </c>
      <c r="C932" t="str">
        <f>"83.6996"</f>
        <v>83.6996</v>
      </c>
      <c r="D932" s="1" t="s">
        <v>923</v>
      </c>
      <c r="E932" t="s">
        <v>5040</v>
      </c>
    </row>
    <row r="933" spans="1:5" x14ac:dyDescent="0.35">
      <c r="A933" t="str">
        <f>"2013-09-17"</f>
        <v>2013-09-17</v>
      </c>
      <c r="B933" s="1" t="str">
        <f t="shared" si="14"/>
        <v>09/17/2013</v>
      </c>
      <c r="C933" t="str">
        <f>"84.3097"</f>
        <v>84.3097</v>
      </c>
      <c r="D933" s="1" t="s">
        <v>924</v>
      </c>
      <c r="E933" t="s">
        <v>5041</v>
      </c>
    </row>
    <row r="934" spans="1:5" x14ac:dyDescent="0.35">
      <c r="A934" t="str">
        <f>"2013-09-18"</f>
        <v>2013-09-18</v>
      </c>
      <c r="B934" s="1" t="str">
        <f t="shared" si="14"/>
        <v>09/18/2013</v>
      </c>
      <c r="C934" t="str">
        <f>"85.5703"</f>
        <v>85.5703</v>
      </c>
      <c r="D934" s="1" t="s">
        <v>925</v>
      </c>
      <c r="E934" t="s">
        <v>5042</v>
      </c>
    </row>
    <row r="935" spans="1:5" x14ac:dyDescent="0.35">
      <c r="A935" t="str">
        <f>"2013-09-19"</f>
        <v>2013-09-19</v>
      </c>
      <c r="B935" s="1" t="str">
        <f t="shared" si="14"/>
        <v>09/19/2013</v>
      </c>
      <c r="C935" t="str">
        <f>"89.5338"</f>
        <v>89.5338</v>
      </c>
      <c r="D935" s="1" t="s">
        <v>926</v>
      </c>
      <c r="E935" t="s">
        <v>5043</v>
      </c>
    </row>
    <row r="936" spans="1:5" x14ac:dyDescent="0.35">
      <c r="A936" t="str">
        <f>"2013-09-20"</f>
        <v>2013-09-20</v>
      </c>
      <c r="B936" s="1" t="str">
        <f t="shared" si="14"/>
        <v>09/20/2013</v>
      </c>
      <c r="C936" t="str">
        <f>"93.1231"</f>
        <v>93.1231</v>
      </c>
      <c r="D936" s="1" t="s">
        <v>927</v>
      </c>
      <c r="E936" t="s">
        <v>5044</v>
      </c>
    </row>
    <row r="937" spans="1:5" x14ac:dyDescent="0.35">
      <c r="A937" t="str">
        <f>"2013-09-23"</f>
        <v>2013-09-23</v>
      </c>
      <c r="B937" s="1" t="str">
        <f t="shared" si="14"/>
        <v>09/23/2013</v>
      </c>
      <c r="C937" t="str">
        <f>"91.5945"</f>
        <v>91.5945</v>
      </c>
      <c r="D937" s="1" t="s">
        <v>928</v>
      </c>
      <c r="E937" t="s">
        <v>5045</v>
      </c>
    </row>
    <row r="938" spans="1:5" x14ac:dyDescent="0.35">
      <c r="A938" t="str">
        <f>"2013-09-24"</f>
        <v>2013-09-24</v>
      </c>
      <c r="B938" s="1" t="str">
        <f t="shared" si="14"/>
        <v>09/24/2013</v>
      </c>
      <c r="C938" t="str">
        <f>"93.6219"</f>
        <v>93.6219</v>
      </c>
      <c r="D938" s="1" t="s">
        <v>929</v>
      </c>
      <c r="E938" t="s">
        <v>5046</v>
      </c>
    </row>
    <row r="939" spans="1:5" x14ac:dyDescent="0.35">
      <c r="A939" t="str">
        <f>"2013-09-25"</f>
        <v>2013-09-25</v>
      </c>
      <c r="B939" s="1" t="str">
        <f t="shared" si="14"/>
        <v>09/25/2013</v>
      </c>
      <c r="C939" t="str">
        <f>"90.793"</f>
        <v>90.793</v>
      </c>
      <c r="D939" s="1" t="s">
        <v>930</v>
      </c>
      <c r="E939" t="s">
        <v>5047</v>
      </c>
    </row>
    <row r="940" spans="1:5" x14ac:dyDescent="0.35">
      <c r="A940" t="str">
        <f>"2013-09-26"</f>
        <v>2013-09-26</v>
      </c>
      <c r="B940" s="1" t="str">
        <f t="shared" si="14"/>
        <v>09/26/2013</v>
      </c>
      <c r="C940" t="str">
        <f>"89.3899"</f>
        <v>89.3899</v>
      </c>
      <c r="D940" s="1" t="s">
        <v>931</v>
      </c>
      <c r="E940" t="s">
        <v>5048</v>
      </c>
    </row>
    <row r="941" spans="1:5" x14ac:dyDescent="0.35">
      <c r="A941" t="str">
        <f>"2013-09-27"</f>
        <v>2013-09-27</v>
      </c>
      <c r="B941" s="1" t="str">
        <f t="shared" si="14"/>
        <v>09/27/2013</v>
      </c>
      <c r="C941" t="str">
        <f>"86.7662"</f>
        <v>86.7662</v>
      </c>
      <c r="D941" s="1" t="s">
        <v>932</v>
      </c>
      <c r="E941" t="s">
        <v>5049</v>
      </c>
    </row>
    <row r="942" spans="1:5" x14ac:dyDescent="0.35">
      <c r="A942" t="str">
        <f>"2013-09-30"</f>
        <v>2013-09-30</v>
      </c>
      <c r="B942" s="1" t="str">
        <f t="shared" si="14"/>
        <v>09/30/2013</v>
      </c>
      <c r="C942" t="str">
        <f>"88.5856"</f>
        <v>88.5856</v>
      </c>
      <c r="D942" s="1" t="s">
        <v>933</v>
      </c>
      <c r="E942" t="s">
        <v>5050</v>
      </c>
    </row>
    <row r="943" spans="1:5" x14ac:dyDescent="0.35">
      <c r="A943" t="str">
        <f>"2013-10-01"</f>
        <v>2013-10-01</v>
      </c>
      <c r="B943" s="1" t="str">
        <f t="shared" si="14"/>
        <v>10/01/2013</v>
      </c>
      <c r="C943" t="str">
        <f>"92.9498"</f>
        <v>92.9498</v>
      </c>
      <c r="D943" s="1" t="s">
        <v>934</v>
      </c>
      <c r="E943" t="s">
        <v>5051</v>
      </c>
    </row>
    <row r="944" spans="1:5" x14ac:dyDescent="0.35">
      <c r="A944" t="str">
        <f>"2013-10-02"</f>
        <v>2013-10-02</v>
      </c>
      <c r="B944" s="1" t="str">
        <f t="shared" si="14"/>
        <v>10/02/2013</v>
      </c>
      <c r="C944" t="str">
        <f>"90.0546"</f>
        <v>90.0546</v>
      </c>
      <c r="D944" s="1" t="s">
        <v>935</v>
      </c>
      <c r="E944" t="s">
        <v>5052</v>
      </c>
    </row>
    <row r="945" spans="1:5" x14ac:dyDescent="0.35">
      <c r="A945" t="str">
        <f>"2013-10-03"</f>
        <v>2013-10-03</v>
      </c>
      <c r="B945" s="1" t="str">
        <f t="shared" si="14"/>
        <v>10/03/2013</v>
      </c>
      <c r="C945" t="str">
        <f>"91.4685"</f>
        <v>91.4685</v>
      </c>
      <c r="D945" s="1" t="s">
        <v>936</v>
      </c>
      <c r="E945" t="s">
        <v>5053</v>
      </c>
    </row>
    <row r="946" spans="1:5" x14ac:dyDescent="0.35">
      <c r="A946" t="str">
        <f>"2013-10-04"</f>
        <v>2013-10-04</v>
      </c>
      <c r="B946" s="1" t="str">
        <f t="shared" si="14"/>
        <v>10/04/2013</v>
      </c>
      <c r="C946" t="str">
        <f>"92.5177"</f>
        <v>92.5177</v>
      </c>
      <c r="D946" s="1" t="s">
        <v>937</v>
      </c>
      <c r="E946" t="s">
        <v>5054</v>
      </c>
    </row>
    <row r="947" spans="1:5" x14ac:dyDescent="0.35">
      <c r="A947" t="str">
        <f>"2013-10-07"</f>
        <v>2013-10-07</v>
      </c>
      <c r="B947" s="1" t="str">
        <f t="shared" si="14"/>
        <v>10/07/2013</v>
      </c>
      <c r="C947" t="str">
        <f>"91.4948"</f>
        <v>91.4948</v>
      </c>
      <c r="D947" s="1" t="s">
        <v>938</v>
      </c>
      <c r="E947" t="s">
        <v>5055</v>
      </c>
    </row>
    <row r="948" spans="1:5" x14ac:dyDescent="0.35">
      <c r="A948" t="str">
        <f>"2013-10-09"</f>
        <v>2013-10-09</v>
      </c>
      <c r="B948" s="1" t="str">
        <f t="shared" si="14"/>
        <v>10/09/2013</v>
      </c>
      <c r="C948" t="str">
        <f>"89.5905"</f>
        <v>89.5905</v>
      </c>
      <c r="D948" s="1" t="s">
        <v>939</v>
      </c>
      <c r="E948" t="s">
        <v>5056</v>
      </c>
    </row>
    <row r="949" spans="1:5" x14ac:dyDescent="0.35">
      <c r="A949" t="str">
        <f>"2013-10-10"</f>
        <v>2013-10-10</v>
      </c>
      <c r="B949" s="1" t="str">
        <f t="shared" si="14"/>
        <v>10/10/2013</v>
      </c>
      <c r="C949" t="str">
        <f>"92.2216"</f>
        <v>92.2216</v>
      </c>
      <c r="D949" s="1" t="s">
        <v>940</v>
      </c>
      <c r="E949" t="s">
        <v>5057</v>
      </c>
    </row>
    <row r="950" spans="1:5" x14ac:dyDescent="0.35">
      <c r="A950" t="str">
        <f>"2013-10-11"</f>
        <v>2013-10-11</v>
      </c>
      <c r="B950" s="1" t="str">
        <f t="shared" si="14"/>
        <v>10/11/2013</v>
      </c>
      <c r="C950" t="str">
        <f>"96.6284"</f>
        <v>96.6284</v>
      </c>
      <c r="D950" s="1" t="s">
        <v>941</v>
      </c>
      <c r="E950" t="s">
        <v>5058</v>
      </c>
    </row>
    <row r="951" spans="1:5" x14ac:dyDescent="0.35">
      <c r="A951" t="str">
        <f>"2013-10-14"</f>
        <v>2013-10-14</v>
      </c>
      <c r="B951" s="1" t="str">
        <f t="shared" si="14"/>
        <v>10/14/2013</v>
      </c>
      <c r="C951" t="str">
        <f>"95.4151"</f>
        <v>95.4151</v>
      </c>
      <c r="D951" s="1" t="s">
        <v>942</v>
      </c>
      <c r="E951" t="s">
        <v>5059</v>
      </c>
    </row>
    <row r="952" spans="1:5" x14ac:dyDescent="0.35">
      <c r="A952" t="str">
        <f>"2013-10-15"</f>
        <v>2013-10-15</v>
      </c>
      <c r="B952" s="1" t="str">
        <f t="shared" si="14"/>
        <v>10/15/2013</v>
      </c>
      <c r="C952" t="str">
        <f>"95.9472"</f>
        <v>95.9472</v>
      </c>
      <c r="D952" s="1" t="s">
        <v>943</v>
      </c>
      <c r="E952" t="s">
        <v>5060</v>
      </c>
    </row>
    <row r="953" spans="1:5" x14ac:dyDescent="0.35">
      <c r="A953" t="str">
        <f>"2013-10-16"</f>
        <v>2013-10-16</v>
      </c>
      <c r="B953" s="1" t="str">
        <f t="shared" si="14"/>
        <v>10/16/2013</v>
      </c>
      <c r="C953" t="str">
        <f>"95.119"</f>
        <v>95.119</v>
      </c>
      <c r="D953" s="1" t="s">
        <v>944</v>
      </c>
      <c r="E953" t="s">
        <v>5061</v>
      </c>
    </row>
    <row r="954" spans="1:5" x14ac:dyDescent="0.35">
      <c r="A954" t="str">
        <f>"2013-10-17"</f>
        <v>2013-10-17</v>
      </c>
      <c r="B954" s="1" t="str">
        <f t="shared" si="14"/>
        <v>10/17/2013</v>
      </c>
      <c r="C954" t="str">
        <f>"92.6934"</f>
        <v>92.6934</v>
      </c>
      <c r="D954" s="1" t="s">
        <v>945</v>
      </c>
      <c r="E954" t="s">
        <v>5062</v>
      </c>
    </row>
    <row r="955" spans="1:5" x14ac:dyDescent="0.35">
      <c r="A955" t="str">
        <f>"2013-10-18"</f>
        <v>2013-10-18</v>
      </c>
      <c r="B955" s="1" t="str">
        <f t="shared" si="14"/>
        <v>10/18/2013</v>
      </c>
      <c r="C955" t="str">
        <f>"93.6402"</f>
        <v>93.6402</v>
      </c>
      <c r="D955" s="1" t="s">
        <v>946</v>
      </c>
      <c r="E955" t="s">
        <v>5063</v>
      </c>
    </row>
    <row r="956" spans="1:5" x14ac:dyDescent="0.35">
      <c r="A956" t="str">
        <f>"2013-10-21"</f>
        <v>2013-10-21</v>
      </c>
      <c r="B956" s="1" t="str">
        <f t="shared" si="14"/>
        <v>10/21/2013</v>
      </c>
      <c r="C956" t="str">
        <f>"98.9268"</f>
        <v>98.9268</v>
      </c>
      <c r="D956" s="1" t="s">
        <v>947</v>
      </c>
      <c r="E956" t="s">
        <v>5064</v>
      </c>
    </row>
    <row r="957" spans="1:5" x14ac:dyDescent="0.35">
      <c r="A957" t="str">
        <f>"2013-10-22"</f>
        <v>2013-10-22</v>
      </c>
      <c r="B957" s="1" t="str">
        <f t="shared" si="14"/>
        <v>10/22/2013</v>
      </c>
      <c r="C957" t="str">
        <f>"97.8718"</f>
        <v>97.8718</v>
      </c>
      <c r="D957" s="1" t="s">
        <v>948</v>
      </c>
      <c r="E957" t="s">
        <v>5065</v>
      </c>
    </row>
    <row r="958" spans="1:5" x14ac:dyDescent="0.35">
      <c r="A958" t="str">
        <f>"2013-10-23"</f>
        <v>2013-10-23</v>
      </c>
      <c r="B958" s="1" t="str">
        <f t="shared" si="14"/>
        <v>10/23/2013</v>
      </c>
      <c r="C958" t="str">
        <f>"96.7412"</f>
        <v>96.7412</v>
      </c>
      <c r="D958" s="1" t="s">
        <v>949</v>
      </c>
      <c r="E958" t="s">
        <v>5066</v>
      </c>
    </row>
    <row r="959" spans="1:5" x14ac:dyDescent="0.35">
      <c r="A959" t="str">
        <f>"2013-10-24"</f>
        <v>2013-10-24</v>
      </c>
      <c r="B959" s="1" t="str">
        <f t="shared" si="14"/>
        <v>10/24/2013</v>
      </c>
      <c r="C959" t="str">
        <f>"97.3371"</f>
        <v>97.3371</v>
      </c>
      <c r="D959" s="1" t="s">
        <v>950</v>
      </c>
      <c r="E959" t="s">
        <v>5067</v>
      </c>
    </row>
    <row r="960" spans="1:5" x14ac:dyDescent="0.35">
      <c r="A960" t="str">
        <f>"2013-10-25"</f>
        <v>2013-10-25</v>
      </c>
      <c r="B960" s="1" t="str">
        <f t="shared" si="14"/>
        <v>10/25/2013</v>
      </c>
      <c r="C960" t="str">
        <f>"96.1974"</f>
        <v>96.1974</v>
      </c>
      <c r="D960" s="1" t="s">
        <v>951</v>
      </c>
      <c r="E960" t="s">
        <v>5068</v>
      </c>
    </row>
    <row r="961" spans="1:5" x14ac:dyDescent="0.35">
      <c r="A961" t="str">
        <f>"2013-10-28"</f>
        <v>2013-10-28</v>
      </c>
      <c r="B961" s="1" t="str">
        <f t="shared" si="14"/>
        <v>10/28/2013</v>
      </c>
      <c r="C961" t="str">
        <f>"95.8981"</f>
        <v>95.8981</v>
      </c>
      <c r="D961" s="1" t="s">
        <v>952</v>
      </c>
      <c r="E961" t="s">
        <v>5069</v>
      </c>
    </row>
    <row r="962" spans="1:5" x14ac:dyDescent="0.35">
      <c r="A962" t="str">
        <f>"2013-10-29"</f>
        <v>2013-10-29</v>
      </c>
      <c r="B962" s="1" t="str">
        <f t="shared" si="14"/>
        <v>10/29/2013</v>
      </c>
      <c r="C962" t="str">
        <f>"96.3454"</f>
        <v>96.3454</v>
      </c>
      <c r="D962" s="1" t="s">
        <v>953</v>
      </c>
      <c r="E962" t="s">
        <v>5070</v>
      </c>
    </row>
    <row r="963" spans="1:5" x14ac:dyDescent="0.35">
      <c r="A963" t="str">
        <f>"2013-10-30"</f>
        <v>2013-10-30</v>
      </c>
      <c r="B963" s="1" t="str">
        <f t="shared" ref="B963:B1026" si="15">LEFT(RIGHT(A963,5),2)&amp;"/"&amp;RIGHT(A963,2)&amp;"/"&amp;LEFT(A963,4)</f>
        <v>10/30/2013</v>
      </c>
      <c r="C963" t="str">
        <f>"92.6856"</f>
        <v>92.6856</v>
      </c>
      <c r="D963" s="1" t="s">
        <v>954</v>
      </c>
      <c r="E963" t="s">
        <v>5071</v>
      </c>
    </row>
    <row r="964" spans="1:5" x14ac:dyDescent="0.35">
      <c r="A964" t="str">
        <f>"2013-10-31"</f>
        <v>2013-10-31</v>
      </c>
      <c r="B964" s="1" t="str">
        <f t="shared" si="15"/>
        <v>10/31/2013</v>
      </c>
      <c r="C964" t="str">
        <f>"92.2096"</f>
        <v>92.2096</v>
      </c>
      <c r="D964" s="1" t="s">
        <v>955</v>
      </c>
      <c r="E964" t="s">
        <v>5072</v>
      </c>
    </row>
    <row r="965" spans="1:5" x14ac:dyDescent="0.35">
      <c r="A965" t="str">
        <f>"2013-11-01"</f>
        <v>2013-11-01</v>
      </c>
      <c r="B965" s="1" t="str">
        <f t="shared" si="15"/>
        <v>11/01/2013</v>
      </c>
      <c r="C965" t="str">
        <f>"93.9893"</f>
        <v>93.9893</v>
      </c>
      <c r="D965" s="1" t="s">
        <v>956</v>
      </c>
      <c r="E965" t="s">
        <v>5073</v>
      </c>
    </row>
    <row r="966" spans="1:5" x14ac:dyDescent="0.35">
      <c r="A966" t="str">
        <f>"2013-11-04"</f>
        <v>2013-11-04</v>
      </c>
      <c r="B966" s="1" t="str">
        <f t="shared" si="15"/>
        <v>11/04/2013</v>
      </c>
      <c r="C966" t="str">
        <f>"92.2785"</f>
        <v>92.2785</v>
      </c>
      <c r="D966" s="1" t="s">
        <v>957</v>
      </c>
      <c r="E966" t="s">
        <v>5074</v>
      </c>
    </row>
    <row r="967" spans="1:5" x14ac:dyDescent="0.35">
      <c r="A967" t="str">
        <f>"2013-11-05"</f>
        <v>2013-11-05</v>
      </c>
      <c r="B967" s="1" t="str">
        <f t="shared" si="15"/>
        <v>11/05/2013</v>
      </c>
      <c r="C967" t="str">
        <f>"90.4112"</f>
        <v>90.4112</v>
      </c>
      <c r="D967" s="1" t="s">
        <v>958</v>
      </c>
      <c r="E967" t="s">
        <v>5075</v>
      </c>
    </row>
    <row r="968" spans="1:5" x14ac:dyDescent="0.35">
      <c r="A968" t="str">
        <f>"2013-11-06"</f>
        <v>2013-11-06</v>
      </c>
      <c r="B968" s="1" t="str">
        <f t="shared" si="15"/>
        <v>11/06/2013</v>
      </c>
      <c r="C968" t="str">
        <f>"90.2805"</f>
        <v>90.2805</v>
      </c>
      <c r="D968" s="1" t="s">
        <v>959</v>
      </c>
      <c r="E968" t="s">
        <v>5076</v>
      </c>
    </row>
    <row r="969" spans="1:5" x14ac:dyDescent="0.35">
      <c r="A969" t="str">
        <f>"2013-11-07"</f>
        <v>2013-11-07</v>
      </c>
      <c r="B969" s="1" t="str">
        <f t="shared" si="15"/>
        <v>11/07/2013</v>
      </c>
      <c r="C969" t="str">
        <f>"89.9814"</f>
        <v>89.9814</v>
      </c>
      <c r="D969" s="1" t="s">
        <v>960</v>
      </c>
      <c r="E969" t="s">
        <v>5077</v>
      </c>
    </row>
    <row r="970" spans="1:5" x14ac:dyDescent="0.35">
      <c r="A970" t="str">
        <f>"2013-11-08"</f>
        <v>2013-11-08</v>
      </c>
      <c r="B970" s="1" t="str">
        <f t="shared" si="15"/>
        <v>11/08/2013</v>
      </c>
      <c r="C970" t="str">
        <f>"89.7322"</f>
        <v>89.7322</v>
      </c>
      <c r="D970" s="1" t="s">
        <v>961</v>
      </c>
      <c r="E970" t="s">
        <v>5078</v>
      </c>
    </row>
    <row r="971" spans="1:5" x14ac:dyDescent="0.35">
      <c r="A971" t="str">
        <f>"2013-11-11"</f>
        <v>2013-11-11</v>
      </c>
      <c r="B971" s="1" t="str">
        <f t="shared" si="15"/>
        <v>11/11/2013</v>
      </c>
      <c r="C971" t="str">
        <f>"85.2709"</f>
        <v>85.2709</v>
      </c>
      <c r="D971" s="1" t="s">
        <v>962</v>
      </c>
      <c r="E971" t="s">
        <v>5079</v>
      </c>
    </row>
    <row r="972" spans="1:5" x14ac:dyDescent="0.35">
      <c r="A972" t="str">
        <f>"2013-11-12"</f>
        <v>2013-11-12</v>
      </c>
      <c r="B972" s="1" t="str">
        <f t="shared" si="15"/>
        <v>11/12/2013</v>
      </c>
      <c r="C972" t="str">
        <f>"86.5214"</f>
        <v>86.5214</v>
      </c>
      <c r="D972" s="1" t="s">
        <v>963</v>
      </c>
      <c r="E972" t="s">
        <v>5080</v>
      </c>
    </row>
    <row r="973" spans="1:5" x14ac:dyDescent="0.35">
      <c r="A973" t="str">
        <f>"2013-11-13"</f>
        <v>2013-11-13</v>
      </c>
      <c r="B973" s="1" t="str">
        <f t="shared" si="15"/>
        <v>11/13/2013</v>
      </c>
      <c r="C973" t="str">
        <f>"85.0504"</f>
        <v>85.0504</v>
      </c>
      <c r="D973" s="1" t="s">
        <v>964</v>
      </c>
      <c r="E973" t="s">
        <v>5081</v>
      </c>
    </row>
    <row r="974" spans="1:5" x14ac:dyDescent="0.35">
      <c r="A974" t="str">
        <f>"2013-11-14"</f>
        <v>2013-11-14</v>
      </c>
      <c r="B974" s="1" t="str">
        <f t="shared" si="15"/>
        <v>11/14/2013</v>
      </c>
      <c r="C974" t="str">
        <f>"87.1786"</f>
        <v>87.1786</v>
      </c>
      <c r="D974" s="1" t="s">
        <v>965</v>
      </c>
      <c r="E974" t="s">
        <v>5082</v>
      </c>
    </row>
    <row r="975" spans="1:5" x14ac:dyDescent="0.35">
      <c r="A975" t="str">
        <f>"2013-11-15"</f>
        <v>2013-11-15</v>
      </c>
      <c r="B975" s="1" t="str">
        <f t="shared" si="15"/>
        <v>11/15/2013</v>
      </c>
      <c r="C975" t="str">
        <f>"88.8372"</f>
        <v>88.8372</v>
      </c>
      <c r="D975" s="1" t="s">
        <v>966</v>
      </c>
      <c r="E975" t="s">
        <v>5083</v>
      </c>
    </row>
    <row r="976" spans="1:5" x14ac:dyDescent="0.35">
      <c r="A976" t="str">
        <f>"2013-11-18"</f>
        <v>2013-11-18</v>
      </c>
      <c r="B976" s="1" t="str">
        <f t="shared" si="15"/>
        <v>11/18/2013</v>
      </c>
      <c r="C976" t="str">
        <f>"92.0062"</f>
        <v>92.0062</v>
      </c>
      <c r="D976" s="1" t="s">
        <v>967</v>
      </c>
      <c r="E976" t="s">
        <v>5084</v>
      </c>
    </row>
    <row r="977" spans="1:5" x14ac:dyDescent="0.35">
      <c r="A977" t="str">
        <f>"2013-11-19"</f>
        <v>2013-11-19</v>
      </c>
      <c r="B977" s="1" t="str">
        <f t="shared" si="15"/>
        <v>11/19/2013</v>
      </c>
      <c r="C977" t="str">
        <f>"89.4651"</f>
        <v>89.4651</v>
      </c>
      <c r="D977" s="1" t="s">
        <v>968</v>
      </c>
      <c r="E977" t="s">
        <v>5085</v>
      </c>
    </row>
    <row r="978" spans="1:5" x14ac:dyDescent="0.35">
      <c r="A978" t="str">
        <f>"2013-11-20"</f>
        <v>2013-11-20</v>
      </c>
      <c r="B978" s="1" t="str">
        <f t="shared" si="15"/>
        <v>11/20/2013</v>
      </c>
      <c r="C978" t="str">
        <f>"93.0318"</f>
        <v>93.0318</v>
      </c>
      <c r="D978" s="1" t="s">
        <v>969</v>
      </c>
      <c r="E978" t="s">
        <v>5086</v>
      </c>
    </row>
    <row r="979" spans="1:5" x14ac:dyDescent="0.35">
      <c r="A979" t="str">
        <f>"2013-11-21"</f>
        <v>2013-11-21</v>
      </c>
      <c r="B979" s="1" t="str">
        <f t="shared" si="15"/>
        <v>11/21/2013</v>
      </c>
      <c r="C979" t="str">
        <f>"92.8683"</f>
        <v>92.8683</v>
      </c>
      <c r="D979" s="1" t="s">
        <v>970</v>
      </c>
      <c r="E979" t="s">
        <v>5087</v>
      </c>
    </row>
    <row r="980" spans="1:5" x14ac:dyDescent="0.35">
      <c r="A980" t="str">
        <f>"2013-11-22"</f>
        <v>2013-11-22</v>
      </c>
      <c r="B980" s="1" t="str">
        <f t="shared" si="15"/>
        <v>11/22/2013</v>
      </c>
      <c r="C980" t="str">
        <f>"93.5524"</f>
        <v>93.5524</v>
      </c>
      <c r="D980" s="1" t="s">
        <v>971</v>
      </c>
      <c r="E980" t="s">
        <v>5088</v>
      </c>
    </row>
    <row r="981" spans="1:5" x14ac:dyDescent="0.35">
      <c r="A981" t="str">
        <f>"2013-11-25"</f>
        <v>2013-11-25</v>
      </c>
      <c r="B981" s="1" t="str">
        <f t="shared" si="15"/>
        <v>11/25/2013</v>
      </c>
      <c r="C981" t="str">
        <f>"95.635"</f>
        <v>95.635</v>
      </c>
      <c r="D981" s="1" t="s">
        <v>972</v>
      </c>
      <c r="E981" t="s">
        <v>5089</v>
      </c>
    </row>
    <row r="982" spans="1:5" x14ac:dyDescent="0.35">
      <c r="A982" t="str">
        <f>"2013-11-26"</f>
        <v>2013-11-26</v>
      </c>
      <c r="B982" s="1" t="str">
        <f t="shared" si="15"/>
        <v>11/26/2013</v>
      </c>
      <c r="C982" t="str">
        <f>"93.1619"</f>
        <v>93.1619</v>
      </c>
      <c r="D982" s="1" t="s">
        <v>973</v>
      </c>
      <c r="E982" t="s">
        <v>5090</v>
      </c>
    </row>
    <row r="983" spans="1:5" x14ac:dyDescent="0.35">
      <c r="A983" t="str">
        <f>"2013-11-27"</f>
        <v>2013-11-27</v>
      </c>
      <c r="B983" s="1" t="str">
        <f t="shared" si="15"/>
        <v>11/27/2013</v>
      </c>
      <c r="C983" t="str">
        <f>"92.7156"</f>
        <v>92.7156</v>
      </c>
      <c r="D983" s="1" t="s">
        <v>974</v>
      </c>
      <c r="E983" t="s">
        <v>5091</v>
      </c>
    </row>
    <row r="984" spans="1:5" x14ac:dyDescent="0.35">
      <c r="A984" t="str">
        <f>"2013-11-29"</f>
        <v>2013-11-29</v>
      </c>
      <c r="B984" s="1" t="str">
        <f t="shared" si="15"/>
        <v>11/29/2013</v>
      </c>
      <c r="C984" t="str">
        <f>"92.4163"</f>
        <v>92.4163</v>
      </c>
      <c r="D984" s="1" t="s">
        <v>975</v>
      </c>
      <c r="E984" t="s">
        <v>5092</v>
      </c>
    </row>
    <row r="985" spans="1:5" x14ac:dyDescent="0.35">
      <c r="A985" t="str">
        <f>"2013-12-02"</f>
        <v>2013-12-02</v>
      </c>
      <c r="B985" s="1" t="str">
        <f t="shared" si="15"/>
        <v>12/02/2013</v>
      </c>
      <c r="C985" t="str">
        <f>"94.2783"</f>
        <v>94.2783</v>
      </c>
      <c r="D985" s="1" t="s">
        <v>976</v>
      </c>
      <c r="E985" t="s">
        <v>5093</v>
      </c>
    </row>
    <row r="986" spans="1:5" x14ac:dyDescent="0.35">
      <c r="A986" t="str">
        <f>"2013-12-03"</f>
        <v>2013-12-03</v>
      </c>
      <c r="B986" s="1" t="str">
        <f t="shared" si="15"/>
        <v>12/03/2013</v>
      </c>
      <c r="C986" t="str">
        <f>"89.192"</f>
        <v>89.192</v>
      </c>
      <c r="D986" s="1" t="s">
        <v>977</v>
      </c>
      <c r="E986" t="s">
        <v>5094</v>
      </c>
    </row>
    <row r="987" spans="1:5" x14ac:dyDescent="0.35">
      <c r="A987" t="str">
        <f>"2013-12-04"</f>
        <v>2013-12-04</v>
      </c>
      <c r="B987" s="1" t="str">
        <f t="shared" si="15"/>
        <v>12/04/2013</v>
      </c>
      <c r="C987" t="str">
        <f>"86.3931"</f>
        <v>86.3931</v>
      </c>
      <c r="D987" s="1" t="s">
        <v>978</v>
      </c>
      <c r="E987" t="s">
        <v>5095</v>
      </c>
    </row>
    <row r="988" spans="1:5" x14ac:dyDescent="0.35">
      <c r="A988" t="str">
        <f>"2013-12-05"</f>
        <v>2013-12-05</v>
      </c>
      <c r="B988" s="1" t="str">
        <f t="shared" si="15"/>
        <v>12/05/2013</v>
      </c>
      <c r="C988" t="str">
        <f>"86.2351"</f>
        <v>86.2351</v>
      </c>
      <c r="D988" s="1" t="s">
        <v>979</v>
      </c>
      <c r="E988" t="s">
        <v>5096</v>
      </c>
    </row>
    <row r="989" spans="1:5" x14ac:dyDescent="0.35">
      <c r="A989" t="str">
        <f>"2013-12-06"</f>
        <v>2013-12-06</v>
      </c>
      <c r="B989" s="1" t="str">
        <f t="shared" si="15"/>
        <v>12/06/2013</v>
      </c>
      <c r="C989" t="str">
        <f>"89.4427"</f>
        <v>89.4427</v>
      </c>
      <c r="D989" s="1" t="s">
        <v>980</v>
      </c>
      <c r="E989" t="s">
        <v>5097</v>
      </c>
    </row>
    <row r="990" spans="1:5" x14ac:dyDescent="0.35">
      <c r="A990" t="str">
        <f>"2013-12-09"</f>
        <v>2013-12-09</v>
      </c>
      <c r="B990" s="1" t="str">
        <f t="shared" si="15"/>
        <v>12/09/2013</v>
      </c>
      <c r="C990" t="str">
        <f>"89.8158"</f>
        <v>89.8158</v>
      </c>
      <c r="D990" s="1" t="s">
        <v>981</v>
      </c>
      <c r="E990" t="s">
        <v>5098</v>
      </c>
    </row>
    <row r="991" spans="1:5" x14ac:dyDescent="0.35">
      <c r="A991" t="str">
        <f>"2013-12-10"</f>
        <v>2013-12-10</v>
      </c>
      <c r="B991" s="1" t="str">
        <f t="shared" si="15"/>
        <v>12/10/2013</v>
      </c>
      <c r="C991" t="str">
        <f>"87.0906"</f>
        <v>87.0906</v>
      </c>
      <c r="D991" s="1" t="s">
        <v>982</v>
      </c>
      <c r="E991" t="s">
        <v>5099</v>
      </c>
    </row>
    <row r="992" spans="1:5" x14ac:dyDescent="0.35">
      <c r="A992" t="str">
        <f>"2013-12-11"</f>
        <v>2013-12-11</v>
      </c>
      <c r="B992" s="1" t="str">
        <f t="shared" si="15"/>
        <v>12/11/2013</v>
      </c>
      <c r="C992" t="str">
        <f>"88.3279"</f>
        <v>88.3279</v>
      </c>
      <c r="D992" s="1" t="s">
        <v>983</v>
      </c>
      <c r="E992" t="s">
        <v>5100</v>
      </c>
    </row>
    <row r="993" spans="1:5" x14ac:dyDescent="0.35">
      <c r="A993" t="str">
        <f>"2013-12-12"</f>
        <v>2013-12-12</v>
      </c>
      <c r="B993" s="1" t="str">
        <f t="shared" si="15"/>
        <v>12/12/2013</v>
      </c>
      <c r="C993" t="str">
        <f>"87.6962"</f>
        <v>87.6962</v>
      </c>
      <c r="D993" s="1" t="s">
        <v>984</v>
      </c>
      <c r="E993" t="s">
        <v>5101</v>
      </c>
    </row>
    <row r="994" spans="1:5" x14ac:dyDescent="0.35">
      <c r="A994" t="str">
        <f>"2013-12-13"</f>
        <v>2013-12-13</v>
      </c>
      <c r="B994" s="1" t="str">
        <f t="shared" si="15"/>
        <v>12/13/2013</v>
      </c>
      <c r="C994" t="str">
        <f>"88.7479"</f>
        <v>88.7479</v>
      </c>
      <c r="D994" s="1" t="s">
        <v>985</v>
      </c>
      <c r="E994" t="s">
        <v>5102</v>
      </c>
    </row>
    <row r="995" spans="1:5" x14ac:dyDescent="0.35">
      <c r="A995" t="str">
        <f>"2013-12-16"</f>
        <v>2013-12-16</v>
      </c>
      <c r="B995" s="1" t="str">
        <f t="shared" si="15"/>
        <v>12/16/2013</v>
      </c>
      <c r="C995" t="str">
        <f>"88.5583"</f>
        <v>88.5583</v>
      </c>
      <c r="D995" s="1" t="s">
        <v>986</v>
      </c>
      <c r="E995" t="s">
        <v>5103</v>
      </c>
    </row>
    <row r="996" spans="1:5" x14ac:dyDescent="0.35">
      <c r="A996" t="str">
        <f>"2013-12-17"</f>
        <v>2013-12-17</v>
      </c>
      <c r="B996" s="1" t="str">
        <f t="shared" si="15"/>
        <v>12/17/2013</v>
      </c>
      <c r="C996" t="str">
        <f>"84.7743"</f>
        <v>84.7743</v>
      </c>
      <c r="D996" s="1" t="s">
        <v>987</v>
      </c>
      <c r="E996" t="s">
        <v>5104</v>
      </c>
    </row>
    <row r="997" spans="1:5" x14ac:dyDescent="0.35">
      <c r="A997" t="str">
        <f>"2013-12-18"</f>
        <v>2013-12-18</v>
      </c>
      <c r="B997" s="1" t="str">
        <f t="shared" si="15"/>
        <v>12/18/2013</v>
      </c>
      <c r="C997" t="str">
        <f>"85.5711"</f>
        <v>85.5711</v>
      </c>
      <c r="D997" s="1" t="s">
        <v>988</v>
      </c>
      <c r="E997" t="s">
        <v>5105</v>
      </c>
    </row>
    <row r="998" spans="1:5" x14ac:dyDescent="0.35">
      <c r="A998" t="str">
        <f>"2013-12-19"</f>
        <v>2013-12-19</v>
      </c>
      <c r="B998" s="1" t="str">
        <f t="shared" si="15"/>
        <v>12/19/2013</v>
      </c>
      <c r="C998" t="str">
        <f>"83.5815"</f>
        <v>83.5815</v>
      </c>
      <c r="D998" s="1" t="s">
        <v>989</v>
      </c>
      <c r="E998" t="s">
        <v>5106</v>
      </c>
    </row>
    <row r="999" spans="1:5" x14ac:dyDescent="0.35">
      <c r="A999" t="str">
        <f>"2013-12-20"</f>
        <v>2013-12-20</v>
      </c>
      <c r="B999" s="1" t="str">
        <f t="shared" si="15"/>
        <v>12/20/2013</v>
      </c>
      <c r="C999" t="str">
        <f>"82.2181"</f>
        <v>82.2181</v>
      </c>
      <c r="D999" s="1" t="s">
        <v>990</v>
      </c>
      <c r="E999" t="s">
        <v>5107</v>
      </c>
    </row>
    <row r="1000" spans="1:5" x14ac:dyDescent="0.35">
      <c r="A1000" t="str">
        <f>"2013-12-23"</f>
        <v>2013-12-23</v>
      </c>
      <c r="B1000" s="1" t="str">
        <f t="shared" si="15"/>
        <v>12/23/2013</v>
      </c>
      <c r="C1000" t="str">
        <f>"78.7281"</f>
        <v>78.7281</v>
      </c>
      <c r="D1000" s="1" t="s">
        <v>991</v>
      </c>
      <c r="E1000" t="s">
        <v>5108</v>
      </c>
    </row>
    <row r="1001" spans="1:5" x14ac:dyDescent="0.35">
      <c r="A1001" t="str">
        <f>"2013-12-24"</f>
        <v>2013-12-24</v>
      </c>
      <c r="B1001" s="1" t="str">
        <f t="shared" si="15"/>
        <v>12/24/2013</v>
      </c>
      <c r="C1001" t="str">
        <f>"80.9786"</f>
        <v>80.9786</v>
      </c>
      <c r="D1001" s="1" t="s">
        <v>992</v>
      </c>
      <c r="E1001" t="s">
        <v>5109</v>
      </c>
    </row>
    <row r="1002" spans="1:5" x14ac:dyDescent="0.35">
      <c r="A1002" t="str">
        <f>"2013-12-26"</f>
        <v>2013-12-26</v>
      </c>
      <c r="B1002" s="1" t="str">
        <f t="shared" si="15"/>
        <v>12/26/2013</v>
      </c>
      <c r="C1002" t="str">
        <f>"73.3604"</f>
        <v>73.3604</v>
      </c>
      <c r="D1002" s="1" t="s">
        <v>993</v>
      </c>
      <c r="E1002" t="s">
        <v>5110</v>
      </c>
    </row>
    <row r="1003" spans="1:5" x14ac:dyDescent="0.35">
      <c r="A1003" t="str">
        <f>"2013-12-27"</f>
        <v>2013-12-27</v>
      </c>
      <c r="B1003" s="1" t="str">
        <f t="shared" si="15"/>
        <v>12/27/2013</v>
      </c>
      <c r="C1003" t="str">
        <f>"69.9063"</f>
        <v>69.9063</v>
      </c>
      <c r="D1003" s="1" t="s">
        <v>994</v>
      </c>
      <c r="E1003" t="s">
        <v>5111</v>
      </c>
    </row>
    <row r="1004" spans="1:5" x14ac:dyDescent="0.35">
      <c r="A1004" t="str">
        <f>"2013-12-30"</f>
        <v>2013-12-30</v>
      </c>
      <c r="B1004" s="1" t="str">
        <f t="shared" si="15"/>
        <v>12/30/2013</v>
      </c>
      <c r="C1004" t="str">
        <f>"76.2987"</f>
        <v>76.2987</v>
      </c>
      <c r="D1004" s="1" t="s">
        <v>995</v>
      </c>
      <c r="E1004" t="s">
        <v>5112</v>
      </c>
    </row>
    <row r="1005" spans="1:5" x14ac:dyDescent="0.35">
      <c r="A1005" t="str">
        <f>"2013-12-31"</f>
        <v>2013-12-31</v>
      </c>
      <c r="B1005" s="1" t="str">
        <f t="shared" si="15"/>
        <v>12/31/2013</v>
      </c>
      <c r="C1005" t="str">
        <f>"78.5916"</f>
        <v>78.5916</v>
      </c>
      <c r="D1005" s="1" t="s">
        <v>996</v>
      </c>
      <c r="E1005" t="s">
        <v>5113</v>
      </c>
    </row>
    <row r="1006" spans="1:5" x14ac:dyDescent="0.35">
      <c r="A1006" t="str">
        <f>"2014-01-02"</f>
        <v>2014-01-02</v>
      </c>
      <c r="B1006" s="1" t="str">
        <f t="shared" si="15"/>
        <v>01/02/2014</v>
      </c>
      <c r="C1006" t="str">
        <f>"75.235"</f>
        <v>75.235</v>
      </c>
      <c r="D1006" s="1" t="s">
        <v>997</v>
      </c>
      <c r="E1006" t="s">
        <v>5114</v>
      </c>
    </row>
    <row r="1007" spans="1:5" x14ac:dyDescent="0.35">
      <c r="A1007" t="str">
        <f>"2014-01-03"</f>
        <v>2014-01-03</v>
      </c>
      <c r="B1007" s="1" t="str">
        <f t="shared" si="15"/>
        <v>01/03/2014</v>
      </c>
      <c r="C1007" t="str">
        <f>"74.2357"</f>
        <v>74.2357</v>
      </c>
      <c r="D1007" s="1" t="s">
        <v>998</v>
      </c>
      <c r="E1007" t="s">
        <v>5115</v>
      </c>
    </row>
    <row r="1008" spans="1:5" x14ac:dyDescent="0.35">
      <c r="A1008" t="str">
        <f>"2014-01-06"</f>
        <v>2014-01-06</v>
      </c>
      <c r="B1008" s="1" t="str">
        <f t="shared" si="15"/>
        <v>01/06/2014</v>
      </c>
      <c r="C1008" t="str">
        <f>"77.525"</f>
        <v>77.525</v>
      </c>
      <c r="D1008" s="1" t="s">
        <v>999</v>
      </c>
      <c r="E1008" t="s">
        <v>5116</v>
      </c>
    </row>
    <row r="1009" spans="1:5" x14ac:dyDescent="0.35">
      <c r="A1009" t="str">
        <f>"2014-01-07"</f>
        <v>2014-01-07</v>
      </c>
      <c r="B1009" s="1" t="str">
        <f t="shared" si="15"/>
        <v>01/07/2014</v>
      </c>
      <c r="C1009" t="str">
        <f>"79.7621"</f>
        <v>79.7621</v>
      </c>
      <c r="D1009" s="1" t="s">
        <v>1000</v>
      </c>
      <c r="E1009" t="s">
        <v>5117</v>
      </c>
    </row>
    <row r="1010" spans="1:5" x14ac:dyDescent="0.35">
      <c r="A1010" t="str">
        <f>"2014-01-08"</f>
        <v>2014-01-08</v>
      </c>
      <c r="B1010" s="1" t="str">
        <f t="shared" si="15"/>
        <v>01/08/2014</v>
      </c>
      <c r="C1010" t="str">
        <f>"79.5764"</f>
        <v>79.5764</v>
      </c>
      <c r="D1010" s="1" t="s">
        <v>1001</v>
      </c>
      <c r="E1010" t="s">
        <v>5118</v>
      </c>
    </row>
    <row r="1011" spans="1:5" x14ac:dyDescent="0.35">
      <c r="A1011" t="str">
        <f>"2014-01-09"</f>
        <v>2014-01-09</v>
      </c>
      <c r="B1011" s="1" t="str">
        <f t="shared" si="15"/>
        <v>01/09/2014</v>
      </c>
      <c r="C1011" t="str">
        <f>"79.6088"</f>
        <v>79.6088</v>
      </c>
      <c r="D1011" s="1" t="s">
        <v>1002</v>
      </c>
      <c r="E1011" t="s">
        <v>5119</v>
      </c>
    </row>
    <row r="1012" spans="1:5" x14ac:dyDescent="0.35">
      <c r="A1012" t="str">
        <f>"2014-01-10"</f>
        <v>2014-01-10</v>
      </c>
      <c r="B1012" s="1" t="str">
        <f t="shared" si="15"/>
        <v>01/10/2014</v>
      </c>
      <c r="C1012" t="str">
        <f>"81.4825"</f>
        <v>81.4825</v>
      </c>
      <c r="D1012" s="1" t="s">
        <v>1003</v>
      </c>
      <c r="E1012" t="s">
        <v>5120</v>
      </c>
    </row>
    <row r="1013" spans="1:5" x14ac:dyDescent="0.35">
      <c r="A1013" t="str">
        <f>"2014-01-13"</f>
        <v>2014-01-13</v>
      </c>
      <c r="B1013" s="1" t="str">
        <f t="shared" si="15"/>
        <v>01/13/2014</v>
      </c>
      <c r="C1013" t="str">
        <f>"82.3946"</f>
        <v>82.3946</v>
      </c>
      <c r="D1013" s="1" t="s">
        <v>1004</v>
      </c>
      <c r="E1013" t="s">
        <v>5121</v>
      </c>
    </row>
    <row r="1014" spans="1:5" x14ac:dyDescent="0.35">
      <c r="A1014" t="str">
        <f>"2014-01-14"</f>
        <v>2014-01-14</v>
      </c>
      <c r="B1014" s="1" t="str">
        <f t="shared" si="15"/>
        <v>01/14/2014</v>
      </c>
      <c r="C1014" t="str">
        <f>"82.7873"</f>
        <v>82.7873</v>
      </c>
      <c r="D1014" s="1" t="s">
        <v>1005</v>
      </c>
      <c r="E1014" t="s">
        <v>5122</v>
      </c>
    </row>
    <row r="1015" spans="1:5" x14ac:dyDescent="0.35">
      <c r="A1015" t="str">
        <f>"2014-01-15"</f>
        <v>2014-01-15</v>
      </c>
      <c r="B1015" s="1" t="str">
        <f t="shared" si="15"/>
        <v>01/15/2014</v>
      </c>
      <c r="C1015" t="str">
        <f>"84.2783"</f>
        <v>84.2783</v>
      </c>
      <c r="D1015" s="1" t="s">
        <v>1006</v>
      </c>
      <c r="E1015" t="s">
        <v>5123</v>
      </c>
    </row>
    <row r="1016" spans="1:5" x14ac:dyDescent="0.35">
      <c r="A1016" t="str">
        <f>"2014-01-16"</f>
        <v>2014-01-16</v>
      </c>
      <c r="B1016" s="1" t="str">
        <f t="shared" si="15"/>
        <v>01/16/2014</v>
      </c>
      <c r="C1016" t="str">
        <f>"82.2721"</f>
        <v>82.2721</v>
      </c>
      <c r="D1016" s="1" t="s">
        <v>1007</v>
      </c>
      <c r="E1016" t="s">
        <v>5124</v>
      </c>
    </row>
    <row r="1017" spans="1:5" x14ac:dyDescent="0.35">
      <c r="A1017" t="str">
        <f>"2014-01-17"</f>
        <v>2014-01-17</v>
      </c>
      <c r="B1017" s="1" t="str">
        <f t="shared" si="15"/>
        <v>01/17/2014</v>
      </c>
      <c r="C1017" t="str">
        <f>"76.4751"</f>
        <v>76.4751</v>
      </c>
      <c r="D1017" s="1" t="s">
        <v>1008</v>
      </c>
      <c r="E1017" t="s">
        <v>5125</v>
      </c>
    </row>
    <row r="1018" spans="1:5" x14ac:dyDescent="0.35">
      <c r="A1018" t="str">
        <f>"2014-01-21"</f>
        <v>2014-01-21</v>
      </c>
      <c r="B1018" s="1" t="str">
        <f t="shared" si="15"/>
        <v>01/21/2014</v>
      </c>
      <c r="C1018" t="str">
        <f>"79.7411"</f>
        <v>79.7411</v>
      </c>
      <c r="D1018" s="1" t="s">
        <v>1009</v>
      </c>
      <c r="E1018" t="s">
        <v>5126</v>
      </c>
    </row>
    <row r="1019" spans="1:5" x14ac:dyDescent="0.35">
      <c r="A1019" t="str">
        <f>"2014-01-22"</f>
        <v>2014-01-22</v>
      </c>
      <c r="B1019" s="1" t="str">
        <f t="shared" si="15"/>
        <v>01/22/2014</v>
      </c>
      <c r="C1019" t="str">
        <f>"80.9556"</f>
        <v>80.9556</v>
      </c>
      <c r="D1019" s="1" t="s">
        <v>1010</v>
      </c>
      <c r="E1019" t="s">
        <v>5127</v>
      </c>
    </row>
    <row r="1020" spans="1:5" x14ac:dyDescent="0.35">
      <c r="A1020" t="str">
        <f>"2014-01-23"</f>
        <v>2014-01-23</v>
      </c>
      <c r="B1020" s="1" t="str">
        <f t="shared" si="15"/>
        <v>01/23/2014</v>
      </c>
      <c r="C1020" t="str">
        <f>"76.2509"</f>
        <v>76.2509</v>
      </c>
      <c r="D1020" s="1" t="s">
        <v>1011</v>
      </c>
      <c r="E1020" t="s">
        <v>5128</v>
      </c>
    </row>
    <row r="1021" spans="1:5" x14ac:dyDescent="0.35">
      <c r="A1021" t="str">
        <f>"2014-01-24"</f>
        <v>2014-01-24</v>
      </c>
      <c r="B1021" s="1" t="str">
        <f t="shared" si="15"/>
        <v>01/24/2014</v>
      </c>
      <c r="C1021" t="str">
        <f>"75.9317"</f>
        <v>75.9317</v>
      </c>
      <c r="D1021" s="1" t="s">
        <v>1012</v>
      </c>
      <c r="E1021" t="s">
        <v>5129</v>
      </c>
    </row>
    <row r="1022" spans="1:5" x14ac:dyDescent="0.35">
      <c r="A1022" t="str">
        <f>"2014-01-27"</f>
        <v>2014-01-27</v>
      </c>
      <c r="B1022" s="1" t="str">
        <f t="shared" si="15"/>
        <v>01/27/2014</v>
      </c>
      <c r="C1022" t="str">
        <f>"74.6975"</f>
        <v>74.6975</v>
      </c>
      <c r="D1022" s="1" t="s">
        <v>1013</v>
      </c>
      <c r="E1022" t="s">
        <v>5130</v>
      </c>
    </row>
    <row r="1023" spans="1:5" x14ac:dyDescent="0.35">
      <c r="A1023" t="str">
        <f>"2014-01-28"</f>
        <v>2014-01-28</v>
      </c>
      <c r="B1023" s="1" t="str">
        <f t="shared" si="15"/>
        <v>01/28/2014</v>
      </c>
      <c r="C1023" t="str">
        <f>"75.4687"</f>
        <v>75.4687</v>
      </c>
      <c r="D1023" s="1" t="s">
        <v>1014</v>
      </c>
      <c r="E1023" t="s">
        <v>5131</v>
      </c>
    </row>
    <row r="1024" spans="1:5" x14ac:dyDescent="0.35">
      <c r="A1024" t="str">
        <f>"2014-01-29"</f>
        <v>2014-01-29</v>
      </c>
      <c r="B1024" s="1" t="str">
        <f t="shared" si="15"/>
        <v>01/29/2014</v>
      </c>
      <c r="C1024" t="str">
        <f>"79.1432"</f>
        <v>79.1432</v>
      </c>
      <c r="D1024" s="1" t="s">
        <v>1015</v>
      </c>
      <c r="E1024" t="s">
        <v>5132</v>
      </c>
    </row>
    <row r="1025" spans="1:5" x14ac:dyDescent="0.35">
      <c r="A1025" t="str">
        <f>"2014-01-30"</f>
        <v>2014-01-30</v>
      </c>
      <c r="B1025" s="1" t="str">
        <f t="shared" si="15"/>
        <v>01/30/2014</v>
      </c>
      <c r="C1025" t="str">
        <f>"77.3549"</f>
        <v>77.3549</v>
      </c>
      <c r="D1025" s="1" t="s">
        <v>1016</v>
      </c>
      <c r="E1025" t="s">
        <v>5133</v>
      </c>
    </row>
    <row r="1026" spans="1:5" x14ac:dyDescent="0.35">
      <c r="A1026" t="str">
        <f>"2014-01-31"</f>
        <v>2014-01-31</v>
      </c>
      <c r="B1026" s="1" t="str">
        <f t="shared" si="15"/>
        <v>01/31/2014</v>
      </c>
      <c r="C1026" t="str">
        <f>"74.6765"</f>
        <v>74.6765</v>
      </c>
      <c r="D1026" s="1" t="s">
        <v>1017</v>
      </c>
      <c r="E1026" t="s">
        <v>5134</v>
      </c>
    </row>
    <row r="1027" spans="1:5" x14ac:dyDescent="0.35">
      <c r="A1027" t="str">
        <f>"2014-02-03"</f>
        <v>2014-02-03</v>
      </c>
      <c r="B1027" s="1" t="str">
        <f t="shared" ref="B1027:B1090" si="16">LEFT(RIGHT(A1027,5),2)&amp;"/"&amp;RIGHT(A1027,2)&amp;"/"&amp;LEFT(A1027,4)</f>
        <v>02/03/2014</v>
      </c>
      <c r="C1027" t="str">
        <f>"73.7091"</f>
        <v>73.7091</v>
      </c>
      <c r="D1027" s="1" t="s">
        <v>1018</v>
      </c>
      <c r="E1027" t="s">
        <v>5135</v>
      </c>
    </row>
    <row r="1028" spans="1:5" x14ac:dyDescent="0.35">
      <c r="A1028" t="str">
        <f>"2014-02-04"</f>
        <v>2014-02-04</v>
      </c>
      <c r="B1028" s="1" t="str">
        <f t="shared" si="16"/>
        <v>02/04/2014</v>
      </c>
      <c r="C1028" t="str">
        <f>"75.7525"</f>
        <v>75.7525</v>
      </c>
      <c r="D1028" s="1" t="s">
        <v>1019</v>
      </c>
      <c r="E1028" t="s">
        <v>5136</v>
      </c>
    </row>
    <row r="1029" spans="1:5" x14ac:dyDescent="0.35">
      <c r="A1029" t="str">
        <f>"2014-02-05"</f>
        <v>2014-02-05</v>
      </c>
      <c r="B1029" s="1" t="str">
        <f t="shared" si="16"/>
        <v>02/05/2014</v>
      </c>
      <c r="C1029" t="str">
        <f>"77.3384"</f>
        <v>77.3384</v>
      </c>
      <c r="D1029" s="1" t="s">
        <v>1020</v>
      </c>
      <c r="E1029" t="s">
        <v>5137</v>
      </c>
    </row>
    <row r="1030" spans="1:5" x14ac:dyDescent="0.35">
      <c r="A1030" t="str">
        <f>"2014-02-06"</f>
        <v>2014-02-06</v>
      </c>
      <c r="B1030" s="1" t="str">
        <f t="shared" si="16"/>
        <v>02/06/2014</v>
      </c>
      <c r="C1030" t="str">
        <f>"78.8456"</f>
        <v>78.8456</v>
      </c>
      <c r="D1030" s="1" t="s">
        <v>1021</v>
      </c>
      <c r="E1030" t="s">
        <v>5138</v>
      </c>
    </row>
    <row r="1031" spans="1:5" x14ac:dyDescent="0.35">
      <c r="A1031" t="str">
        <f>"2014-02-07"</f>
        <v>2014-02-07</v>
      </c>
      <c r="B1031" s="1" t="str">
        <f t="shared" si="16"/>
        <v>02/07/2014</v>
      </c>
      <c r="C1031" t="str">
        <f>"78.5201"</f>
        <v>78.5201</v>
      </c>
      <c r="D1031" s="1" t="s">
        <v>1022</v>
      </c>
      <c r="E1031" t="s">
        <v>5139</v>
      </c>
    </row>
    <row r="1032" spans="1:5" x14ac:dyDescent="0.35">
      <c r="A1032" t="str">
        <f>"2014-02-10"</f>
        <v>2014-02-10</v>
      </c>
      <c r="B1032" s="1" t="str">
        <f t="shared" si="16"/>
        <v>02/10/2014</v>
      </c>
      <c r="C1032" t="str">
        <f>"77.4343"</f>
        <v>77.4343</v>
      </c>
      <c r="D1032" s="1" t="s">
        <v>1023</v>
      </c>
      <c r="E1032" t="s">
        <v>5140</v>
      </c>
    </row>
    <row r="1033" spans="1:5" x14ac:dyDescent="0.35">
      <c r="A1033" t="str">
        <f>"2014-02-11"</f>
        <v>2014-02-11</v>
      </c>
      <c r="B1033" s="1" t="str">
        <f t="shared" si="16"/>
        <v>02/11/2014</v>
      </c>
      <c r="C1033" t="str">
        <f>"76.4193"</f>
        <v>76.4193</v>
      </c>
      <c r="D1033" s="1" t="s">
        <v>1024</v>
      </c>
      <c r="E1033" t="s">
        <v>5141</v>
      </c>
    </row>
    <row r="1034" spans="1:5" x14ac:dyDescent="0.35">
      <c r="A1034" t="str">
        <f>"2014-02-12"</f>
        <v>2014-02-12</v>
      </c>
      <c r="B1034" s="1" t="str">
        <f t="shared" si="16"/>
        <v>02/12/2014</v>
      </c>
      <c r="C1034" t="str">
        <f>"77.3402"</f>
        <v>77.3402</v>
      </c>
      <c r="D1034" s="1" t="s">
        <v>1025</v>
      </c>
      <c r="E1034" t="s">
        <v>5142</v>
      </c>
    </row>
    <row r="1035" spans="1:5" x14ac:dyDescent="0.35">
      <c r="A1035" t="str">
        <f>"2014-02-13"</f>
        <v>2014-02-13</v>
      </c>
      <c r="B1035" s="1" t="str">
        <f t="shared" si="16"/>
        <v>02/13/2014</v>
      </c>
      <c r="C1035" t="str">
        <f>"78.5045"</f>
        <v>78.5045</v>
      </c>
      <c r="D1035" s="1" t="s">
        <v>1026</v>
      </c>
      <c r="E1035" t="s">
        <v>5143</v>
      </c>
    </row>
    <row r="1036" spans="1:5" x14ac:dyDescent="0.35">
      <c r="A1036" t="str">
        <f>"2014-02-14"</f>
        <v>2014-02-14</v>
      </c>
      <c r="B1036" s="1" t="str">
        <f t="shared" si="16"/>
        <v>02/14/2014</v>
      </c>
      <c r="C1036" t="str">
        <f>"76.8037"</f>
        <v>76.8037</v>
      </c>
      <c r="D1036" s="1" t="s">
        <v>1027</v>
      </c>
      <c r="E1036" t="s">
        <v>5144</v>
      </c>
    </row>
    <row r="1037" spans="1:5" x14ac:dyDescent="0.35">
      <c r="A1037" t="str">
        <f>"2014-02-18"</f>
        <v>2014-02-18</v>
      </c>
      <c r="B1037" s="1" t="str">
        <f t="shared" si="16"/>
        <v>02/18/2014</v>
      </c>
      <c r="C1037" t="str">
        <f>"73.9104"</f>
        <v>73.9104</v>
      </c>
      <c r="D1037" s="1" t="s">
        <v>1028</v>
      </c>
      <c r="E1037" t="s">
        <v>5145</v>
      </c>
    </row>
    <row r="1038" spans="1:5" x14ac:dyDescent="0.35">
      <c r="A1038" t="str">
        <f>"2014-02-19"</f>
        <v>2014-02-19</v>
      </c>
      <c r="B1038" s="1" t="str">
        <f t="shared" si="16"/>
        <v>02/19/2014</v>
      </c>
      <c r="C1038" t="str">
        <f>"73.3458"</f>
        <v>73.3458</v>
      </c>
      <c r="D1038" s="1" t="s">
        <v>1029</v>
      </c>
      <c r="E1038" t="s">
        <v>5146</v>
      </c>
    </row>
    <row r="1039" spans="1:5" x14ac:dyDescent="0.35">
      <c r="A1039" t="str">
        <f>"2014-02-20"</f>
        <v>2014-02-20</v>
      </c>
      <c r="B1039" s="1" t="str">
        <f t="shared" si="16"/>
        <v>02/20/2014</v>
      </c>
      <c r="C1039" t="str">
        <f>"73.7786"</f>
        <v>73.7786</v>
      </c>
      <c r="D1039" s="1" t="s">
        <v>1030</v>
      </c>
      <c r="E1039" t="s">
        <v>5147</v>
      </c>
    </row>
    <row r="1040" spans="1:5" x14ac:dyDescent="0.35">
      <c r="A1040" t="str">
        <f>"2014-02-21"</f>
        <v>2014-02-21</v>
      </c>
      <c r="B1040" s="1" t="str">
        <f t="shared" si="16"/>
        <v>02/21/2014</v>
      </c>
      <c r="C1040" t="str">
        <f>"73.1812"</f>
        <v>73.1812</v>
      </c>
      <c r="D1040" s="1" t="s">
        <v>1031</v>
      </c>
      <c r="E1040" t="s">
        <v>5148</v>
      </c>
    </row>
    <row r="1041" spans="1:5" x14ac:dyDescent="0.35">
      <c r="A1041" t="str">
        <f>"2014-02-24"</f>
        <v>2014-02-24</v>
      </c>
      <c r="B1041" s="1" t="str">
        <f t="shared" si="16"/>
        <v>02/24/2014</v>
      </c>
      <c r="C1041" t="str">
        <f>"73.3469"</f>
        <v>73.3469</v>
      </c>
      <c r="D1041" s="1" t="s">
        <v>1032</v>
      </c>
      <c r="E1041" t="s">
        <v>5149</v>
      </c>
    </row>
    <row r="1042" spans="1:5" x14ac:dyDescent="0.35">
      <c r="A1042" t="str">
        <f>"2014-02-25"</f>
        <v>2014-02-25</v>
      </c>
      <c r="B1042" s="1" t="str">
        <f t="shared" si="16"/>
        <v>02/25/2014</v>
      </c>
      <c r="C1042" t="str">
        <f>"70.1086"</f>
        <v>70.1086</v>
      </c>
      <c r="D1042" s="1" t="s">
        <v>1033</v>
      </c>
      <c r="E1042" t="s">
        <v>5150</v>
      </c>
    </row>
    <row r="1043" spans="1:5" x14ac:dyDescent="0.35">
      <c r="A1043" t="str">
        <f>"2014-02-26"</f>
        <v>2014-02-26</v>
      </c>
      <c r="B1043" s="1" t="str">
        <f t="shared" si="16"/>
        <v>02/26/2014</v>
      </c>
      <c r="C1043" t="str">
        <f>"69.6841"</f>
        <v>69.6841</v>
      </c>
      <c r="D1043" s="1" t="s">
        <v>1034</v>
      </c>
      <c r="E1043" t="s">
        <v>5151</v>
      </c>
    </row>
    <row r="1044" spans="1:5" x14ac:dyDescent="0.35">
      <c r="A1044" t="str">
        <f>"2014-02-27"</f>
        <v>2014-02-27</v>
      </c>
      <c r="B1044" s="1" t="str">
        <f t="shared" si="16"/>
        <v>02/27/2014</v>
      </c>
      <c r="C1044" t="str">
        <f>"68.4129"</f>
        <v>68.4129</v>
      </c>
      <c r="D1044" s="1" t="s">
        <v>1035</v>
      </c>
      <c r="E1044" t="s">
        <v>5152</v>
      </c>
    </row>
    <row r="1045" spans="1:5" x14ac:dyDescent="0.35">
      <c r="A1045" t="str">
        <f>"2014-02-28"</f>
        <v>2014-02-28</v>
      </c>
      <c r="B1045" s="1" t="str">
        <f t="shared" si="16"/>
        <v>02/28/2014</v>
      </c>
      <c r="C1045" t="str">
        <f>"70.0548"</f>
        <v>70.0548</v>
      </c>
      <c r="D1045" s="1" t="s">
        <v>1036</v>
      </c>
      <c r="E1045" t="s">
        <v>5153</v>
      </c>
    </row>
    <row r="1046" spans="1:5" x14ac:dyDescent="0.35">
      <c r="A1046" t="str">
        <f>"2014-03-03"</f>
        <v>2014-03-03</v>
      </c>
      <c r="B1046" s="1" t="str">
        <f t="shared" si="16"/>
        <v>03/03/2014</v>
      </c>
      <c r="C1046" t="str">
        <f>"65.5638"</f>
        <v>65.5638</v>
      </c>
      <c r="D1046" s="1" t="s">
        <v>1037</v>
      </c>
      <c r="E1046" t="s">
        <v>5154</v>
      </c>
    </row>
    <row r="1047" spans="1:5" x14ac:dyDescent="0.35">
      <c r="A1047" t="str">
        <f>"2014-03-04"</f>
        <v>2014-03-04</v>
      </c>
      <c r="B1047" s="1" t="str">
        <f t="shared" si="16"/>
        <v>03/04/2014</v>
      </c>
      <c r="C1047" t="str">
        <f>"68.3641"</f>
        <v>68.3641</v>
      </c>
      <c r="D1047" s="1" t="s">
        <v>1038</v>
      </c>
      <c r="E1047" t="s">
        <v>5155</v>
      </c>
    </row>
    <row r="1048" spans="1:5" x14ac:dyDescent="0.35">
      <c r="A1048" t="str">
        <f>"2014-03-05"</f>
        <v>2014-03-05</v>
      </c>
      <c r="B1048" s="1" t="str">
        <f t="shared" si="16"/>
        <v>03/05/2014</v>
      </c>
      <c r="C1048" t="str">
        <f>"68.9346"</f>
        <v>68.9346</v>
      </c>
      <c r="D1048" s="1" t="s">
        <v>1039</v>
      </c>
      <c r="E1048" t="s">
        <v>5156</v>
      </c>
    </row>
    <row r="1049" spans="1:5" x14ac:dyDescent="0.35">
      <c r="A1049" t="str">
        <f>"2014-03-06"</f>
        <v>2014-03-06</v>
      </c>
      <c r="B1049" s="1" t="str">
        <f t="shared" si="16"/>
        <v>03/06/2014</v>
      </c>
      <c r="C1049" t="str">
        <f>"69.8157"</f>
        <v>69.8157</v>
      </c>
      <c r="D1049" s="1" t="s">
        <v>1040</v>
      </c>
      <c r="E1049" t="s">
        <v>5157</v>
      </c>
    </row>
    <row r="1050" spans="1:5" x14ac:dyDescent="0.35">
      <c r="A1050" t="str">
        <f>"2014-03-07"</f>
        <v>2014-03-07</v>
      </c>
      <c r="B1050" s="1" t="str">
        <f t="shared" si="16"/>
        <v>03/07/2014</v>
      </c>
      <c r="C1050" t="str">
        <f>"67.3303"</f>
        <v>67.3303</v>
      </c>
      <c r="D1050" s="1" t="s">
        <v>1041</v>
      </c>
      <c r="E1050" t="s">
        <v>5158</v>
      </c>
    </row>
    <row r="1051" spans="1:5" x14ac:dyDescent="0.35">
      <c r="A1051" t="str">
        <f>"2014-03-10"</f>
        <v>2014-03-10</v>
      </c>
      <c r="B1051" s="1" t="str">
        <f t="shared" si="16"/>
        <v>03/10/2014</v>
      </c>
      <c r="C1051" t="str">
        <f>"63.3663"</f>
        <v>63.3663</v>
      </c>
      <c r="D1051" s="1" t="s">
        <v>1042</v>
      </c>
      <c r="E1051" t="s">
        <v>5159</v>
      </c>
    </row>
    <row r="1052" spans="1:5" x14ac:dyDescent="0.35">
      <c r="A1052" t="str">
        <f>"2014-03-11"</f>
        <v>2014-03-11</v>
      </c>
      <c r="B1052" s="1" t="str">
        <f t="shared" si="16"/>
        <v>03/11/2014</v>
      </c>
      <c r="C1052" t="str">
        <f>"63.4313"</f>
        <v>63.4313</v>
      </c>
      <c r="D1052" s="1" t="s">
        <v>1043</v>
      </c>
      <c r="E1052" t="s">
        <v>5160</v>
      </c>
    </row>
    <row r="1053" spans="1:5" x14ac:dyDescent="0.35">
      <c r="A1053" t="str">
        <f>"2014-03-12"</f>
        <v>2014-03-12</v>
      </c>
      <c r="B1053" s="1" t="str">
        <f t="shared" si="16"/>
        <v>03/12/2014</v>
      </c>
      <c r="C1053" t="str">
        <f>"62.5264"</f>
        <v>62.5264</v>
      </c>
      <c r="D1053" s="1" t="s">
        <v>1044</v>
      </c>
      <c r="E1053" t="s">
        <v>5161</v>
      </c>
    </row>
    <row r="1054" spans="1:5" x14ac:dyDescent="0.35">
      <c r="A1054" t="str">
        <f>"2014-03-13"</f>
        <v>2014-03-13</v>
      </c>
      <c r="B1054" s="1" t="str">
        <f t="shared" si="16"/>
        <v>03/13/2014</v>
      </c>
      <c r="C1054" t="str">
        <f>"63.7883"</f>
        <v>63.7883</v>
      </c>
      <c r="D1054" s="1" t="s">
        <v>1045</v>
      </c>
      <c r="E1054" t="s">
        <v>5162</v>
      </c>
    </row>
    <row r="1055" spans="1:5" x14ac:dyDescent="0.35">
      <c r="A1055" t="str">
        <f>"2014-03-14"</f>
        <v>2014-03-14</v>
      </c>
      <c r="B1055" s="1" t="str">
        <f t="shared" si="16"/>
        <v>03/14/2014</v>
      </c>
      <c r="C1055" t="str">
        <f>"62.9207"</f>
        <v>62.9207</v>
      </c>
      <c r="D1055" s="1" t="s">
        <v>1046</v>
      </c>
      <c r="E1055" t="s">
        <v>5163</v>
      </c>
    </row>
    <row r="1056" spans="1:5" x14ac:dyDescent="0.35">
      <c r="A1056" t="str">
        <f>"2014-03-17"</f>
        <v>2014-03-17</v>
      </c>
      <c r="B1056" s="1" t="str">
        <f t="shared" si="16"/>
        <v>03/17/2014</v>
      </c>
      <c r="C1056" t="str">
        <f>"64.1681"</f>
        <v>64.1681</v>
      </c>
      <c r="D1056" s="1" t="s">
        <v>1047</v>
      </c>
      <c r="E1056" t="s">
        <v>5164</v>
      </c>
    </row>
    <row r="1057" spans="1:5" x14ac:dyDescent="0.35">
      <c r="A1057" t="str">
        <f>"2014-03-18"</f>
        <v>2014-03-18</v>
      </c>
      <c r="B1057" s="1" t="str">
        <f t="shared" si="16"/>
        <v>03/18/2014</v>
      </c>
      <c r="C1057" t="str">
        <f>"66.0232"</f>
        <v>66.0232</v>
      </c>
      <c r="D1057" s="1" t="s">
        <v>1048</v>
      </c>
      <c r="E1057" t="s">
        <v>5165</v>
      </c>
    </row>
    <row r="1058" spans="1:5" x14ac:dyDescent="0.35">
      <c r="A1058" t="str">
        <f>"2014-03-19"</f>
        <v>2014-03-19</v>
      </c>
      <c r="B1058" s="1" t="str">
        <f t="shared" si="16"/>
        <v>03/19/2014</v>
      </c>
      <c r="C1058" t="str">
        <f>"64.1225"</f>
        <v>64.1225</v>
      </c>
      <c r="D1058" s="1" t="s">
        <v>1049</v>
      </c>
      <c r="E1058" t="s">
        <v>5166</v>
      </c>
    </row>
    <row r="1059" spans="1:5" x14ac:dyDescent="0.35">
      <c r="A1059" t="str">
        <f>"2014-03-20"</f>
        <v>2014-03-20</v>
      </c>
      <c r="B1059" s="1" t="str">
        <f t="shared" si="16"/>
        <v>03/20/2014</v>
      </c>
      <c r="C1059" t="str">
        <f>"64.6691"</f>
        <v>64.6691</v>
      </c>
      <c r="D1059" s="1" t="s">
        <v>1050</v>
      </c>
      <c r="E1059" t="s">
        <v>5167</v>
      </c>
    </row>
    <row r="1060" spans="1:5" x14ac:dyDescent="0.35">
      <c r="A1060" t="str">
        <f>"2014-03-21"</f>
        <v>2014-03-21</v>
      </c>
      <c r="B1060" s="1" t="str">
        <f t="shared" si="16"/>
        <v>03/21/2014</v>
      </c>
      <c r="C1060" t="str">
        <f>"64.0909"</f>
        <v>64.0909</v>
      </c>
      <c r="D1060" s="1" t="s">
        <v>1051</v>
      </c>
      <c r="E1060" t="s">
        <v>5168</v>
      </c>
    </row>
    <row r="1061" spans="1:5" x14ac:dyDescent="0.35">
      <c r="A1061" t="str">
        <f>"2014-03-24"</f>
        <v>2014-03-24</v>
      </c>
      <c r="B1061" s="1" t="str">
        <f t="shared" si="16"/>
        <v>03/24/2014</v>
      </c>
      <c r="C1061" t="str">
        <f>"63.6816"</f>
        <v>63.6816</v>
      </c>
      <c r="D1061" s="1" t="s">
        <v>1052</v>
      </c>
      <c r="E1061" t="s">
        <v>5169</v>
      </c>
    </row>
    <row r="1062" spans="1:5" x14ac:dyDescent="0.35">
      <c r="A1062" t="str">
        <f>"2014-03-25"</f>
        <v>2014-03-25</v>
      </c>
      <c r="B1062" s="1" t="str">
        <f t="shared" si="16"/>
        <v>03/25/2014</v>
      </c>
      <c r="C1062" t="str">
        <f>"64.5935"</f>
        <v>64.5935</v>
      </c>
      <c r="D1062" s="1" t="s">
        <v>1053</v>
      </c>
      <c r="E1062" t="s">
        <v>5170</v>
      </c>
    </row>
    <row r="1063" spans="1:5" x14ac:dyDescent="0.35">
      <c r="A1063" t="str">
        <f>"2014-03-26"</f>
        <v>2014-03-26</v>
      </c>
      <c r="B1063" s="1" t="str">
        <f t="shared" si="16"/>
        <v>03/26/2014</v>
      </c>
      <c r="C1063" t="str">
        <f>"67.6431"</f>
        <v>67.6431</v>
      </c>
      <c r="D1063" s="1" t="s">
        <v>1054</v>
      </c>
      <c r="E1063" t="s">
        <v>5171</v>
      </c>
    </row>
    <row r="1064" spans="1:5" x14ac:dyDescent="0.35">
      <c r="A1064" t="str">
        <f>"2014-03-27"</f>
        <v>2014-03-27</v>
      </c>
      <c r="B1064" s="1" t="str">
        <f t="shared" si="16"/>
        <v>03/27/2014</v>
      </c>
      <c r="C1064" t="str">
        <f>"67.9965"</f>
        <v>67.9965</v>
      </c>
      <c r="D1064" s="1" t="s">
        <v>1055</v>
      </c>
      <c r="E1064" t="s">
        <v>5172</v>
      </c>
    </row>
    <row r="1065" spans="1:5" x14ac:dyDescent="0.35">
      <c r="A1065" t="str">
        <f>"2014-03-28"</f>
        <v>2014-03-28</v>
      </c>
      <c r="B1065" s="1" t="str">
        <f t="shared" si="16"/>
        <v>03/28/2014</v>
      </c>
      <c r="C1065" t="str">
        <f>"69.9083"</f>
        <v>69.9083</v>
      </c>
      <c r="D1065" s="1" t="s">
        <v>1056</v>
      </c>
      <c r="E1065" t="s">
        <v>5173</v>
      </c>
    </row>
    <row r="1066" spans="1:5" x14ac:dyDescent="0.35">
      <c r="A1066" t="str">
        <f>"2014-03-31"</f>
        <v>2014-03-31</v>
      </c>
      <c r="B1066" s="1" t="str">
        <f t="shared" si="16"/>
        <v>03/31/2014</v>
      </c>
      <c r="C1066" t="str">
        <f>"73.4036"</f>
        <v>73.4036</v>
      </c>
      <c r="D1066" s="1" t="s">
        <v>1057</v>
      </c>
      <c r="E1066" t="s">
        <v>5174</v>
      </c>
    </row>
    <row r="1067" spans="1:5" x14ac:dyDescent="0.35">
      <c r="A1067" t="str">
        <f>"2014-04-01"</f>
        <v>2014-04-01</v>
      </c>
      <c r="B1067" s="1" t="str">
        <f t="shared" si="16"/>
        <v>04/01/2014</v>
      </c>
      <c r="C1067" t="str">
        <f>"75.7407"</f>
        <v>75.7407</v>
      </c>
      <c r="D1067" s="1" t="s">
        <v>1058</v>
      </c>
      <c r="E1067" t="s">
        <v>5175</v>
      </c>
    </row>
    <row r="1068" spans="1:5" x14ac:dyDescent="0.35">
      <c r="A1068" t="str">
        <f>"2014-04-02"</f>
        <v>2014-04-02</v>
      </c>
      <c r="B1068" s="1" t="str">
        <f t="shared" si="16"/>
        <v>04/02/2014</v>
      </c>
      <c r="C1068" t="str">
        <f>"77.1596"</f>
        <v>77.1596</v>
      </c>
      <c r="D1068" s="1" t="s">
        <v>1059</v>
      </c>
      <c r="E1068" t="s">
        <v>5176</v>
      </c>
    </row>
    <row r="1069" spans="1:5" x14ac:dyDescent="0.35">
      <c r="A1069" t="str">
        <f>"2014-04-03"</f>
        <v>2014-04-03</v>
      </c>
      <c r="B1069" s="1" t="str">
        <f t="shared" si="16"/>
        <v>04/03/2014</v>
      </c>
      <c r="C1069" t="str">
        <f>"77.6593"</f>
        <v>77.6593</v>
      </c>
      <c r="D1069" s="1" t="s">
        <v>1060</v>
      </c>
      <c r="E1069" t="s">
        <v>5177</v>
      </c>
    </row>
    <row r="1070" spans="1:5" x14ac:dyDescent="0.35">
      <c r="A1070" t="str">
        <f>"2014-04-04"</f>
        <v>2014-04-04</v>
      </c>
      <c r="B1070" s="1" t="str">
        <f t="shared" si="16"/>
        <v>04/04/2014</v>
      </c>
      <c r="C1070" t="str">
        <f>"76.4391"</f>
        <v>76.4391</v>
      </c>
      <c r="D1070" s="1" t="s">
        <v>1061</v>
      </c>
      <c r="E1070" t="s">
        <v>5178</v>
      </c>
    </row>
    <row r="1071" spans="1:5" x14ac:dyDescent="0.35">
      <c r="A1071" t="str">
        <f>"2014-04-07"</f>
        <v>2014-04-07</v>
      </c>
      <c r="B1071" s="1" t="str">
        <f t="shared" si="16"/>
        <v>04/07/2014</v>
      </c>
      <c r="C1071" t="str">
        <f>"77.937"</f>
        <v>77.937</v>
      </c>
      <c r="D1071" s="1" t="s">
        <v>1062</v>
      </c>
      <c r="E1071" t="s">
        <v>5179</v>
      </c>
    </row>
    <row r="1072" spans="1:5" x14ac:dyDescent="0.35">
      <c r="A1072" t="str">
        <f>"2014-04-08"</f>
        <v>2014-04-08</v>
      </c>
      <c r="B1072" s="1" t="str">
        <f t="shared" si="16"/>
        <v>04/08/2014</v>
      </c>
      <c r="C1072" t="str">
        <f>"77.807"</f>
        <v>77.807</v>
      </c>
      <c r="D1072" s="1" t="s">
        <v>1063</v>
      </c>
      <c r="E1072" t="s">
        <v>5180</v>
      </c>
    </row>
    <row r="1073" spans="1:5" x14ac:dyDescent="0.35">
      <c r="A1073" t="str">
        <f>"2014-04-09"</f>
        <v>2014-04-09</v>
      </c>
      <c r="B1073" s="1" t="str">
        <f t="shared" si="16"/>
        <v>04/09/2014</v>
      </c>
      <c r="C1073" t="str">
        <f>"76.5977"</f>
        <v>76.5977</v>
      </c>
      <c r="D1073" s="1" t="s">
        <v>1064</v>
      </c>
      <c r="E1073" t="s">
        <v>5181</v>
      </c>
    </row>
    <row r="1074" spans="1:5" x14ac:dyDescent="0.35">
      <c r="A1074" t="str">
        <f>"2014-04-10"</f>
        <v>2014-04-10</v>
      </c>
      <c r="B1074" s="1" t="str">
        <f t="shared" si="16"/>
        <v>04/10/2014</v>
      </c>
      <c r="C1074" t="str">
        <f>"75.6825"</f>
        <v>75.6825</v>
      </c>
      <c r="D1074" s="1" t="s">
        <v>1065</v>
      </c>
      <c r="E1074" t="s">
        <v>5182</v>
      </c>
    </row>
    <row r="1075" spans="1:5" x14ac:dyDescent="0.35">
      <c r="A1075" t="str">
        <f>"2014-04-11"</f>
        <v>2014-04-11</v>
      </c>
      <c r="B1075" s="1" t="str">
        <f t="shared" si="16"/>
        <v>04/11/2014</v>
      </c>
      <c r="C1075" t="str">
        <f>"75.0009"</f>
        <v>75.0009</v>
      </c>
      <c r="D1075" s="1" t="s">
        <v>1066</v>
      </c>
      <c r="E1075" t="s">
        <v>5183</v>
      </c>
    </row>
    <row r="1076" spans="1:5" x14ac:dyDescent="0.35">
      <c r="A1076" t="str">
        <f>"2014-04-14"</f>
        <v>2014-04-14</v>
      </c>
      <c r="B1076" s="1" t="str">
        <f t="shared" si="16"/>
        <v>04/14/2014</v>
      </c>
      <c r="C1076" t="str">
        <f>"75.0763"</f>
        <v>75.0763</v>
      </c>
      <c r="D1076" s="1" t="s">
        <v>1067</v>
      </c>
      <c r="E1076" t="s">
        <v>5184</v>
      </c>
    </row>
    <row r="1077" spans="1:5" x14ac:dyDescent="0.35">
      <c r="A1077" t="str">
        <f>"2014-04-15"</f>
        <v>2014-04-15</v>
      </c>
      <c r="B1077" s="1" t="str">
        <f t="shared" si="16"/>
        <v>04/15/2014</v>
      </c>
      <c r="C1077" t="str">
        <f>"75.1216"</f>
        <v>75.1216</v>
      </c>
      <c r="D1077" s="1" t="s">
        <v>1068</v>
      </c>
      <c r="E1077" t="s">
        <v>5185</v>
      </c>
    </row>
    <row r="1078" spans="1:5" x14ac:dyDescent="0.35">
      <c r="A1078" t="str">
        <f>"2014-04-16"</f>
        <v>2014-04-16</v>
      </c>
      <c r="B1078" s="1" t="str">
        <f t="shared" si="16"/>
        <v>04/16/2014</v>
      </c>
      <c r="C1078" t="str">
        <f>"74.8841"</f>
        <v>74.8841</v>
      </c>
      <c r="D1078" s="1" t="s">
        <v>1069</v>
      </c>
      <c r="E1078" t="s">
        <v>5186</v>
      </c>
    </row>
    <row r="1079" spans="1:5" x14ac:dyDescent="0.35">
      <c r="A1079" t="str">
        <f>"2014-04-17"</f>
        <v>2014-04-17</v>
      </c>
      <c r="B1079" s="1" t="str">
        <f t="shared" si="16"/>
        <v>04/17/2014</v>
      </c>
      <c r="C1079" t="str">
        <f>"76.2609"</f>
        <v>76.2609</v>
      </c>
      <c r="D1079" s="1" t="s">
        <v>1070</v>
      </c>
      <c r="E1079" t="s">
        <v>5187</v>
      </c>
    </row>
    <row r="1080" spans="1:5" x14ac:dyDescent="0.35">
      <c r="A1080" t="str">
        <f>"2014-04-21"</f>
        <v>2014-04-21</v>
      </c>
      <c r="B1080" s="1" t="str">
        <f t="shared" si="16"/>
        <v>04/21/2014</v>
      </c>
      <c r="C1080" t="str">
        <f>"78.2311"</f>
        <v>78.2311</v>
      </c>
      <c r="D1080" s="1" t="s">
        <v>1071</v>
      </c>
      <c r="E1080" t="s">
        <v>5188</v>
      </c>
    </row>
    <row r="1081" spans="1:5" x14ac:dyDescent="0.35">
      <c r="A1081" t="str">
        <f>"2014-04-22"</f>
        <v>2014-04-22</v>
      </c>
      <c r="B1081" s="1" t="str">
        <f t="shared" si="16"/>
        <v>04/22/2014</v>
      </c>
      <c r="C1081" t="str">
        <f>"77.6746"</f>
        <v>77.6746</v>
      </c>
      <c r="D1081" s="1" t="s">
        <v>1072</v>
      </c>
      <c r="E1081" t="s">
        <v>5189</v>
      </c>
    </row>
    <row r="1082" spans="1:5" x14ac:dyDescent="0.35">
      <c r="A1082" t="str">
        <f>"2014-04-23"</f>
        <v>2014-04-23</v>
      </c>
      <c r="B1082" s="1" t="str">
        <f t="shared" si="16"/>
        <v>04/23/2014</v>
      </c>
      <c r="C1082" t="str">
        <f>"77.1389"</f>
        <v>77.1389</v>
      </c>
      <c r="D1082" s="1" t="s">
        <v>1073</v>
      </c>
      <c r="E1082" t="s">
        <v>5190</v>
      </c>
    </row>
    <row r="1083" spans="1:5" x14ac:dyDescent="0.35">
      <c r="A1083" t="str">
        <f>"2014-04-24"</f>
        <v>2014-04-24</v>
      </c>
      <c r="B1083" s="1" t="str">
        <f t="shared" si="16"/>
        <v>04/24/2014</v>
      </c>
      <c r="C1083" t="str">
        <f>"75.1857"</f>
        <v>75.1857</v>
      </c>
      <c r="D1083" s="1" t="s">
        <v>1074</v>
      </c>
      <c r="E1083" t="s">
        <v>5191</v>
      </c>
    </row>
    <row r="1084" spans="1:5" x14ac:dyDescent="0.35">
      <c r="A1084" t="str">
        <f>"2014-04-25"</f>
        <v>2014-04-25</v>
      </c>
      <c r="B1084" s="1" t="str">
        <f t="shared" si="16"/>
        <v>04/25/2014</v>
      </c>
      <c r="C1084" t="str">
        <f>"73.2868"</f>
        <v>73.2868</v>
      </c>
      <c r="D1084" s="1" t="s">
        <v>1075</v>
      </c>
      <c r="E1084" t="s">
        <v>5192</v>
      </c>
    </row>
    <row r="1085" spans="1:5" x14ac:dyDescent="0.35">
      <c r="A1085" t="str">
        <f>"2014-04-28"</f>
        <v>2014-04-28</v>
      </c>
      <c r="B1085" s="1" t="str">
        <f t="shared" si="16"/>
        <v>04/28/2014</v>
      </c>
      <c r="C1085" t="str">
        <f>"73.9054"</f>
        <v>73.9054</v>
      </c>
      <c r="D1085" s="1" t="s">
        <v>1076</v>
      </c>
      <c r="E1085" t="s">
        <v>5193</v>
      </c>
    </row>
    <row r="1086" spans="1:5" x14ac:dyDescent="0.35">
      <c r="A1086" t="str">
        <f>"2014-04-29"</f>
        <v>2014-04-29</v>
      </c>
      <c r="B1086" s="1" t="str">
        <f t="shared" si="16"/>
        <v>04/29/2014</v>
      </c>
      <c r="C1086" t="str">
        <f>"73.9991"</f>
        <v>73.9991</v>
      </c>
      <c r="D1086" s="1" t="s">
        <v>1077</v>
      </c>
      <c r="E1086" t="s">
        <v>5194</v>
      </c>
    </row>
    <row r="1087" spans="1:5" x14ac:dyDescent="0.35">
      <c r="A1087" t="str">
        <f>"2014-04-30"</f>
        <v>2014-04-30</v>
      </c>
      <c r="B1087" s="1" t="str">
        <f t="shared" si="16"/>
        <v>04/30/2014</v>
      </c>
      <c r="C1087" t="str">
        <f>"76.4014"</f>
        <v>76.4014</v>
      </c>
      <c r="D1087" s="1" t="s">
        <v>1078</v>
      </c>
      <c r="E1087" t="s">
        <v>5195</v>
      </c>
    </row>
    <row r="1088" spans="1:5" x14ac:dyDescent="0.35">
      <c r="A1088" t="str">
        <f>"2014-05-01"</f>
        <v>2014-05-01</v>
      </c>
      <c r="B1088" s="1" t="str">
        <f t="shared" si="16"/>
        <v>05/01/2014</v>
      </c>
      <c r="C1088" t="str">
        <f>"77.5082"</f>
        <v>77.5082</v>
      </c>
      <c r="D1088" s="1" t="s">
        <v>1079</v>
      </c>
      <c r="E1088" t="s">
        <v>5196</v>
      </c>
    </row>
    <row r="1089" spans="1:5" x14ac:dyDescent="0.35">
      <c r="A1089" t="str">
        <f>"2014-05-02"</f>
        <v>2014-05-02</v>
      </c>
      <c r="B1089" s="1" t="str">
        <f t="shared" si="16"/>
        <v>05/02/2014</v>
      </c>
      <c r="C1089" t="str">
        <f>"76.5372"</f>
        <v>76.5372</v>
      </c>
      <c r="D1089" s="1" t="s">
        <v>1080</v>
      </c>
      <c r="E1089" t="s">
        <v>5197</v>
      </c>
    </row>
    <row r="1090" spans="1:5" x14ac:dyDescent="0.35">
      <c r="A1090" t="str">
        <f>"2014-05-05"</f>
        <v>2014-05-05</v>
      </c>
      <c r="B1090" s="1" t="str">
        <f t="shared" si="16"/>
        <v>05/05/2014</v>
      </c>
      <c r="C1090" t="str">
        <f>"75.102"</f>
        <v>75.102</v>
      </c>
      <c r="D1090" s="1" t="s">
        <v>1081</v>
      </c>
      <c r="E1090" t="s">
        <v>5198</v>
      </c>
    </row>
    <row r="1091" spans="1:5" x14ac:dyDescent="0.35">
      <c r="A1091" t="str">
        <f>"2014-05-06"</f>
        <v>2014-05-06</v>
      </c>
      <c r="B1091" s="1" t="str">
        <f t="shared" ref="B1091:B1154" si="17">LEFT(RIGHT(A1091,5),2)&amp;"/"&amp;RIGHT(A1091,2)&amp;"/"&amp;LEFT(A1091,4)</f>
        <v>05/06/2014</v>
      </c>
      <c r="C1091" t="str">
        <f>"75.7663"</f>
        <v>75.7663</v>
      </c>
      <c r="D1091" s="1" t="s">
        <v>1082</v>
      </c>
      <c r="E1091" t="s">
        <v>5199</v>
      </c>
    </row>
    <row r="1092" spans="1:5" x14ac:dyDescent="0.35">
      <c r="A1092" t="str">
        <f>"2014-05-07"</f>
        <v>2014-05-07</v>
      </c>
      <c r="B1092" s="1" t="str">
        <f t="shared" si="17"/>
        <v>05/07/2014</v>
      </c>
      <c r="C1092" t="str">
        <f>"76.9462"</f>
        <v>76.9462</v>
      </c>
      <c r="D1092" s="1" t="s">
        <v>1083</v>
      </c>
      <c r="E1092" t="s">
        <v>5200</v>
      </c>
    </row>
    <row r="1093" spans="1:5" x14ac:dyDescent="0.35">
      <c r="A1093" t="str">
        <f>"2014-05-08"</f>
        <v>2014-05-08</v>
      </c>
      <c r="B1093" s="1" t="str">
        <f t="shared" si="17"/>
        <v>05/08/2014</v>
      </c>
      <c r="C1093" t="str">
        <f>"78.4979"</f>
        <v>78.4979</v>
      </c>
      <c r="D1093" s="1" t="s">
        <v>1084</v>
      </c>
      <c r="E1093" t="s">
        <v>5201</v>
      </c>
    </row>
    <row r="1094" spans="1:5" x14ac:dyDescent="0.35">
      <c r="A1094" t="str">
        <f>"2014-05-09"</f>
        <v>2014-05-09</v>
      </c>
      <c r="B1094" s="1" t="str">
        <f t="shared" si="17"/>
        <v>05/09/2014</v>
      </c>
      <c r="C1094" t="str">
        <f>"77.9841"</f>
        <v>77.9841</v>
      </c>
      <c r="D1094" s="1" t="s">
        <v>1085</v>
      </c>
      <c r="E1094" t="s">
        <v>5202</v>
      </c>
    </row>
    <row r="1095" spans="1:5" x14ac:dyDescent="0.35">
      <c r="A1095" t="str">
        <f>"2014-05-12"</f>
        <v>2014-05-12</v>
      </c>
      <c r="B1095" s="1" t="str">
        <f t="shared" si="17"/>
        <v>05/12/2014</v>
      </c>
      <c r="C1095" t="str">
        <f>"78.6634"</f>
        <v>78.6634</v>
      </c>
      <c r="D1095" s="1" t="s">
        <v>1086</v>
      </c>
      <c r="E1095" t="s">
        <v>5203</v>
      </c>
    </row>
    <row r="1096" spans="1:5" x14ac:dyDescent="0.35">
      <c r="A1096" t="str">
        <f>"2014-05-13"</f>
        <v>2014-05-13</v>
      </c>
      <c r="B1096" s="1" t="str">
        <f t="shared" si="17"/>
        <v>05/13/2014</v>
      </c>
      <c r="C1096" t="str">
        <f>"80.0206"</f>
        <v>80.0206</v>
      </c>
      <c r="D1096" s="1" t="s">
        <v>1087</v>
      </c>
      <c r="E1096" t="s">
        <v>5204</v>
      </c>
    </row>
    <row r="1097" spans="1:5" x14ac:dyDescent="0.35">
      <c r="A1097" t="str">
        <f>"2014-05-14"</f>
        <v>2014-05-14</v>
      </c>
      <c r="B1097" s="1" t="str">
        <f t="shared" si="17"/>
        <v>05/14/2014</v>
      </c>
      <c r="C1097" t="str">
        <f>"81.5787"</f>
        <v>81.5787</v>
      </c>
      <c r="D1097" s="1" t="s">
        <v>1088</v>
      </c>
      <c r="E1097" t="s">
        <v>5205</v>
      </c>
    </row>
    <row r="1098" spans="1:5" x14ac:dyDescent="0.35">
      <c r="A1098" t="str">
        <f>"2014-05-15"</f>
        <v>2014-05-15</v>
      </c>
      <c r="B1098" s="1" t="str">
        <f t="shared" si="17"/>
        <v>05/15/2014</v>
      </c>
      <c r="C1098" t="str">
        <f>"79.7786"</f>
        <v>79.7786</v>
      </c>
      <c r="D1098" s="1" t="s">
        <v>1089</v>
      </c>
      <c r="E1098" t="s">
        <v>5206</v>
      </c>
    </row>
    <row r="1099" spans="1:5" x14ac:dyDescent="0.35">
      <c r="A1099" t="str">
        <f>"2014-05-16"</f>
        <v>2014-05-16</v>
      </c>
      <c r="B1099" s="1" t="str">
        <f t="shared" si="17"/>
        <v>05/16/2014</v>
      </c>
      <c r="C1099" t="str">
        <f>"78.974"</f>
        <v>78.974</v>
      </c>
      <c r="D1099" s="1" t="s">
        <v>1090</v>
      </c>
      <c r="E1099" t="s">
        <v>5207</v>
      </c>
    </row>
    <row r="1100" spans="1:5" x14ac:dyDescent="0.35">
      <c r="A1100" t="str">
        <f>"2014-05-19"</f>
        <v>2014-05-19</v>
      </c>
      <c r="B1100" s="1" t="str">
        <f t="shared" si="17"/>
        <v>05/19/2014</v>
      </c>
      <c r="C1100" t="str">
        <f>"79.0159"</f>
        <v>79.0159</v>
      </c>
      <c r="D1100" s="1" t="s">
        <v>1091</v>
      </c>
      <c r="E1100" t="s">
        <v>5208</v>
      </c>
    </row>
    <row r="1101" spans="1:5" x14ac:dyDescent="0.35">
      <c r="A1101" t="str">
        <f>"2014-05-20"</f>
        <v>2014-05-20</v>
      </c>
      <c r="B1101" s="1" t="str">
        <f t="shared" si="17"/>
        <v>05/20/2014</v>
      </c>
      <c r="C1101" t="str">
        <f>"78.7912"</f>
        <v>78.7912</v>
      </c>
      <c r="D1101" s="1" t="s">
        <v>1092</v>
      </c>
      <c r="E1101" t="s">
        <v>5209</v>
      </c>
    </row>
    <row r="1102" spans="1:5" x14ac:dyDescent="0.35">
      <c r="A1102" t="str">
        <f>"2014-05-21"</f>
        <v>2014-05-21</v>
      </c>
      <c r="B1102" s="1" t="str">
        <f t="shared" si="17"/>
        <v>05/21/2014</v>
      </c>
      <c r="C1102" t="str">
        <f>"79.7114"</f>
        <v>79.7114</v>
      </c>
      <c r="D1102" s="1" t="s">
        <v>1093</v>
      </c>
      <c r="E1102" t="s">
        <v>5210</v>
      </c>
    </row>
    <row r="1103" spans="1:5" x14ac:dyDescent="0.35">
      <c r="A1103" t="str">
        <f>"2014-05-22"</f>
        <v>2014-05-22</v>
      </c>
      <c r="B1103" s="1" t="str">
        <f t="shared" si="17"/>
        <v>05/22/2014</v>
      </c>
      <c r="C1103" t="str">
        <f>"80.9098"</f>
        <v>80.9098</v>
      </c>
      <c r="D1103" s="1" t="s">
        <v>1094</v>
      </c>
      <c r="E1103" t="s">
        <v>5211</v>
      </c>
    </row>
    <row r="1104" spans="1:5" x14ac:dyDescent="0.35">
      <c r="A1104" t="str">
        <f>"2014-05-23"</f>
        <v>2014-05-23</v>
      </c>
      <c r="B1104" s="1" t="str">
        <f t="shared" si="17"/>
        <v>05/23/2014</v>
      </c>
      <c r="C1104" t="str">
        <f>"81.5718"</f>
        <v>81.5718</v>
      </c>
      <c r="D1104" s="1" t="s">
        <v>1095</v>
      </c>
      <c r="E1104" t="s">
        <v>5212</v>
      </c>
    </row>
    <row r="1105" spans="1:5" x14ac:dyDescent="0.35">
      <c r="A1105" t="str">
        <f>"2014-05-27"</f>
        <v>2014-05-27</v>
      </c>
      <c r="B1105" s="1" t="str">
        <f t="shared" si="17"/>
        <v>05/27/2014</v>
      </c>
      <c r="C1105" t="str">
        <f>"83.4508"</f>
        <v>83.4508</v>
      </c>
      <c r="D1105" s="1" t="s">
        <v>1096</v>
      </c>
      <c r="E1105" t="s">
        <v>5213</v>
      </c>
    </row>
    <row r="1106" spans="1:5" x14ac:dyDescent="0.35">
      <c r="A1106" t="str">
        <f>"2014-05-28"</f>
        <v>2014-05-28</v>
      </c>
      <c r="B1106" s="1" t="str">
        <f t="shared" si="17"/>
        <v>05/28/2014</v>
      </c>
      <c r="C1106" t="str">
        <f>"82.7679"</f>
        <v>82.7679</v>
      </c>
      <c r="D1106" s="1" t="s">
        <v>1097</v>
      </c>
      <c r="E1106" t="s">
        <v>5214</v>
      </c>
    </row>
    <row r="1107" spans="1:5" x14ac:dyDescent="0.35">
      <c r="A1107" t="str">
        <f>"2014-05-29"</f>
        <v>2014-05-29</v>
      </c>
      <c r="B1107" s="1" t="str">
        <f t="shared" si="17"/>
        <v>05/29/2014</v>
      </c>
      <c r="C1107" t="str">
        <f>"84.0507"</f>
        <v>84.0507</v>
      </c>
      <c r="D1107" s="1" t="s">
        <v>1098</v>
      </c>
      <c r="E1107" t="s">
        <v>5215</v>
      </c>
    </row>
    <row r="1108" spans="1:5" x14ac:dyDescent="0.35">
      <c r="A1108" t="str">
        <f>"2014-05-30"</f>
        <v>2014-05-30</v>
      </c>
      <c r="B1108" s="1" t="str">
        <f t="shared" si="17"/>
        <v>05/30/2014</v>
      </c>
      <c r="C1108" t="str">
        <f>"85.3018"</f>
        <v>85.3018</v>
      </c>
      <c r="D1108" s="1" t="s">
        <v>1099</v>
      </c>
      <c r="E1108" t="s">
        <v>5216</v>
      </c>
    </row>
    <row r="1109" spans="1:5" x14ac:dyDescent="0.35">
      <c r="A1109" t="str">
        <f>"2014-06-02"</f>
        <v>2014-06-02</v>
      </c>
      <c r="B1109" s="1" t="str">
        <f t="shared" si="17"/>
        <v>06/02/2014</v>
      </c>
      <c r="C1109" t="str">
        <f>"85.8127"</f>
        <v>85.8127</v>
      </c>
      <c r="D1109" s="1" t="s">
        <v>1100</v>
      </c>
      <c r="E1109" t="s">
        <v>5217</v>
      </c>
    </row>
    <row r="1110" spans="1:5" x14ac:dyDescent="0.35">
      <c r="A1110" t="str">
        <f>"2014-06-03"</f>
        <v>2014-06-03</v>
      </c>
      <c r="B1110" s="1" t="str">
        <f t="shared" si="17"/>
        <v>06/03/2014</v>
      </c>
      <c r="C1110" t="str">
        <f>"84.5877"</f>
        <v>84.5877</v>
      </c>
      <c r="D1110" s="1" t="s">
        <v>1101</v>
      </c>
      <c r="E1110" t="s">
        <v>5218</v>
      </c>
    </row>
    <row r="1111" spans="1:5" x14ac:dyDescent="0.35">
      <c r="A1111" t="str">
        <f>"2014-06-04"</f>
        <v>2014-06-04</v>
      </c>
      <c r="B1111" s="1" t="str">
        <f t="shared" si="17"/>
        <v>06/04/2014</v>
      </c>
      <c r="C1111" t="str">
        <f>"83.1463"</f>
        <v>83.1463</v>
      </c>
      <c r="D1111" s="1" t="s">
        <v>1102</v>
      </c>
      <c r="E1111" t="s">
        <v>5219</v>
      </c>
    </row>
    <row r="1112" spans="1:5" x14ac:dyDescent="0.35">
      <c r="A1112" t="str">
        <f>"2014-06-05"</f>
        <v>2014-06-05</v>
      </c>
      <c r="B1112" s="1" t="str">
        <f t="shared" si="17"/>
        <v>06/05/2014</v>
      </c>
      <c r="C1112" t="str">
        <f>"83.7072"</f>
        <v>83.7072</v>
      </c>
      <c r="D1112" s="1" t="s">
        <v>1103</v>
      </c>
      <c r="E1112" t="s">
        <v>5220</v>
      </c>
    </row>
    <row r="1113" spans="1:5" x14ac:dyDescent="0.35">
      <c r="A1113" t="str">
        <f>"2014-06-06"</f>
        <v>2014-06-06</v>
      </c>
      <c r="B1113" s="1" t="str">
        <f t="shared" si="17"/>
        <v>06/06/2014</v>
      </c>
      <c r="C1113" t="str">
        <f>"85.395"</f>
        <v>85.395</v>
      </c>
      <c r="D1113" s="1" t="s">
        <v>1104</v>
      </c>
      <c r="E1113" t="s">
        <v>5221</v>
      </c>
    </row>
    <row r="1114" spans="1:5" x14ac:dyDescent="0.35">
      <c r="A1114" t="str">
        <f>"2014-06-09"</f>
        <v>2014-06-09</v>
      </c>
      <c r="B1114" s="1" t="str">
        <f t="shared" si="17"/>
        <v>06/09/2014</v>
      </c>
      <c r="C1114" t="str">
        <f>"85.7691"</f>
        <v>85.7691</v>
      </c>
      <c r="D1114" s="1" t="s">
        <v>1105</v>
      </c>
      <c r="E1114" t="s">
        <v>5222</v>
      </c>
    </row>
    <row r="1115" spans="1:5" x14ac:dyDescent="0.35">
      <c r="A1115" t="str">
        <f>"2014-06-10"</f>
        <v>2014-06-10</v>
      </c>
      <c r="B1115" s="1" t="str">
        <f t="shared" si="17"/>
        <v>06/10/2014</v>
      </c>
      <c r="C1115" t="str">
        <f>"85.1039"</f>
        <v>85.1039</v>
      </c>
      <c r="D1115" s="1" t="s">
        <v>1106</v>
      </c>
      <c r="E1115" t="s">
        <v>5223</v>
      </c>
    </row>
    <row r="1116" spans="1:5" x14ac:dyDescent="0.35">
      <c r="A1116" t="str">
        <f>"2014-06-11"</f>
        <v>2014-06-11</v>
      </c>
      <c r="B1116" s="1" t="str">
        <f t="shared" si="17"/>
        <v>06/11/2014</v>
      </c>
      <c r="C1116" t="str">
        <f>"81.7701"</f>
        <v>81.7701</v>
      </c>
      <c r="D1116" s="1" t="s">
        <v>1107</v>
      </c>
      <c r="E1116" t="s">
        <v>5224</v>
      </c>
    </row>
    <row r="1117" spans="1:5" x14ac:dyDescent="0.35">
      <c r="A1117" t="str">
        <f>"2014-06-12"</f>
        <v>2014-06-12</v>
      </c>
      <c r="B1117" s="1" t="str">
        <f t="shared" si="17"/>
        <v>06/12/2014</v>
      </c>
      <c r="C1117" t="str">
        <f>"79.5131"</f>
        <v>79.5131</v>
      </c>
      <c r="D1117" s="1" t="s">
        <v>1108</v>
      </c>
      <c r="E1117" t="s">
        <v>5225</v>
      </c>
    </row>
    <row r="1118" spans="1:5" x14ac:dyDescent="0.35">
      <c r="A1118" t="str">
        <f>"2014-06-13"</f>
        <v>2014-06-13</v>
      </c>
      <c r="B1118" s="1" t="str">
        <f t="shared" si="17"/>
        <v>06/13/2014</v>
      </c>
      <c r="C1118" t="str">
        <f>"77.1516"</f>
        <v>77.1516</v>
      </c>
      <c r="D1118" s="1" t="s">
        <v>1109</v>
      </c>
      <c r="E1118" t="s">
        <v>5226</v>
      </c>
    </row>
    <row r="1119" spans="1:5" x14ac:dyDescent="0.35">
      <c r="A1119" t="str">
        <f>"2014-06-16"</f>
        <v>2014-06-16</v>
      </c>
      <c r="B1119" s="1" t="str">
        <f t="shared" si="17"/>
        <v>06/16/2014</v>
      </c>
      <c r="C1119" t="str">
        <f>"76.0691"</f>
        <v>76.0691</v>
      </c>
      <c r="D1119" s="1" t="s">
        <v>1110</v>
      </c>
      <c r="E1119" t="s">
        <v>5227</v>
      </c>
    </row>
    <row r="1120" spans="1:5" x14ac:dyDescent="0.35">
      <c r="A1120" t="str">
        <f>"2014-06-17"</f>
        <v>2014-06-17</v>
      </c>
      <c r="B1120" s="1" t="str">
        <f t="shared" si="17"/>
        <v>06/17/2014</v>
      </c>
      <c r="C1120" t="str">
        <f>"76.0298"</f>
        <v>76.0298</v>
      </c>
      <c r="D1120" s="1" t="s">
        <v>1111</v>
      </c>
      <c r="E1120" t="s">
        <v>5228</v>
      </c>
    </row>
    <row r="1121" spans="1:5" x14ac:dyDescent="0.35">
      <c r="A1121" t="str">
        <f>"2014-06-18"</f>
        <v>2014-06-18</v>
      </c>
      <c r="B1121" s="1" t="str">
        <f t="shared" si="17"/>
        <v>06/18/2014</v>
      </c>
      <c r="C1121" t="str">
        <f>"76.098"</f>
        <v>76.098</v>
      </c>
      <c r="D1121" s="1" t="s">
        <v>1112</v>
      </c>
      <c r="E1121" t="s">
        <v>5229</v>
      </c>
    </row>
    <row r="1122" spans="1:5" x14ac:dyDescent="0.35">
      <c r="A1122" t="str">
        <f>"2014-06-19"</f>
        <v>2014-06-19</v>
      </c>
      <c r="B1122" s="1" t="str">
        <f t="shared" si="17"/>
        <v>06/19/2014</v>
      </c>
      <c r="C1122" t="str">
        <f>"74.7089"</f>
        <v>74.7089</v>
      </c>
      <c r="D1122" s="1" t="s">
        <v>1113</v>
      </c>
      <c r="E1122" t="s">
        <v>5230</v>
      </c>
    </row>
    <row r="1123" spans="1:5" x14ac:dyDescent="0.35">
      <c r="A1123" t="str">
        <f>"2014-06-20"</f>
        <v>2014-06-20</v>
      </c>
      <c r="B1123" s="1" t="str">
        <f t="shared" si="17"/>
        <v>06/20/2014</v>
      </c>
      <c r="C1123" t="str">
        <f>"73.3174"</f>
        <v>73.3174</v>
      </c>
      <c r="D1123" s="1" t="s">
        <v>1114</v>
      </c>
      <c r="E1123" t="s">
        <v>5231</v>
      </c>
    </row>
    <row r="1124" spans="1:5" x14ac:dyDescent="0.35">
      <c r="A1124" t="str">
        <f>"2014-06-23"</f>
        <v>2014-06-23</v>
      </c>
      <c r="B1124" s="1" t="str">
        <f t="shared" si="17"/>
        <v>06/23/2014</v>
      </c>
      <c r="C1124" t="str">
        <f>"73.1247"</f>
        <v>73.1247</v>
      </c>
      <c r="D1124" s="1" t="s">
        <v>1115</v>
      </c>
      <c r="E1124" t="s">
        <v>5232</v>
      </c>
    </row>
    <row r="1125" spans="1:5" x14ac:dyDescent="0.35">
      <c r="A1125" t="str">
        <f>"2014-06-24"</f>
        <v>2014-06-24</v>
      </c>
      <c r="B1125" s="1" t="str">
        <f t="shared" si="17"/>
        <v>06/24/2014</v>
      </c>
      <c r="C1125" t="str">
        <f>"72.7715"</f>
        <v>72.7715</v>
      </c>
      <c r="D1125" s="1" t="s">
        <v>1116</v>
      </c>
      <c r="E1125" t="s">
        <v>5233</v>
      </c>
    </row>
    <row r="1126" spans="1:5" x14ac:dyDescent="0.35">
      <c r="A1126" t="str">
        <f>"2014-06-25"</f>
        <v>2014-06-25</v>
      </c>
      <c r="B1126" s="1" t="str">
        <f t="shared" si="17"/>
        <v>06/25/2014</v>
      </c>
      <c r="C1126" t="str">
        <f>"72.8333"</f>
        <v>72.8333</v>
      </c>
      <c r="D1126" s="1" t="s">
        <v>1117</v>
      </c>
      <c r="E1126" t="s">
        <v>5234</v>
      </c>
    </row>
    <row r="1127" spans="1:5" x14ac:dyDescent="0.35">
      <c r="A1127" t="str">
        <f>"2014-06-26"</f>
        <v>2014-06-26</v>
      </c>
      <c r="B1127" s="1" t="str">
        <f t="shared" si="17"/>
        <v>06/26/2014</v>
      </c>
      <c r="C1127" t="str">
        <f>"72.6923"</f>
        <v>72.6923</v>
      </c>
      <c r="D1127" s="1" t="s">
        <v>1118</v>
      </c>
      <c r="E1127" t="s">
        <v>5235</v>
      </c>
    </row>
    <row r="1128" spans="1:5" x14ac:dyDescent="0.35">
      <c r="A1128" t="str">
        <f>"2014-06-27"</f>
        <v>2014-06-27</v>
      </c>
      <c r="B1128" s="1" t="str">
        <f t="shared" si="17"/>
        <v>06/27/2014</v>
      </c>
      <c r="C1128" t="str">
        <f>"72.7905"</f>
        <v>72.7905</v>
      </c>
      <c r="D1128" s="1" t="s">
        <v>1119</v>
      </c>
      <c r="E1128" t="s">
        <v>5236</v>
      </c>
    </row>
    <row r="1129" spans="1:5" x14ac:dyDescent="0.35">
      <c r="A1129" t="str">
        <f>"2014-06-30"</f>
        <v>2014-06-30</v>
      </c>
      <c r="B1129" s="1" t="str">
        <f t="shared" si="17"/>
        <v>06/30/2014</v>
      </c>
      <c r="C1129" t="str">
        <f>"71.9181"</f>
        <v>71.9181</v>
      </c>
      <c r="D1129" s="1" t="s">
        <v>1120</v>
      </c>
      <c r="E1129" t="s">
        <v>5237</v>
      </c>
    </row>
    <row r="1130" spans="1:5" x14ac:dyDescent="0.35">
      <c r="A1130" t="str">
        <f>"2014-07-01"</f>
        <v>2014-07-01</v>
      </c>
      <c r="B1130" s="1" t="str">
        <f t="shared" si="17"/>
        <v>07/01/2014</v>
      </c>
      <c r="C1130" t="str">
        <f>"70.2169"</f>
        <v>70.2169</v>
      </c>
      <c r="D1130" s="1" t="s">
        <v>1121</v>
      </c>
      <c r="E1130" t="s">
        <v>5238</v>
      </c>
    </row>
    <row r="1131" spans="1:5" x14ac:dyDescent="0.35">
      <c r="A1131" t="str">
        <f>"2014-07-02"</f>
        <v>2014-07-02</v>
      </c>
      <c r="B1131" s="1" t="str">
        <f t="shared" si="17"/>
        <v>07/02/2014</v>
      </c>
      <c r="C1131" t="str">
        <f>"69.6358"</f>
        <v>69.6358</v>
      </c>
      <c r="D1131" s="1" t="s">
        <v>1122</v>
      </c>
      <c r="E1131" t="s">
        <v>5239</v>
      </c>
    </row>
    <row r="1132" spans="1:5" x14ac:dyDescent="0.35">
      <c r="A1132" t="str">
        <f>"2014-07-03"</f>
        <v>2014-07-03</v>
      </c>
      <c r="B1132" s="1" t="str">
        <f t="shared" si="17"/>
        <v>07/03/2014</v>
      </c>
      <c r="C1132" t="str">
        <f>"71.7969"</f>
        <v>71.7969</v>
      </c>
      <c r="D1132" s="1" t="s">
        <v>1123</v>
      </c>
      <c r="E1132" t="s">
        <v>5240</v>
      </c>
    </row>
    <row r="1133" spans="1:5" x14ac:dyDescent="0.35">
      <c r="A1133" t="str">
        <f>"2014-07-07"</f>
        <v>2014-07-07</v>
      </c>
      <c r="B1133" s="1" t="str">
        <f t="shared" si="17"/>
        <v>07/07/2014</v>
      </c>
      <c r="C1133" t="str">
        <f>"73.3565"</f>
        <v>73.3565</v>
      </c>
      <c r="D1133" s="1" t="s">
        <v>1124</v>
      </c>
      <c r="E1133" t="s">
        <v>5241</v>
      </c>
    </row>
    <row r="1134" spans="1:5" x14ac:dyDescent="0.35">
      <c r="A1134" t="str">
        <f>"2014-07-08"</f>
        <v>2014-07-08</v>
      </c>
      <c r="B1134" s="1" t="str">
        <f t="shared" si="17"/>
        <v>07/08/2014</v>
      </c>
      <c r="C1134" t="str">
        <f>"72.2881"</f>
        <v>72.2881</v>
      </c>
      <c r="D1134" s="1" t="s">
        <v>1125</v>
      </c>
      <c r="E1134" t="s">
        <v>5242</v>
      </c>
    </row>
    <row r="1135" spans="1:5" x14ac:dyDescent="0.35">
      <c r="A1135" t="str">
        <f>"2014-07-09"</f>
        <v>2014-07-09</v>
      </c>
      <c r="B1135" s="1" t="str">
        <f t="shared" si="17"/>
        <v>07/09/2014</v>
      </c>
      <c r="C1135" t="str">
        <f>"73.8974"</f>
        <v>73.8974</v>
      </c>
      <c r="D1135" s="1" t="s">
        <v>1126</v>
      </c>
      <c r="E1135" t="s">
        <v>5243</v>
      </c>
    </row>
    <row r="1136" spans="1:5" x14ac:dyDescent="0.35">
      <c r="A1136" t="str">
        <f>"2014-07-10"</f>
        <v>2014-07-10</v>
      </c>
      <c r="B1136" s="1" t="str">
        <f t="shared" si="17"/>
        <v>07/10/2014</v>
      </c>
      <c r="C1136" t="str">
        <f>"72.5077"</f>
        <v>72.5077</v>
      </c>
      <c r="D1136" s="1" t="s">
        <v>1127</v>
      </c>
      <c r="E1136" t="s">
        <v>5244</v>
      </c>
    </row>
    <row r="1137" spans="1:5" x14ac:dyDescent="0.35">
      <c r="A1137" t="str">
        <f>"2014-07-11"</f>
        <v>2014-07-11</v>
      </c>
      <c r="B1137" s="1" t="str">
        <f t="shared" si="17"/>
        <v>07/11/2014</v>
      </c>
      <c r="C1137" t="str">
        <f>"73.9771"</f>
        <v>73.9771</v>
      </c>
      <c r="D1137" s="1" t="s">
        <v>1128</v>
      </c>
      <c r="E1137" t="s">
        <v>5245</v>
      </c>
    </row>
    <row r="1138" spans="1:5" x14ac:dyDescent="0.35">
      <c r="A1138" t="str">
        <f>"2014-07-14"</f>
        <v>2014-07-14</v>
      </c>
      <c r="B1138" s="1" t="str">
        <f t="shared" si="17"/>
        <v>07/14/2014</v>
      </c>
      <c r="C1138" t="str">
        <f>"76.1835"</f>
        <v>76.1835</v>
      </c>
      <c r="D1138" s="1" t="s">
        <v>1129</v>
      </c>
      <c r="E1138" t="s">
        <v>5246</v>
      </c>
    </row>
    <row r="1139" spans="1:5" x14ac:dyDescent="0.35">
      <c r="A1139" t="str">
        <f>"2014-07-15"</f>
        <v>2014-07-15</v>
      </c>
      <c r="B1139" s="1" t="str">
        <f t="shared" si="17"/>
        <v>07/15/2014</v>
      </c>
      <c r="C1139" t="str">
        <f>"77.4126"</f>
        <v>77.4126</v>
      </c>
      <c r="D1139" s="1" t="s">
        <v>1130</v>
      </c>
      <c r="E1139" t="s">
        <v>5247</v>
      </c>
    </row>
    <row r="1140" spans="1:5" x14ac:dyDescent="0.35">
      <c r="A1140" t="str">
        <f>"2014-07-16"</f>
        <v>2014-07-16</v>
      </c>
      <c r="B1140" s="1" t="str">
        <f t="shared" si="17"/>
        <v>07/16/2014</v>
      </c>
      <c r="C1140" t="str">
        <f>"76.8699"</f>
        <v>76.8699</v>
      </c>
      <c r="D1140" s="1" t="s">
        <v>1131</v>
      </c>
      <c r="E1140" t="s">
        <v>5248</v>
      </c>
    </row>
    <row r="1141" spans="1:5" x14ac:dyDescent="0.35">
      <c r="A1141" t="str">
        <f>"2014-07-17"</f>
        <v>2014-07-17</v>
      </c>
      <c r="B1141" s="1" t="str">
        <f t="shared" si="17"/>
        <v>07/17/2014</v>
      </c>
      <c r="C1141" t="str">
        <f>"75.0841"</f>
        <v>75.0841</v>
      </c>
      <c r="D1141" s="1" t="s">
        <v>1132</v>
      </c>
      <c r="E1141" t="s">
        <v>5249</v>
      </c>
    </row>
    <row r="1142" spans="1:5" x14ac:dyDescent="0.35">
      <c r="A1142" t="str">
        <f>"2014-07-18"</f>
        <v>2014-07-18</v>
      </c>
      <c r="B1142" s="1" t="str">
        <f t="shared" si="17"/>
        <v>07/18/2014</v>
      </c>
      <c r="C1142" t="str">
        <f>"73.6105"</f>
        <v>73.6105</v>
      </c>
      <c r="D1142" s="1" t="s">
        <v>1133</v>
      </c>
      <c r="E1142" t="s">
        <v>5250</v>
      </c>
    </row>
    <row r="1143" spans="1:5" x14ac:dyDescent="0.35">
      <c r="A1143" t="str">
        <f>"2014-07-21"</f>
        <v>2014-07-21</v>
      </c>
      <c r="B1143" s="1" t="str">
        <f t="shared" si="17"/>
        <v>07/21/2014</v>
      </c>
      <c r="C1143" t="str">
        <f>"73.7661"</f>
        <v>73.7661</v>
      </c>
      <c r="D1143" s="1" t="s">
        <v>1134</v>
      </c>
      <c r="E1143" t="s">
        <v>5251</v>
      </c>
    </row>
    <row r="1144" spans="1:5" x14ac:dyDescent="0.35">
      <c r="A1144" t="str">
        <f>"2014-07-22"</f>
        <v>2014-07-22</v>
      </c>
      <c r="B1144" s="1" t="str">
        <f t="shared" si="17"/>
        <v>07/22/2014</v>
      </c>
      <c r="C1144" t="str">
        <f>"74.7818"</f>
        <v>74.7818</v>
      </c>
      <c r="D1144" s="1" t="s">
        <v>1135</v>
      </c>
      <c r="E1144" t="s">
        <v>5252</v>
      </c>
    </row>
    <row r="1145" spans="1:5" x14ac:dyDescent="0.35">
      <c r="A1145" t="str">
        <f>"2014-07-23"</f>
        <v>2014-07-23</v>
      </c>
      <c r="B1145" s="1" t="str">
        <f t="shared" si="17"/>
        <v>07/23/2014</v>
      </c>
      <c r="C1145" t="str">
        <f>"75.2931"</f>
        <v>75.2931</v>
      </c>
      <c r="D1145" s="1" t="s">
        <v>1136</v>
      </c>
      <c r="E1145" t="s">
        <v>5253</v>
      </c>
    </row>
    <row r="1146" spans="1:5" x14ac:dyDescent="0.35">
      <c r="A1146" t="str">
        <f>"2014-07-24"</f>
        <v>2014-07-24</v>
      </c>
      <c r="B1146" s="1" t="str">
        <f t="shared" si="17"/>
        <v>07/24/2014</v>
      </c>
      <c r="C1146" t="str">
        <f>"76.7708"</f>
        <v>76.7708</v>
      </c>
      <c r="D1146" s="1" t="s">
        <v>1137</v>
      </c>
      <c r="E1146" t="s">
        <v>5254</v>
      </c>
    </row>
    <row r="1147" spans="1:5" x14ac:dyDescent="0.35">
      <c r="A1147" t="str">
        <f>"2014-07-25"</f>
        <v>2014-07-25</v>
      </c>
      <c r="B1147" s="1" t="str">
        <f t="shared" si="17"/>
        <v>07/25/2014</v>
      </c>
      <c r="C1147" t="str">
        <f>"75.595"</f>
        <v>75.595</v>
      </c>
      <c r="D1147" s="1" t="s">
        <v>1138</v>
      </c>
      <c r="E1147" t="s">
        <v>5255</v>
      </c>
    </row>
    <row r="1148" spans="1:5" x14ac:dyDescent="0.35">
      <c r="A1148" t="str">
        <f>"2014-07-28"</f>
        <v>2014-07-28</v>
      </c>
      <c r="B1148" s="1" t="str">
        <f t="shared" si="17"/>
        <v>07/28/2014</v>
      </c>
      <c r="C1148" t="str">
        <f>"75.4802"</f>
        <v>75.4802</v>
      </c>
      <c r="D1148" s="1" t="s">
        <v>1139</v>
      </c>
      <c r="E1148" t="s">
        <v>5256</v>
      </c>
    </row>
    <row r="1149" spans="1:5" x14ac:dyDescent="0.35">
      <c r="A1149" t="str">
        <f>"2014-07-29"</f>
        <v>2014-07-29</v>
      </c>
      <c r="B1149" s="1" t="str">
        <f t="shared" si="17"/>
        <v>07/29/2014</v>
      </c>
      <c r="C1149" t="str">
        <f>"75.5874"</f>
        <v>75.5874</v>
      </c>
      <c r="D1149" s="1" t="s">
        <v>1140</v>
      </c>
      <c r="E1149" t="s">
        <v>5257</v>
      </c>
    </row>
    <row r="1150" spans="1:5" x14ac:dyDescent="0.35">
      <c r="A1150" t="str">
        <f>"2014-07-30"</f>
        <v>2014-07-30</v>
      </c>
      <c r="B1150" s="1" t="str">
        <f t="shared" si="17"/>
        <v>07/30/2014</v>
      </c>
      <c r="C1150" t="str">
        <f>"75.2825"</f>
        <v>75.2825</v>
      </c>
      <c r="D1150" s="1" t="s">
        <v>1141</v>
      </c>
      <c r="E1150" t="s">
        <v>5258</v>
      </c>
    </row>
    <row r="1151" spans="1:5" x14ac:dyDescent="0.35">
      <c r="A1151" t="str">
        <f>"2014-07-31"</f>
        <v>2014-07-31</v>
      </c>
      <c r="B1151" s="1" t="str">
        <f t="shared" si="17"/>
        <v>07/31/2014</v>
      </c>
      <c r="C1151" t="str">
        <f>"73.4614"</f>
        <v>73.4614</v>
      </c>
      <c r="D1151" s="1" t="s">
        <v>1142</v>
      </c>
      <c r="E1151" t="s">
        <v>5259</v>
      </c>
    </row>
    <row r="1152" spans="1:5" x14ac:dyDescent="0.35">
      <c r="A1152" t="str">
        <f>"2014-08-01"</f>
        <v>2014-08-01</v>
      </c>
      <c r="B1152" s="1" t="str">
        <f t="shared" si="17"/>
        <v>08/01/2014</v>
      </c>
      <c r="C1152" t="str">
        <f>"72.0177"</f>
        <v>72.0177</v>
      </c>
      <c r="D1152" s="1" t="s">
        <v>1143</v>
      </c>
      <c r="E1152" t="s">
        <v>5260</v>
      </c>
    </row>
    <row r="1153" spans="1:5" x14ac:dyDescent="0.35">
      <c r="A1153" t="str">
        <f>"2014-08-04"</f>
        <v>2014-08-04</v>
      </c>
      <c r="B1153" s="1" t="str">
        <f t="shared" si="17"/>
        <v>08/04/2014</v>
      </c>
      <c r="C1153" t="str">
        <f>"73.1299"</f>
        <v>73.1299</v>
      </c>
      <c r="D1153" s="1" t="s">
        <v>1144</v>
      </c>
      <c r="E1153" t="s">
        <v>5261</v>
      </c>
    </row>
    <row r="1154" spans="1:5" x14ac:dyDescent="0.35">
      <c r="A1154" t="str">
        <f>"2014-08-05"</f>
        <v>2014-08-05</v>
      </c>
      <c r="B1154" s="1" t="str">
        <f t="shared" si="17"/>
        <v>08/05/2014</v>
      </c>
      <c r="C1154" t="str">
        <f>"73.4782"</f>
        <v>73.4782</v>
      </c>
      <c r="D1154" s="1" t="s">
        <v>1145</v>
      </c>
      <c r="E1154" t="s">
        <v>5262</v>
      </c>
    </row>
    <row r="1155" spans="1:5" x14ac:dyDescent="0.35">
      <c r="A1155" t="str">
        <f>"2014-08-06"</f>
        <v>2014-08-06</v>
      </c>
      <c r="B1155" s="1" t="str">
        <f t="shared" ref="B1155:B1218" si="18">LEFT(RIGHT(A1155,5),2)&amp;"/"&amp;RIGHT(A1155,2)&amp;"/"&amp;LEFT(A1155,4)</f>
        <v>08/06/2014</v>
      </c>
      <c r="C1155" t="str">
        <f>"70.4741"</f>
        <v>70.4741</v>
      </c>
      <c r="D1155" s="1" t="s">
        <v>1146</v>
      </c>
      <c r="E1155" t="s">
        <v>5263</v>
      </c>
    </row>
    <row r="1156" spans="1:5" x14ac:dyDescent="0.35">
      <c r="A1156" t="str">
        <f>"2014-08-07"</f>
        <v>2014-08-07</v>
      </c>
      <c r="B1156" s="1" t="str">
        <f t="shared" si="18"/>
        <v>08/07/2014</v>
      </c>
      <c r="C1156" t="str">
        <f>"69.3659"</f>
        <v>69.3659</v>
      </c>
      <c r="D1156" s="1" t="s">
        <v>1147</v>
      </c>
      <c r="E1156" t="s">
        <v>5264</v>
      </c>
    </row>
    <row r="1157" spans="1:5" x14ac:dyDescent="0.35">
      <c r="A1157" t="str">
        <f>"2014-08-08"</f>
        <v>2014-08-08</v>
      </c>
      <c r="B1157" s="1" t="str">
        <f t="shared" si="18"/>
        <v>08/08/2014</v>
      </c>
      <c r="C1157" t="str">
        <f>"69.167"</f>
        <v>69.167</v>
      </c>
      <c r="D1157" s="1" t="s">
        <v>1148</v>
      </c>
      <c r="E1157" t="s">
        <v>5265</v>
      </c>
    </row>
    <row r="1158" spans="1:5" x14ac:dyDescent="0.35">
      <c r="A1158" t="str">
        <f>"2014-08-11"</f>
        <v>2014-08-11</v>
      </c>
      <c r="B1158" s="1" t="str">
        <f t="shared" si="18"/>
        <v>08/11/2014</v>
      </c>
      <c r="C1158" t="str">
        <f>"68.6223"</f>
        <v>68.6223</v>
      </c>
      <c r="D1158" s="1" t="s">
        <v>1149</v>
      </c>
      <c r="E1158" t="s">
        <v>5266</v>
      </c>
    </row>
    <row r="1159" spans="1:5" x14ac:dyDescent="0.35">
      <c r="A1159" t="str">
        <f>"2014-08-12"</f>
        <v>2014-08-12</v>
      </c>
      <c r="B1159" s="1" t="str">
        <f t="shared" si="18"/>
        <v>08/12/2014</v>
      </c>
      <c r="C1159" t="str">
        <f>"69.1107"</f>
        <v>69.1107</v>
      </c>
      <c r="D1159" s="1" t="s">
        <v>1150</v>
      </c>
      <c r="E1159" t="s">
        <v>5267</v>
      </c>
    </row>
    <row r="1160" spans="1:5" x14ac:dyDescent="0.35">
      <c r="A1160" t="str">
        <f>"2014-08-13"</f>
        <v>2014-08-13</v>
      </c>
      <c r="B1160" s="1" t="str">
        <f t="shared" si="18"/>
        <v>08/13/2014</v>
      </c>
      <c r="C1160" t="str">
        <f>"69.2113"</f>
        <v>69.2113</v>
      </c>
      <c r="D1160" s="1" t="s">
        <v>1151</v>
      </c>
      <c r="E1160" t="s">
        <v>5268</v>
      </c>
    </row>
    <row r="1161" spans="1:5" x14ac:dyDescent="0.35">
      <c r="A1161" t="str">
        <f>"2014-08-14"</f>
        <v>2014-08-14</v>
      </c>
      <c r="B1161" s="1" t="str">
        <f t="shared" si="18"/>
        <v>08/14/2014</v>
      </c>
      <c r="C1161" t="str">
        <f>"68.7603"</f>
        <v>68.7603</v>
      </c>
      <c r="D1161" s="1" t="s">
        <v>1152</v>
      </c>
      <c r="E1161" t="s">
        <v>5269</v>
      </c>
    </row>
    <row r="1162" spans="1:5" x14ac:dyDescent="0.35">
      <c r="A1162" t="str">
        <f>"2014-08-15"</f>
        <v>2014-08-15</v>
      </c>
      <c r="B1162" s="1" t="str">
        <f t="shared" si="18"/>
        <v>08/15/2014</v>
      </c>
      <c r="C1162" t="str">
        <f>"67.3613"</f>
        <v>67.3613</v>
      </c>
      <c r="D1162" s="1" t="s">
        <v>1153</v>
      </c>
      <c r="E1162" t="s">
        <v>5270</v>
      </c>
    </row>
    <row r="1163" spans="1:5" x14ac:dyDescent="0.35">
      <c r="A1163" t="str">
        <f>"2014-08-18"</f>
        <v>2014-08-18</v>
      </c>
      <c r="B1163" s="1" t="str">
        <f t="shared" si="18"/>
        <v>08/18/2014</v>
      </c>
      <c r="C1163" t="str">
        <f>"69.72"</f>
        <v>69.72</v>
      </c>
      <c r="D1163" s="1" t="s">
        <v>1154</v>
      </c>
      <c r="E1163" t="s">
        <v>5271</v>
      </c>
    </row>
    <row r="1164" spans="1:5" x14ac:dyDescent="0.35">
      <c r="A1164" t="str">
        <f>"2014-08-19"</f>
        <v>2014-08-19</v>
      </c>
      <c r="B1164" s="1" t="str">
        <f t="shared" si="18"/>
        <v>08/19/2014</v>
      </c>
      <c r="C1164" t="str">
        <f>"71.4926"</f>
        <v>71.4926</v>
      </c>
      <c r="D1164" s="1" t="s">
        <v>1155</v>
      </c>
      <c r="E1164" t="s">
        <v>5272</v>
      </c>
    </row>
    <row r="1165" spans="1:5" x14ac:dyDescent="0.35">
      <c r="A1165" t="str">
        <f>"2014-08-20"</f>
        <v>2014-08-20</v>
      </c>
      <c r="B1165" s="1" t="str">
        <f t="shared" si="18"/>
        <v>08/20/2014</v>
      </c>
      <c r="C1165" t="str">
        <f>"75.7264"</f>
        <v>75.7264</v>
      </c>
      <c r="D1165" s="1" t="s">
        <v>1156</v>
      </c>
      <c r="E1165" t="s">
        <v>5273</v>
      </c>
    </row>
    <row r="1166" spans="1:5" x14ac:dyDescent="0.35">
      <c r="A1166" t="str">
        <f>"2014-08-21"</f>
        <v>2014-08-21</v>
      </c>
      <c r="B1166" s="1" t="str">
        <f t="shared" si="18"/>
        <v>08/21/2014</v>
      </c>
      <c r="C1166" t="str">
        <f>"75.8619"</f>
        <v>75.8619</v>
      </c>
      <c r="D1166" s="1" t="s">
        <v>1157</v>
      </c>
      <c r="E1166" t="s">
        <v>5274</v>
      </c>
    </row>
    <row r="1167" spans="1:5" x14ac:dyDescent="0.35">
      <c r="A1167" t="str">
        <f>"2014-08-22"</f>
        <v>2014-08-22</v>
      </c>
      <c r="B1167" s="1" t="str">
        <f t="shared" si="18"/>
        <v>08/22/2014</v>
      </c>
      <c r="C1167" t="str">
        <f>"75.9957"</f>
        <v>75.9957</v>
      </c>
      <c r="D1167" s="1" t="s">
        <v>1158</v>
      </c>
      <c r="E1167" t="s">
        <v>5275</v>
      </c>
    </row>
    <row r="1168" spans="1:5" x14ac:dyDescent="0.35">
      <c r="A1168" t="str">
        <f>"2014-08-25"</f>
        <v>2014-08-25</v>
      </c>
      <c r="B1168" s="1" t="str">
        <f t="shared" si="18"/>
        <v>08/25/2014</v>
      </c>
      <c r="C1168" t="str">
        <f>"77.5477"</f>
        <v>77.5477</v>
      </c>
      <c r="D1168" s="1" t="s">
        <v>1159</v>
      </c>
      <c r="E1168" t="s">
        <v>5276</v>
      </c>
    </row>
    <row r="1169" spans="1:5" x14ac:dyDescent="0.35">
      <c r="A1169" t="str">
        <f>"2014-08-26"</f>
        <v>2014-08-26</v>
      </c>
      <c r="B1169" s="1" t="str">
        <f t="shared" si="18"/>
        <v>08/26/2014</v>
      </c>
      <c r="C1169" t="str">
        <f>"77.5088"</f>
        <v>77.5088</v>
      </c>
      <c r="D1169" s="1" t="s">
        <v>1160</v>
      </c>
      <c r="E1169" t="s">
        <v>5277</v>
      </c>
    </row>
    <row r="1170" spans="1:5" x14ac:dyDescent="0.35">
      <c r="A1170" t="str">
        <f>"2014-08-27"</f>
        <v>2014-08-27</v>
      </c>
      <c r="B1170" s="1" t="str">
        <f t="shared" si="18"/>
        <v>08/27/2014</v>
      </c>
      <c r="C1170" t="str">
        <f>"77.224"</f>
        <v>77.224</v>
      </c>
      <c r="D1170" s="1" t="s">
        <v>1161</v>
      </c>
      <c r="E1170" t="s">
        <v>5278</v>
      </c>
    </row>
    <row r="1171" spans="1:5" x14ac:dyDescent="0.35">
      <c r="A1171" t="str">
        <f>"2014-08-28"</f>
        <v>2014-08-28</v>
      </c>
      <c r="B1171" s="1" t="str">
        <f t="shared" si="18"/>
        <v>08/28/2014</v>
      </c>
      <c r="C1171" t="str">
        <f>"77.0005"</f>
        <v>77.0005</v>
      </c>
      <c r="D1171" s="1" t="s">
        <v>1162</v>
      </c>
      <c r="E1171" t="s">
        <v>5279</v>
      </c>
    </row>
    <row r="1172" spans="1:5" x14ac:dyDescent="0.35">
      <c r="A1172" t="str">
        <f>"2014-08-29"</f>
        <v>2014-08-29</v>
      </c>
      <c r="B1172" s="1" t="str">
        <f t="shared" si="18"/>
        <v>08/29/2014</v>
      </c>
      <c r="C1172" t="str">
        <f>"76.8139"</f>
        <v>76.8139</v>
      </c>
      <c r="D1172" s="1" t="s">
        <v>1163</v>
      </c>
      <c r="E1172" t="s">
        <v>5280</v>
      </c>
    </row>
    <row r="1173" spans="1:5" x14ac:dyDescent="0.35">
      <c r="A1173" t="str">
        <f>"2014-09-02"</f>
        <v>2014-09-02</v>
      </c>
      <c r="B1173" s="1" t="str">
        <f t="shared" si="18"/>
        <v>09/02/2014</v>
      </c>
      <c r="C1173" t="str">
        <f>"78.9055"</f>
        <v>78.9055</v>
      </c>
      <c r="D1173" s="1" t="s">
        <v>1164</v>
      </c>
      <c r="E1173" t="s">
        <v>5281</v>
      </c>
    </row>
    <row r="1174" spans="1:5" x14ac:dyDescent="0.35">
      <c r="A1174" t="str">
        <f>"2014-09-03"</f>
        <v>2014-09-03</v>
      </c>
      <c r="B1174" s="1" t="str">
        <f t="shared" si="18"/>
        <v>09/03/2014</v>
      </c>
      <c r="C1174" t="str">
        <f>"80.1"</f>
        <v>80.1</v>
      </c>
      <c r="D1174" s="1" t="s">
        <v>1165</v>
      </c>
      <c r="E1174" t="s">
        <v>5282</v>
      </c>
    </row>
    <row r="1175" spans="1:5" x14ac:dyDescent="0.35">
      <c r="A1175" t="str">
        <f>"2014-09-04"</f>
        <v>2014-09-04</v>
      </c>
      <c r="B1175" s="1" t="str">
        <f t="shared" si="18"/>
        <v>09/04/2014</v>
      </c>
      <c r="C1175" t="str">
        <f>"80.7844"</f>
        <v>80.7844</v>
      </c>
      <c r="D1175" s="1" t="s">
        <v>1166</v>
      </c>
      <c r="E1175" t="s">
        <v>5283</v>
      </c>
    </row>
    <row r="1176" spans="1:5" x14ac:dyDescent="0.35">
      <c r="A1176" t="str">
        <f>"2014-09-05"</f>
        <v>2014-09-05</v>
      </c>
      <c r="B1176" s="1" t="str">
        <f t="shared" si="18"/>
        <v>09/05/2014</v>
      </c>
      <c r="C1176" t="str">
        <f>"81.0053"</f>
        <v>81.0053</v>
      </c>
      <c r="D1176" s="1" t="s">
        <v>1167</v>
      </c>
      <c r="E1176" t="s">
        <v>5284</v>
      </c>
    </row>
    <row r="1177" spans="1:5" x14ac:dyDescent="0.35">
      <c r="A1177" t="str">
        <f>"2014-09-08"</f>
        <v>2014-09-08</v>
      </c>
      <c r="B1177" s="1" t="str">
        <f t="shared" si="18"/>
        <v>09/08/2014</v>
      </c>
      <c r="C1177" t="str">
        <f>"82.167"</f>
        <v>82.167</v>
      </c>
      <c r="D1177" s="1" t="s">
        <v>1168</v>
      </c>
      <c r="E1177" t="s">
        <v>5285</v>
      </c>
    </row>
    <row r="1178" spans="1:5" x14ac:dyDescent="0.35">
      <c r="A1178" t="str">
        <f>"2014-09-09"</f>
        <v>2014-09-09</v>
      </c>
      <c r="B1178" s="1" t="str">
        <f t="shared" si="18"/>
        <v>09/09/2014</v>
      </c>
      <c r="C1178" t="str">
        <f>"79.1192"</f>
        <v>79.1192</v>
      </c>
      <c r="D1178" s="1" t="s">
        <v>1169</v>
      </c>
      <c r="E1178" t="s">
        <v>5286</v>
      </c>
    </row>
    <row r="1179" spans="1:5" x14ac:dyDescent="0.35">
      <c r="A1179" t="str">
        <f>"2014-09-10"</f>
        <v>2014-09-10</v>
      </c>
      <c r="B1179" s="1" t="str">
        <f t="shared" si="18"/>
        <v>09/10/2014</v>
      </c>
      <c r="C1179" t="str">
        <f>"77.9079"</f>
        <v>77.9079</v>
      </c>
      <c r="D1179" s="1" t="s">
        <v>1170</v>
      </c>
      <c r="E1179" t="s">
        <v>5287</v>
      </c>
    </row>
    <row r="1180" spans="1:5" x14ac:dyDescent="0.35">
      <c r="A1180" t="str">
        <f>"2014-09-11"</f>
        <v>2014-09-11</v>
      </c>
      <c r="B1180" s="1" t="str">
        <f t="shared" si="18"/>
        <v>09/11/2014</v>
      </c>
      <c r="C1180" t="str">
        <f>"78.5373"</f>
        <v>78.5373</v>
      </c>
      <c r="D1180" s="1" t="s">
        <v>1171</v>
      </c>
      <c r="E1180" t="s">
        <v>5288</v>
      </c>
    </row>
    <row r="1181" spans="1:5" x14ac:dyDescent="0.35">
      <c r="A1181" t="str">
        <f>"2014-09-12"</f>
        <v>2014-09-12</v>
      </c>
      <c r="B1181" s="1" t="str">
        <f t="shared" si="18"/>
        <v>09/12/2014</v>
      </c>
      <c r="C1181" t="str">
        <f>"77.8721"</f>
        <v>77.8721</v>
      </c>
      <c r="D1181" s="1" t="s">
        <v>1172</v>
      </c>
      <c r="E1181" t="s">
        <v>5289</v>
      </c>
    </row>
    <row r="1182" spans="1:5" x14ac:dyDescent="0.35">
      <c r="A1182" t="str">
        <f>"2014-09-15"</f>
        <v>2014-09-15</v>
      </c>
      <c r="B1182" s="1" t="str">
        <f t="shared" si="18"/>
        <v>09/15/2014</v>
      </c>
      <c r="C1182" t="str">
        <f>"77.9"</f>
        <v>77.9</v>
      </c>
      <c r="D1182" s="1" t="s">
        <v>1173</v>
      </c>
      <c r="E1182" t="s">
        <v>5290</v>
      </c>
    </row>
    <row r="1183" spans="1:5" x14ac:dyDescent="0.35">
      <c r="A1183" t="str">
        <f>"2014-09-16"</f>
        <v>2014-09-16</v>
      </c>
      <c r="B1183" s="1" t="str">
        <f t="shared" si="18"/>
        <v>09/16/2014</v>
      </c>
      <c r="C1183" t="str">
        <f>"77.3828"</f>
        <v>77.3828</v>
      </c>
      <c r="D1183" s="1" t="s">
        <v>1174</v>
      </c>
      <c r="E1183" t="s">
        <v>5291</v>
      </c>
    </row>
    <row r="1184" spans="1:5" x14ac:dyDescent="0.35">
      <c r="A1184" t="str">
        <f>"2014-09-17"</f>
        <v>2014-09-17</v>
      </c>
      <c r="B1184" s="1" t="str">
        <f t="shared" si="18"/>
        <v>09/17/2014</v>
      </c>
      <c r="C1184" t="str">
        <f>"78.5706"</f>
        <v>78.5706</v>
      </c>
      <c r="D1184" s="1" t="s">
        <v>1175</v>
      </c>
      <c r="E1184" t="s">
        <v>5292</v>
      </c>
    </row>
    <row r="1185" spans="1:5" x14ac:dyDescent="0.35">
      <c r="A1185" t="str">
        <f>"2014-09-18"</f>
        <v>2014-09-18</v>
      </c>
      <c r="B1185" s="1" t="str">
        <f t="shared" si="18"/>
        <v>09/18/2014</v>
      </c>
      <c r="C1185" t="str">
        <f>"76.9816"</f>
        <v>76.9816</v>
      </c>
      <c r="D1185" s="1" t="s">
        <v>1176</v>
      </c>
      <c r="E1185" t="s">
        <v>5293</v>
      </c>
    </row>
    <row r="1186" spans="1:5" x14ac:dyDescent="0.35">
      <c r="A1186" t="str">
        <f>"2014-09-19"</f>
        <v>2014-09-19</v>
      </c>
      <c r="B1186" s="1" t="str">
        <f t="shared" si="18"/>
        <v>09/19/2014</v>
      </c>
      <c r="C1186" t="str">
        <f>"76.404"</f>
        <v>76.404</v>
      </c>
      <c r="D1186" s="1" t="s">
        <v>1177</v>
      </c>
      <c r="E1186" t="s">
        <v>5294</v>
      </c>
    </row>
    <row r="1187" spans="1:5" x14ac:dyDescent="0.35">
      <c r="A1187" t="str">
        <f>"2014-09-22"</f>
        <v>2014-09-22</v>
      </c>
      <c r="B1187" s="1" t="str">
        <f t="shared" si="18"/>
        <v>09/22/2014</v>
      </c>
      <c r="C1187" t="str">
        <f>"75.6179"</f>
        <v>75.6179</v>
      </c>
      <c r="D1187" s="1" t="s">
        <v>1178</v>
      </c>
      <c r="E1187" t="s">
        <v>5295</v>
      </c>
    </row>
    <row r="1188" spans="1:5" x14ac:dyDescent="0.35">
      <c r="A1188" t="str">
        <f>"2014-09-23"</f>
        <v>2014-09-23</v>
      </c>
      <c r="B1188" s="1" t="str">
        <f t="shared" si="18"/>
        <v>09/23/2014</v>
      </c>
      <c r="C1188" t="str">
        <f>"74.7129"</f>
        <v>74.7129</v>
      </c>
      <c r="D1188" s="1" t="s">
        <v>1179</v>
      </c>
      <c r="E1188" t="s">
        <v>5296</v>
      </c>
    </row>
    <row r="1189" spans="1:5" x14ac:dyDescent="0.35">
      <c r="A1189" t="str">
        <f>"2014-09-24"</f>
        <v>2014-09-24</v>
      </c>
      <c r="B1189" s="1" t="str">
        <f t="shared" si="18"/>
        <v>09/24/2014</v>
      </c>
      <c r="C1189" t="str">
        <f>"73.0211"</f>
        <v>73.0211</v>
      </c>
      <c r="D1189" s="1" t="s">
        <v>1180</v>
      </c>
      <c r="E1189" t="s">
        <v>5297</v>
      </c>
    </row>
    <row r="1190" spans="1:5" x14ac:dyDescent="0.35">
      <c r="A1190" t="str">
        <f>"2014-09-25"</f>
        <v>2014-09-25</v>
      </c>
      <c r="B1190" s="1" t="str">
        <f t="shared" si="18"/>
        <v>09/25/2014</v>
      </c>
      <c r="C1190" t="str">
        <f>"71.9587"</f>
        <v>71.9587</v>
      </c>
      <c r="D1190" s="1" t="s">
        <v>1181</v>
      </c>
      <c r="E1190" t="s">
        <v>5298</v>
      </c>
    </row>
    <row r="1191" spans="1:5" x14ac:dyDescent="0.35">
      <c r="A1191" t="str">
        <f>"2014-09-26"</f>
        <v>2014-09-26</v>
      </c>
      <c r="B1191" s="1" t="str">
        <f t="shared" si="18"/>
        <v>09/26/2014</v>
      </c>
      <c r="C1191" t="str">
        <f>"73.0103"</f>
        <v>73.0103</v>
      </c>
      <c r="D1191" s="1" t="s">
        <v>1182</v>
      </c>
      <c r="E1191" t="s">
        <v>5299</v>
      </c>
    </row>
    <row r="1192" spans="1:5" x14ac:dyDescent="0.35">
      <c r="A1192" t="str">
        <f>"2014-09-29"</f>
        <v>2014-09-29</v>
      </c>
      <c r="B1192" s="1" t="str">
        <f t="shared" si="18"/>
        <v>09/29/2014</v>
      </c>
      <c r="C1192" t="str">
        <f>"74.0245"</f>
        <v>74.0245</v>
      </c>
      <c r="D1192" s="1" t="s">
        <v>1183</v>
      </c>
      <c r="E1192" t="s">
        <v>5300</v>
      </c>
    </row>
    <row r="1193" spans="1:5" x14ac:dyDescent="0.35">
      <c r="A1193" t="str">
        <f>"2014-09-30"</f>
        <v>2014-09-30</v>
      </c>
      <c r="B1193" s="1" t="str">
        <f t="shared" si="18"/>
        <v>09/30/2014</v>
      </c>
      <c r="C1193" t="str">
        <f>"72.9327"</f>
        <v>72.9327</v>
      </c>
      <c r="D1193" s="1" t="s">
        <v>1184</v>
      </c>
      <c r="E1193" t="s">
        <v>5301</v>
      </c>
    </row>
    <row r="1194" spans="1:5" x14ac:dyDescent="0.35">
      <c r="A1194" t="str">
        <f>"2014-10-01"</f>
        <v>2014-10-01</v>
      </c>
      <c r="B1194" s="1" t="str">
        <f t="shared" si="18"/>
        <v>10/01/2014</v>
      </c>
      <c r="C1194" t="str">
        <f>"72.5143"</f>
        <v>72.5143</v>
      </c>
      <c r="D1194" s="1" t="s">
        <v>1185</v>
      </c>
      <c r="E1194" t="s">
        <v>5302</v>
      </c>
    </row>
    <row r="1195" spans="1:5" x14ac:dyDescent="0.35">
      <c r="A1195" t="str">
        <f>"2014-10-02"</f>
        <v>2014-10-02</v>
      </c>
      <c r="B1195" s="1" t="str">
        <f t="shared" si="18"/>
        <v>10/02/2014</v>
      </c>
      <c r="C1195" t="str">
        <f>"73.263"</f>
        <v>73.263</v>
      </c>
      <c r="D1195" s="1" t="s">
        <v>1186</v>
      </c>
      <c r="E1195" t="s">
        <v>5303</v>
      </c>
    </row>
    <row r="1196" spans="1:5" x14ac:dyDescent="0.35">
      <c r="A1196" t="str">
        <f>"2014-10-03"</f>
        <v>2014-10-03</v>
      </c>
      <c r="B1196" s="1" t="str">
        <f t="shared" si="18"/>
        <v>10/03/2014</v>
      </c>
      <c r="C1196" t="str">
        <f>"75.6001"</f>
        <v>75.6001</v>
      </c>
      <c r="D1196" s="1" t="s">
        <v>1187</v>
      </c>
      <c r="E1196" t="s">
        <v>5304</v>
      </c>
    </row>
    <row r="1197" spans="1:5" x14ac:dyDescent="0.35">
      <c r="A1197" t="str">
        <f>"2014-10-06"</f>
        <v>2014-10-06</v>
      </c>
      <c r="B1197" s="1" t="str">
        <f t="shared" si="18"/>
        <v>10/06/2014</v>
      </c>
      <c r="C1197" t="str">
        <f>"73.3937"</f>
        <v>73.3937</v>
      </c>
      <c r="D1197" s="1" t="s">
        <v>1188</v>
      </c>
      <c r="E1197" t="s">
        <v>5305</v>
      </c>
    </row>
    <row r="1198" spans="1:5" x14ac:dyDescent="0.35">
      <c r="A1198" t="str">
        <f>"2014-10-07"</f>
        <v>2014-10-07</v>
      </c>
      <c r="B1198" s="1" t="str">
        <f t="shared" si="18"/>
        <v>10/07/2014</v>
      </c>
      <c r="C1198" t="str">
        <f>"73.9531"</f>
        <v>73.9531</v>
      </c>
      <c r="D1198" s="1" t="s">
        <v>1189</v>
      </c>
      <c r="E1198" t="s">
        <v>5306</v>
      </c>
    </row>
    <row r="1199" spans="1:5" x14ac:dyDescent="0.35">
      <c r="A1199" t="str">
        <f>"2014-10-08"</f>
        <v>2014-10-08</v>
      </c>
      <c r="B1199" s="1" t="str">
        <f t="shared" si="18"/>
        <v>10/08/2014</v>
      </c>
      <c r="C1199" t="str">
        <f>"72.0583"</f>
        <v>72.0583</v>
      </c>
      <c r="D1199" s="1" t="s">
        <v>1190</v>
      </c>
      <c r="E1199" t="s">
        <v>5307</v>
      </c>
    </row>
    <row r="1200" spans="1:5" x14ac:dyDescent="0.35">
      <c r="A1200" t="str">
        <f>"2014-10-09"</f>
        <v>2014-10-09</v>
      </c>
      <c r="B1200" s="1" t="str">
        <f t="shared" si="18"/>
        <v>10/09/2014</v>
      </c>
      <c r="C1200" t="str">
        <f>"73.2116"</f>
        <v>73.2116</v>
      </c>
      <c r="D1200" s="1" t="s">
        <v>1191</v>
      </c>
      <c r="E1200" t="s">
        <v>5308</v>
      </c>
    </row>
    <row r="1201" spans="1:5" x14ac:dyDescent="0.35">
      <c r="A1201" t="str">
        <f>"2014-10-10"</f>
        <v>2014-10-10</v>
      </c>
      <c r="B1201" s="1" t="str">
        <f t="shared" si="18"/>
        <v>10/10/2014</v>
      </c>
      <c r="C1201" t="str">
        <f>"71.0352"</f>
        <v>71.0352</v>
      </c>
      <c r="D1201" s="1" t="s">
        <v>1192</v>
      </c>
      <c r="E1201" t="s">
        <v>5309</v>
      </c>
    </row>
    <row r="1202" spans="1:5" x14ac:dyDescent="0.35">
      <c r="A1202" t="str">
        <f>"2014-10-13"</f>
        <v>2014-10-13</v>
      </c>
      <c r="B1202" s="1" t="str">
        <f t="shared" si="18"/>
        <v>10/13/2014</v>
      </c>
      <c r="C1202" t="str">
        <f>"70.5541"</f>
        <v>70.5541</v>
      </c>
      <c r="D1202" s="1" t="s">
        <v>1193</v>
      </c>
      <c r="E1202" t="s">
        <v>5310</v>
      </c>
    </row>
    <row r="1203" spans="1:5" x14ac:dyDescent="0.35">
      <c r="A1203" t="str">
        <f>"2014-10-14"</f>
        <v>2014-10-14</v>
      </c>
      <c r="B1203" s="1" t="str">
        <f t="shared" si="18"/>
        <v>10/14/2014</v>
      </c>
      <c r="C1203" t="str">
        <f>"69.4097"</f>
        <v>69.4097</v>
      </c>
      <c r="D1203" s="1" t="s">
        <v>1194</v>
      </c>
      <c r="E1203" t="s">
        <v>5311</v>
      </c>
    </row>
    <row r="1204" spans="1:5" x14ac:dyDescent="0.35">
      <c r="A1204" t="str">
        <f>"2014-10-15"</f>
        <v>2014-10-15</v>
      </c>
      <c r="B1204" s="1" t="str">
        <f t="shared" si="18"/>
        <v>10/15/2014</v>
      </c>
      <c r="C1204" t="str">
        <f>"69.9449"</f>
        <v>69.9449</v>
      </c>
      <c r="D1204" s="1" t="s">
        <v>1195</v>
      </c>
      <c r="E1204" t="s">
        <v>5312</v>
      </c>
    </row>
    <row r="1205" spans="1:5" x14ac:dyDescent="0.35">
      <c r="A1205" t="str">
        <f>"2014-10-16"</f>
        <v>2014-10-16</v>
      </c>
      <c r="B1205" s="1" t="str">
        <f t="shared" si="18"/>
        <v>10/16/2014</v>
      </c>
      <c r="C1205" t="str">
        <f>"69.4896"</f>
        <v>69.4896</v>
      </c>
      <c r="D1205" s="1" t="s">
        <v>1196</v>
      </c>
      <c r="E1205" t="s">
        <v>5313</v>
      </c>
    </row>
    <row r="1206" spans="1:5" x14ac:dyDescent="0.35">
      <c r="A1206" t="str">
        <f>"2014-10-17"</f>
        <v>2014-10-17</v>
      </c>
      <c r="B1206" s="1" t="str">
        <f t="shared" si="18"/>
        <v>10/17/2014</v>
      </c>
      <c r="C1206" t="str">
        <f>"70.3256"</f>
        <v>70.3256</v>
      </c>
      <c r="D1206" s="1" t="s">
        <v>1197</v>
      </c>
      <c r="E1206" t="s">
        <v>5314</v>
      </c>
    </row>
    <row r="1207" spans="1:5" x14ac:dyDescent="0.35">
      <c r="A1207" t="str">
        <f>"2014-10-20"</f>
        <v>2014-10-20</v>
      </c>
      <c r="B1207" s="1" t="str">
        <f t="shared" si="18"/>
        <v>10/20/2014</v>
      </c>
      <c r="C1207" t="str">
        <f>"72.8419"</f>
        <v>72.8419</v>
      </c>
      <c r="D1207" s="1" t="s">
        <v>1198</v>
      </c>
      <c r="E1207" t="s">
        <v>5315</v>
      </c>
    </row>
    <row r="1208" spans="1:5" x14ac:dyDescent="0.35">
      <c r="A1208" t="str">
        <f>"2014-10-21"</f>
        <v>2014-10-21</v>
      </c>
      <c r="B1208" s="1" t="str">
        <f t="shared" si="18"/>
        <v>10/21/2014</v>
      </c>
      <c r="C1208" t="str">
        <f>"76.8078"</f>
        <v>76.8078</v>
      </c>
      <c r="D1208" s="1" t="s">
        <v>1199</v>
      </c>
      <c r="E1208" t="s">
        <v>5316</v>
      </c>
    </row>
    <row r="1209" spans="1:5" x14ac:dyDescent="0.35">
      <c r="A1209" t="str">
        <f>"2014-10-22"</f>
        <v>2014-10-22</v>
      </c>
      <c r="B1209" s="1" t="str">
        <f t="shared" si="18"/>
        <v>10/22/2014</v>
      </c>
      <c r="C1209" t="str">
        <f>"77.1704"</f>
        <v>77.1704</v>
      </c>
      <c r="D1209" s="1" t="s">
        <v>1200</v>
      </c>
      <c r="E1209" t="s">
        <v>5317</v>
      </c>
    </row>
    <row r="1210" spans="1:5" x14ac:dyDescent="0.35">
      <c r="A1210" t="str">
        <f>"2014-10-23"</f>
        <v>2014-10-23</v>
      </c>
      <c r="B1210" s="1" t="str">
        <f t="shared" si="18"/>
        <v>10/23/2014</v>
      </c>
      <c r="C1210" t="str">
        <f>"78.935"</f>
        <v>78.935</v>
      </c>
      <c r="D1210" s="1" t="s">
        <v>1201</v>
      </c>
      <c r="E1210" t="s">
        <v>5318</v>
      </c>
    </row>
    <row r="1211" spans="1:5" x14ac:dyDescent="0.35">
      <c r="A1211" t="str">
        <f>"2014-10-24"</f>
        <v>2014-10-24</v>
      </c>
      <c r="B1211" s="1" t="str">
        <f t="shared" si="18"/>
        <v>10/24/2014</v>
      </c>
      <c r="C1211" t="str">
        <f>"79.0079"</f>
        <v>79.0079</v>
      </c>
      <c r="D1211" s="1" t="s">
        <v>1202</v>
      </c>
      <c r="E1211" t="s">
        <v>5319</v>
      </c>
    </row>
    <row r="1212" spans="1:5" x14ac:dyDescent="0.35">
      <c r="A1212" t="str">
        <f>"2014-10-27"</f>
        <v>2014-10-27</v>
      </c>
      <c r="B1212" s="1" t="str">
        <f t="shared" si="18"/>
        <v>10/27/2014</v>
      </c>
      <c r="C1212" t="str">
        <f>"81.2181"</f>
        <v>81.2181</v>
      </c>
      <c r="D1212" s="1" t="s">
        <v>1203</v>
      </c>
      <c r="E1212" t="s">
        <v>5320</v>
      </c>
    </row>
    <row r="1213" spans="1:5" x14ac:dyDescent="0.35">
      <c r="A1213" t="str">
        <f>"2014-10-28"</f>
        <v>2014-10-28</v>
      </c>
      <c r="B1213" s="1" t="str">
        <f t="shared" si="18"/>
        <v>10/28/2014</v>
      </c>
      <c r="C1213" t="str">
        <f>"82.0548"</f>
        <v>82.0548</v>
      </c>
      <c r="D1213" s="1" t="s">
        <v>1204</v>
      </c>
      <c r="E1213" t="s">
        <v>5321</v>
      </c>
    </row>
    <row r="1214" spans="1:5" x14ac:dyDescent="0.35">
      <c r="A1214" t="str">
        <f>"2014-10-29"</f>
        <v>2014-10-29</v>
      </c>
      <c r="B1214" s="1" t="str">
        <f t="shared" si="18"/>
        <v>10/29/2014</v>
      </c>
      <c r="C1214" t="str">
        <f>"83.2623"</f>
        <v>83.2623</v>
      </c>
      <c r="D1214" s="1" t="s">
        <v>1205</v>
      </c>
      <c r="E1214" t="s">
        <v>5322</v>
      </c>
    </row>
    <row r="1215" spans="1:5" x14ac:dyDescent="0.35">
      <c r="A1215" t="str">
        <f>"2014-10-30"</f>
        <v>2014-10-30</v>
      </c>
      <c r="B1215" s="1" t="str">
        <f t="shared" si="18"/>
        <v>10/30/2014</v>
      </c>
      <c r="C1215" t="str">
        <f>"85.461"</f>
        <v>85.461</v>
      </c>
      <c r="D1215" s="1" t="s">
        <v>1206</v>
      </c>
      <c r="E1215" t="s">
        <v>5323</v>
      </c>
    </row>
    <row r="1216" spans="1:5" x14ac:dyDescent="0.35">
      <c r="A1216" t="str">
        <f>"2014-10-31"</f>
        <v>2014-10-31</v>
      </c>
      <c r="B1216" s="1" t="str">
        <f t="shared" si="18"/>
        <v>10/31/2014</v>
      </c>
      <c r="C1216" t="str">
        <f>"88.066"</f>
        <v>88.066</v>
      </c>
      <c r="D1216" s="1" t="s">
        <v>1207</v>
      </c>
      <c r="E1216" t="s">
        <v>5324</v>
      </c>
    </row>
    <row r="1217" spans="1:5" x14ac:dyDescent="0.35">
      <c r="A1217" t="str">
        <f>"2014-11-03"</f>
        <v>2014-11-03</v>
      </c>
      <c r="B1217" s="1" t="str">
        <f t="shared" si="18"/>
        <v>11/03/2014</v>
      </c>
      <c r="C1217" t="str">
        <f>"88.251"</f>
        <v>88.251</v>
      </c>
      <c r="D1217" s="1" t="s">
        <v>1208</v>
      </c>
      <c r="E1217" t="s">
        <v>5325</v>
      </c>
    </row>
    <row r="1218" spans="1:5" x14ac:dyDescent="0.35">
      <c r="A1218" t="str">
        <f>"2014-11-04"</f>
        <v>2014-11-04</v>
      </c>
      <c r="B1218" s="1" t="str">
        <f t="shared" si="18"/>
        <v>11/04/2014</v>
      </c>
      <c r="C1218" t="str">
        <f>"90.9209"</f>
        <v>90.9209</v>
      </c>
      <c r="D1218" s="1" t="s">
        <v>1209</v>
      </c>
      <c r="E1218" t="s">
        <v>5326</v>
      </c>
    </row>
    <row r="1219" spans="1:5" x14ac:dyDescent="0.35">
      <c r="A1219" t="str">
        <f>"2014-11-05"</f>
        <v>2014-11-05</v>
      </c>
      <c r="B1219" s="1" t="str">
        <f t="shared" ref="B1219:B1282" si="19">LEFT(RIGHT(A1219,5),2)&amp;"/"&amp;RIGHT(A1219,2)&amp;"/"&amp;LEFT(A1219,4)</f>
        <v>11/05/2014</v>
      </c>
      <c r="C1219" t="str">
        <f>"90.3655"</f>
        <v>90.3655</v>
      </c>
      <c r="D1219" s="1" t="s">
        <v>1210</v>
      </c>
      <c r="E1219" t="s">
        <v>5327</v>
      </c>
    </row>
    <row r="1220" spans="1:5" x14ac:dyDescent="0.35">
      <c r="A1220" t="str">
        <f>"2014-11-06"</f>
        <v>2014-11-06</v>
      </c>
      <c r="B1220" s="1" t="str">
        <f t="shared" si="19"/>
        <v>11/06/2014</v>
      </c>
      <c r="C1220" t="str">
        <f>"91.378"</f>
        <v>91.378</v>
      </c>
      <c r="D1220" s="1" t="s">
        <v>1211</v>
      </c>
      <c r="E1220" t="s">
        <v>5328</v>
      </c>
    </row>
    <row r="1221" spans="1:5" x14ac:dyDescent="0.35">
      <c r="A1221" t="str">
        <f>"2014-11-07"</f>
        <v>2014-11-07</v>
      </c>
      <c r="B1221" s="1" t="str">
        <f t="shared" si="19"/>
        <v>11/07/2014</v>
      </c>
      <c r="C1221" t="str">
        <f>"88.0121"</f>
        <v>88.0121</v>
      </c>
      <c r="D1221" s="1" t="s">
        <v>1212</v>
      </c>
      <c r="E1221" t="s">
        <v>5329</v>
      </c>
    </row>
    <row r="1222" spans="1:5" x14ac:dyDescent="0.35">
      <c r="A1222" t="str">
        <f>"2014-11-10"</f>
        <v>2014-11-10</v>
      </c>
      <c r="B1222" s="1" t="str">
        <f t="shared" si="19"/>
        <v>11/10/2014</v>
      </c>
      <c r="C1222" t="str">
        <f>"87.6261"</f>
        <v>87.6261</v>
      </c>
      <c r="D1222" s="1" t="s">
        <v>1213</v>
      </c>
      <c r="E1222" t="s">
        <v>5330</v>
      </c>
    </row>
    <row r="1223" spans="1:5" x14ac:dyDescent="0.35">
      <c r="A1223" t="str">
        <f>"2014-11-11"</f>
        <v>2014-11-11</v>
      </c>
      <c r="B1223" s="1" t="str">
        <f t="shared" si="19"/>
        <v>11/11/2014</v>
      </c>
      <c r="C1223" t="str">
        <f>"92.9847"</f>
        <v>92.9847</v>
      </c>
      <c r="D1223" s="1" t="s">
        <v>1214</v>
      </c>
      <c r="E1223" t="s">
        <v>5331</v>
      </c>
    </row>
    <row r="1224" spans="1:5" x14ac:dyDescent="0.35">
      <c r="A1224" t="str">
        <f>"2014-11-12"</f>
        <v>2014-11-12</v>
      </c>
      <c r="B1224" s="1" t="str">
        <f t="shared" si="19"/>
        <v>11/12/2014</v>
      </c>
      <c r="C1224" t="str">
        <f>"95.1946"</f>
        <v>95.1946</v>
      </c>
      <c r="D1224" s="1" t="s">
        <v>1215</v>
      </c>
      <c r="E1224" t="s">
        <v>5332</v>
      </c>
    </row>
    <row r="1225" spans="1:5" x14ac:dyDescent="0.35">
      <c r="A1225" t="str">
        <f>"2014-11-13"</f>
        <v>2014-11-13</v>
      </c>
      <c r="B1225" s="1" t="str">
        <f t="shared" si="19"/>
        <v>11/13/2014</v>
      </c>
      <c r="C1225" t="str">
        <f>"96.2906"</f>
        <v>96.2906</v>
      </c>
      <c r="D1225" s="1" t="s">
        <v>1216</v>
      </c>
      <c r="E1225" t="s">
        <v>5333</v>
      </c>
    </row>
    <row r="1226" spans="1:5" x14ac:dyDescent="0.35">
      <c r="A1226" t="str">
        <f>"2014-11-14"</f>
        <v>2014-11-14</v>
      </c>
      <c r="B1226" s="1" t="str">
        <f t="shared" si="19"/>
        <v>11/14/2014</v>
      </c>
      <c r="C1226" t="str">
        <f>"94.8094"</f>
        <v>94.8094</v>
      </c>
      <c r="D1226" s="1" t="s">
        <v>1217</v>
      </c>
      <c r="E1226" t="s">
        <v>5334</v>
      </c>
    </row>
    <row r="1227" spans="1:5" x14ac:dyDescent="0.35">
      <c r="A1227" t="str">
        <f>"2014-11-17"</f>
        <v>2014-11-17</v>
      </c>
      <c r="B1227" s="1" t="str">
        <f t="shared" si="19"/>
        <v>11/17/2014</v>
      </c>
      <c r="C1227" t="str">
        <f>"94.1074"</f>
        <v>94.1074</v>
      </c>
      <c r="D1227" s="1" t="s">
        <v>1218</v>
      </c>
      <c r="E1227" t="s">
        <v>5335</v>
      </c>
    </row>
    <row r="1228" spans="1:5" x14ac:dyDescent="0.35">
      <c r="A1228" t="str">
        <f>"2014-11-18"</f>
        <v>2014-11-18</v>
      </c>
      <c r="B1228" s="1" t="str">
        <f t="shared" si="19"/>
        <v>11/18/2014</v>
      </c>
      <c r="C1228" t="str">
        <f>"95.1072"</f>
        <v>95.1072</v>
      </c>
      <c r="D1228" s="1" t="s">
        <v>1219</v>
      </c>
      <c r="E1228" t="s">
        <v>5336</v>
      </c>
    </row>
    <row r="1229" spans="1:5" x14ac:dyDescent="0.35">
      <c r="A1229" t="str">
        <f>"2014-11-19"</f>
        <v>2014-11-19</v>
      </c>
      <c r="B1229" s="1" t="str">
        <f t="shared" si="19"/>
        <v>11/19/2014</v>
      </c>
      <c r="C1229" t="str">
        <f>"94.825"</f>
        <v>94.825</v>
      </c>
      <c r="D1229" s="1" t="s">
        <v>1220</v>
      </c>
      <c r="E1229" t="s">
        <v>5337</v>
      </c>
    </row>
    <row r="1230" spans="1:5" x14ac:dyDescent="0.35">
      <c r="A1230" t="str">
        <f>"2014-11-20"</f>
        <v>2014-11-20</v>
      </c>
      <c r="B1230" s="1" t="str">
        <f t="shared" si="19"/>
        <v>11/20/2014</v>
      </c>
      <c r="C1230" t="str">
        <f>"97.5332"</f>
        <v>97.5332</v>
      </c>
      <c r="D1230" s="1" t="s">
        <v>1221</v>
      </c>
      <c r="E1230" t="s">
        <v>5338</v>
      </c>
    </row>
    <row r="1231" spans="1:5" x14ac:dyDescent="0.35">
      <c r="A1231" t="str">
        <f>"2014-11-21"</f>
        <v>2014-11-21</v>
      </c>
      <c r="B1231" s="1" t="str">
        <f t="shared" si="19"/>
        <v>11/21/2014</v>
      </c>
      <c r="C1231" t="str">
        <f>"96.0446"</f>
        <v>96.0446</v>
      </c>
      <c r="D1231" s="1" t="s">
        <v>1222</v>
      </c>
      <c r="E1231" t="s">
        <v>5339</v>
      </c>
    </row>
    <row r="1232" spans="1:5" x14ac:dyDescent="0.35">
      <c r="A1232" t="str">
        <f>"2014-11-24"</f>
        <v>2014-11-24</v>
      </c>
      <c r="B1232" s="1" t="str">
        <f t="shared" si="19"/>
        <v>11/24/2014</v>
      </c>
      <c r="C1232" t="str">
        <f>"95.8227"</f>
        <v>95.8227</v>
      </c>
      <c r="D1232" s="1" t="s">
        <v>1223</v>
      </c>
      <c r="E1232" t="s">
        <v>5340</v>
      </c>
    </row>
    <row r="1233" spans="1:5" x14ac:dyDescent="0.35">
      <c r="A1233" t="str">
        <f>"2014-11-25"</f>
        <v>2014-11-25</v>
      </c>
      <c r="B1233" s="1" t="str">
        <f t="shared" si="19"/>
        <v>11/25/2014</v>
      </c>
      <c r="C1233" t="str">
        <f>"98.8561"</f>
        <v>98.8561</v>
      </c>
      <c r="D1233" s="1" t="s">
        <v>1224</v>
      </c>
      <c r="E1233" t="s">
        <v>5341</v>
      </c>
    </row>
    <row r="1234" spans="1:5" x14ac:dyDescent="0.35">
      <c r="A1234" t="str">
        <f>"2014-11-26"</f>
        <v>2014-11-26</v>
      </c>
      <c r="B1234" s="1" t="str">
        <f t="shared" si="19"/>
        <v>11/26/2014</v>
      </c>
      <c r="C1234" t="str">
        <f>"99.8311"</f>
        <v>99.8311</v>
      </c>
      <c r="D1234" s="1" t="s">
        <v>1225</v>
      </c>
      <c r="E1234" t="s">
        <v>5342</v>
      </c>
    </row>
    <row r="1235" spans="1:5" x14ac:dyDescent="0.35">
      <c r="A1235" t="str">
        <f>"2014-11-28"</f>
        <v>2014-11-28</v>
      </c>
      <c r="B1235" s="1" t="str">
        <f t="shared" si="19"/>
        <v>11/28/2014</v>
      </c>
      <c r="C1235" t="str">
        <f>"110.5083"</f>
        <v>110.5083</v>
      </c>
      <c r="D1235" s="1" t="s">
        <v>1226</v>
      </c>
      <c r="E1235" t="s">
        <v>5343</v>
      </c>
    </row>
    <row r="1236" spans="1:5" x14ac:dyDescent="0.35">
      <c r="A1236" t="str">
        <f>"2014-12-01"</f>
        <v>2014-12-01</v>
      </c>
      <c r="B1236" s="1" t="str">
        <f t="shared" si="19"/>
        <v>12/01/2014</v>
      </c>
      <c r="C1236" t="str">
        <f>"102.7491"</f>
        <v>102.7491</v>
      </c>
      <c r="D1236" s="1" t="s">
        <v>1227</v>
      </c>
      <c r="E1236" t="s">
        <v>5344</v>
      </c>
    </row>
    <row r="1237" spans="1:5" x14ac:dyDescent="0.35">
      <c r="A1237" t="str">
        <f>"2014-12-02"</f>
        <v>2014-12-02</v>
      </c>
      <c r="B1237" s="1" t="str">
        <f t="shared" si="19"/>
        <v>12/02/2014</v>
      </c>
      <c r="C1237" t="str">
        <f>"107.2174"</f>
        <v>107.2174</v>
      </c>
      <c r="D1237" s="1" t="s">
        <v>1228</v>
      </c>
      <c r="E1237" t="s">
        <v>5345</v>
      </c>
    </row>
    <row r="1238" spans="1:5" x14ac:dyDescent="0.35">
      <c r="A1238" t="str">
        <f>"2014-12-03"</f>
        <v>2014-12-03</v>
      </c>
      <c r="B1238" s="1" t="str">
        <f t="shared" si="19"/>
        <v>12/03/2014</v>
      </c>
      <c r="C1238" t="str">
        <f>"103.6644"</f>
        <v>103.6644</v>
      </c>
      <c r="D1238" s="1" t="s">
        <v>1229</v>
      </c>
      <c r="E1238" t="s">
        <v>5346</v>
      </c>
    </row>
    <row r="1239" spans="1:5" x14ac:dyDescent="0.35">
      <c r="A1239" t="str">
        <f>"2014-12-04"</f>
        <v>2014-12-04</v>
      </c>
      <c r="B1239" s="1" t="str">
        <f t="shared" si="19"/>
        <v>12/04/2014</v>
      </c>
      <c r="C1239" t="str">
        <f>"108.5185"</f>
        <v>108.5185</v>
      </c>
      <c r="D1239" s="1" t="s">
        <v>1230</v>
      </c>
      <c r="E1239" t="s">
        <v>5347</v>
      </c>
    </row>
    <row r="1240" spans="1:5" x14ac:dyDescent="0.35">
      <c r="A1240" t="str">
        <f>"2014-12-05"</f>
        <v>2014-12-05</v>
      </c>
      <c r="B1240" s="1" t="str">
        <f t="shared" si="19"/>
        <v>12/05/2014</v>
      </c>
      <c r="C1240" t="str">
        <f>"111.1748"</f>
        <v>111.1748</v>
      </c>
      <c r="D1240" s="1" t="s">
        <v>1231</v>
      </c>
      <c r="E1240" t="s">
        <v>5348</v>
      </c>
    </row>
    <row r="1241" spans="1:5" x14ac:dyDescent="0.35">
      <c r="A1241" t="str">
        <f>"2014-12-08"</f>
        <v>2014-12-08</v>
      </c>
      <c r="B1241" s="1" t="str">
        <f t="shared" si="19"/>
        <v>12/08/2014</v>
      </c>
      <c r="C1241" t="str">
        <f>"111.4485"</f>
        <v>111.4485</v>
      </c>
      <c r="D1241" s="1" t="s">
        <v>1232</v>
      </c>
      <c r="E1241" t="s">
        <v>5349</v>
      </c>
    </row>
    <row r="1242" spans="1:5" x14ac:dyDescent="0.35">
      <c r="A1242" t="str">
        <f>"2014-12-09"</f>
        <v>2014-12-09</v>
      </c>
      <c r="B1242" s="1" t="str">
        <f t="shared" si="19"/>
        <v>12/09/2014</v>
      </c>
      <c r="C1242" t="str">
        <f>"103.4737"</f>
        <v>103.4737</v>
      </c>
      <c r="D1242" s="1" t="s">
        <v>1233</v>
      </c>
      <c r="E1242" t="s">
        <v>5350</v>
      </c>
    </row>
    <row r="1243" spans="1:5" x14ac:dyDescent="0.35">
      <c r="A1243" t="str">
        <f>"2014-12-10"</f>
        <v>2014-12-10</v>
      </c>
      <c r="B1243" s="1" t="str">
        <f t="shared" si="19"/>
        <v>12/10/2014</v>
      </c>
      <c r="C1243" t="str">
        <f>"108.0584"</f>
        <v>108.0584</v>
      </c>
      <c r="D1243" s="1" t="s">
        <v>1234</v>
      </c>
      <c r="E1243" t="s">
        <v>5351</v>
      </c>
    </row>
    <row r="1244" spans="1:5" x14ac:dyDescent="0.35">
      <c r="A1244" t="str">
        <f>"2014-12-11"</f>
        <v>2014-12-11</v>
      </c>
      <c r="B1244" s="1" t="str">
        <f t="shared" si="19"/>
        <v>12/11/2014</v>
      </c>
      <c r="C1244" t="str">
        <f>"108.8521"</f>
        <v>108.8521</v>
      </c>
      <c r="D1244" s="1" t="s">
        <v>1235</v>
      </c>
      <c r="E1244" t="s">
        <v>5352</v>
      </c>
    </row>
    <row r="1245" spans="1:5" x14ac:dyDescent="0.35">
      <c r="A1245" t="str">
        <f>"2014-12-12"</f>
        <v>2014-12-12</v>
      </c>
      <c r="B1245" s="1" t="str">
        <f t="shared" si="19"/>
        <v>12/12/2014</v>
      </c>
      <c r="C1245" t="str">
        <f>"106.9498"</f>
        <v>106.9498</v>
      </c>
      <c r="D1245" s="1" t="s">
        <v>1236</v>
      </c>
      <c r="E1245" t="s">
        <v>5353</v>
      </c>
    </row>
    <row r="1246" spans="1:5" x14ac:dyDescent="0.35">
      <c r="A1246" t="str">
        <f>"2014-12-15"</f>
        <v>2014-12-15</v>
      </c>
      <c r="B1246" s="1" t="str">
        <f t="shared" si="19"/>
        <v>12/15/2014</v>
      </c>
      <c r="C1246" t="str">
        <f>"107.433"</f>
        <v>107.433</v>
      </c>
      <c r="D1246" s="1" t="s">
        <v>1237</v>
      </c>
      <c r="E1246" t="s">
        <v>5354</v>
      </c>
    </row>
    <row r="1247" spans="1:5" x14ac:dyDescent="0.35">
      <c r="A1247" t="str">
        <f>"2014-12-16"</f>
        <v>2014-12-16</v>
      </c>
      <c r="B1247" s="1" t="str">
        <f t="shared" si="19"/>
        <v>12/16/2014</v>
      </c>
      <c r="C1247" t="str">
        <f>"102.5596"</f>
        <v>102.5596</v>
      </c>
      <c r="D1247" s="1" t="s">
        <v>1238</v>
      </c>
      <c r="E1247" t="s">
        <v>5355</v>
      </c>
    </row>
    <row r="1248" spans="1:5" x14ac:dyDescent="0.35">
      <c r="A1248" t="str">
        <f>"2014-12-17"</f>
        <v>2014-12-17</v>
      </c>
      <c r="B1248" s="1" t="str">
        <f t="shared" si="19"/>
        <v>12/17/2014</v>
      </c>
      <c r="C1248" t="str">
        <f>"102.5374"</f>
        <v>102.5374</v>
      </c>
      <c r="D1248" s="1" t="s">
        <v>1239</v>
      </c>
      <c r="E1248" t="s">
        <v>5356</v>
      </c>
    </row>
    <row r="1249" spans="1:5" x14ac:dyDescent="0.35">
      <c r="A1249" t="str">
        <f>"2014-12-18"</f>
        <v>2014-12-18</v>
      </c>
      <c r="B1249" s="1" t="str">
        <f t="shared" si="19"/>
        <v>12/18/2014</v>
      </c>
      <c r="C1249" t="str">
        <f>"104.5516"</f>
        <v>104.5516</v>
      </c>
      <c r="D1249" s="1" t="s">
        <v>1240</v>
      </c>
      <c r="E1249" t="s">
        <v>5357</v>
      </c>
    </row>
    <row r="1250" spans="1:5" x14ac:dyDescent="0.35">
      <c r="A1250" t="str">
        <f>"2014-12-19"</f>
        <v>2014-12-19</v>
      </c>
      <c r="B1250" s="1" t="str">
        <f t="shared" si="19"/>
        <v>12/19/2014</v>
      </c>
      <c r="C1250" t="str">
        <f>"105.9754"</f>
        <v>105.9754</v>
      </c>
      <c r="D1250" s="1" t="s">
        <v>1241</v>
      </c>
      <c r="E1250" t="s">
        <v>5358</v>
      </c>
    </row>
    <row r="1251" spans="1:5" x14ac:dyDescent="0.35">
      <c r="A1251" t="str">
        <f>"2014-12-22"</f>
        <v>2014-12-22</v>
      </c>
      <c r="B1251" s="1" t="str">
        <f t="shared" si="19"/>
        <v>12/22/2014</v>
      </c>
      <c r="C1251" t="str">
        <f>"109.5598"</f>
        <v>109.5598</v>
      </c>
      <c r="D1251" s="1" t="s">
        <v>1242</v>
      </c>
      <c r="E1251" t="s">
        <v>5359</v>
      </c>
    </row>
    <row r="1252" spans="1:5" x14ac:dyDescent="0.35">
      <c r="A1252" t="str">
        <f>"2014-12-23"</f>
        <v>2014-12-23</v>
      </c>
      <c r="B1252" s="1" t="str">
        <f t="shared" si="19"/>
        <v>12/23/2014</v>
      </c>
      <c r="C1252" t="str">
        <f>"105.9565"</f>
        <v>105.9565</v>
      </c>
      <c r="D1252" s="1" t="s">
        <v>1243</v>
      </c>
      <c r="E1252" t="s">
        <v>5360</v>
      </c>
    </row>
    <row r="1253" spans="1:5" x14ac:dyDescent="0.35">
      <c r="A1253" t="str">
        <f>"2014-12-24"</f>
        <v>2014-12-24</v>
      </c>
      <c r="B1253" s="1" t="str">
        <f t="shared" si="19"/>
        <v>12/24/2014</v>
      </c>
      <c r="C1253" t="str">
        <f>"107.1097"</f>
        <v>107.1097</v>
      </c>
      <c r="D1253" s="1" t="s">
        <v>1244</v>
      </c>
      <c r="E1253" t="s">
        <v>5361</v>
      </c>
    </row>
    <row r="1254" spans="1:5" x14ac:dyDescent="0.35">
      <c r="A1254" t="str">
        <f>"2014-12-26"</f>
        <v>2014-12-26</v>
      </c>
      <c r="B1254" s="1" t="str">
        <f t="shared" si="19"/>
        <v>12/26/2014</v>
      </c>
      <c r="C1254" t="str">
        <f>"105.0857"</f>
        <v>105.0857</v>
      </c>
      <c r="D1254" s="1" t="s">
        <v>1245</v>
      </c>
      <c r="E1254" t="s">
        <v>5362</v>
      </c>
    </row>
    <row r="1255" spans="1:5" x14ac:dyDescent="0.35">
      <c r="A1255" t="str">
        <f>"2014-12-29"</f>
        <v>2014-12-29</v>
      </c>
      <c r="B1255" s="1" t="str">
        <f t="shared" si="19"/>
        <v>12/29/2014</v>
      </c>
      <c r="C1255" t="str">
        <f>"105.8617"</f>
        <v>105.8617</v>
      </c>
      <c r="D1255" s="1" t="s">
        <v>1246</v>
      </c>
      <c r="E1255" t="s">
        <v>5363</v>
      </c>
    </row>
    <row r="1256" spans="1:5" x14ac:dyDescent="0.35">
      <c r="A1256" t="str">
        <f>"2014-12-30"</f>
        <v>2014-12-30</v>
      </c>
      <c r="B1256" s="1" t="str">
        <f t="shared" si="19"/>
        <v>12/30/2014</v>
      </c>
      <c r="C1256" t="str">
        <f>"107.3856"</f>
        <v>107.3856</v>
      </c>
      <c r="D1256" s="1" t="s">
        <v>1247</v>
      </c>
      <c r="E1256" t="s">
        <v>5364</v>
      </c>
    </row>
    <row r="1257" spans="1:5" x14ac:dyDescent="0.35">
      <c r="A1257" t="str">
        <f>"2014-12-31"</f>
        <v>2014-12-31</v>
      </c>
      <c r="B1257" s="1" t="str">
        <f t="shared" si="19"/>
        <v>12/31/2014</v>
      </c>
      <c r="C1257" t="str">
        <f>"108.9235"</f>
        <v>108.9235</v>
      </c>
      <c r="D1257" s="1" t="s">
        <v>1248</v>
      </c>
      <c r="E1257" t="s">
        <v>5365</v>
      </c>
    </row>
    <row r="1258" spans="1:5" x14ac:dyDescent="0.35">
      <c r="A1258" t="str">
        <f>"2015-01-02"</f>
        <v>2015-01-02</v>
      </c>
      <c r="B1258" s="1" t="str">
        <f t="shared" si="19"/>
        <v>01/02/2015</v>
      </c>
      <c r="C1258" t="str">
        <f>"109.3584"</f>
        <v>109.3584</v>
      </c>
      <c r="D1258" s="1" t="s">
        <v>1249</v>
      </c>
      <c r="E1258" t="s">
        <v>5366</v>
      </c>
    </row>
    <row r="1259" spans="1:5" x14ac:dyDescent="0.35">
      <c r="A1259" t="str">
        <f>"2015-01-05"</f>
        <v>2015-01-05</v>
      </c>
      <c r="B1259" s="1" t="str">
        <f t="shared" si="19"/>
        <v>01/05/2015</v>
      </c>
      <c r="C1259" t="str">
        <f>"112.5091"</f>
        <v>112.5091</v>
      </c>
      <c r="D1259" s="1" t="s">
        <v>1250</v>
      </c>
      <c r="E1259" t="s">
        <v>5367</v>
      </c>
    </row>
    <row r="1260" spans="1:5" x14ac:dyDescent="0.35">
      <c r="A1260" t="str">
        <f>"2015-01-06"</f>
        <v>2015-01-06</v>
      </c>
      <c r="B1260" s="1" t="str">
        <f t="shared" si="19"/>
        <v>01/06/2015</v>
      </c>
      <c r="C1260" t="str">
        <f>"111.6357"</f>
        <v>111.6357</v>
      </c>
      <c r="D1260" s="1" t="s">
        <v>1251</v>
      </c>
      <c r="E1260" t="s">
        <v>5368</v>
      </c>
    </row>
    <row r="1261" spans="1:5" x14ac:dyDescent="0.35">
      <c r="A1261" t="str">
        <f>"2015-01-07"</f>
        <v>2015-01-07</v>
      </c>
      <c r="B1261" s="1" t="str">
        <f t="shared" si="19"/>
        <v>01/07/2015</v>
      </c>
      <c r="C1261" t="str">
        <f>"111.1249"</f>
        <v>111.1249</v>
      </c>
      <c r="D1261" s="1" t="s">
        <v>1252</v>
      </c>
      <c r="E1261" t="s">
        <v>5369</v>
      </c>
    </row>
    <row r="1262" spans="1:5" x14ac:dyDescent="0.35">
      <c r="A1262" t="str">
        <f>"2015-01-08"</f>
        <v>2015-01-08</v>
      </c>
      <c r="B1262" s="1" t="str">
        <f t="shared" si="19"/>
        <v>01/08/2015</v>
      </c>
      <c r="C1262" t="str">
        <f>"112.1727"</f>
        <v>112.1727</v>
      </c>
      <c r="D1262" s="1" t="s">
        <v>1253</v>
      </c>
      <c r="E1262" t="s">
        <v>5370</v>
      </c>
    </row>
    <row r="1263" spans="1:5" x14ac:dyDescent="0.35">
      <c r="A1263" t="str">
        <f>"2015-01-09"</f>
        <v>2015-01-09</v>
      </c>
      <c r="B1263" s="1" t="str">
        <f t="shared" si="19"/>
        <v>01/09/2015</v>
      </c>
      <c r="C1263" t="str">
        <f>"110.8529"</f>
        <v>110.8529</v>
      </c>
      <c r="D1263" s="1" t="s">
        <v>1254</v>
      </c>
      <c r="E1263" t="s">
        <v>5371</v>
      </c>
    </row>
    <row r="1264" spans="1:5" x14ac:dyDescent="0.35">
      <c r="A1264" t="str">
        <f>"2015-01-12"</f>
        <v>2015-01-12</v>
      </c>
      <c r="B1264" s="1" t="str">
        <f t="shared" si="19"/>
        <v>01/12/2015</v>
      </c>
      <c r="C1264" t="str">
        <f>"109.0599"</f>
        <v>109.0599</v>
      </c>
      <c r="D1264" s="1" t="s">
        <v>1255</v>
      </c>
      <c r="E1264" t="s">
        <v>5372</v>
      </c>
    </row>
    <row r="1265" spans="1:5" x14ac:dyDescent="0.35">
      <c r="A1265" t="str">
        <f>"2015-01-13"</f>
        <v>2015-01-13</v>
      </c>
      <c r="B1265" s="1" t="str">
        <f t="shared" si="19"/>
        <v>01/13/2015</v>
      </c>
      <c r="C1265" t="str">
        <f>"108.8825"</f>
        <v>108.8825</v>
      </c>
      <c r="D1265" s="1" t="s">
        <v>1256</v>
      </c>
      <c r="E1265" t="s">
        <v>5373</v>
      </c>
    </row>
    <row r="1266" spans="1:5" x14ac:dyDescent="0.35">
      <c r="A1266" t="str">
        <f>"2015-01-14"</f>
        <v>2015-01-14</v>
      </c>
      <c r="B1266" s="1" t="str">
        <f t="shared" si="19"/>
        <v>01/14/2015</v>
      </c>
      <c r="C1266" t="str">
        <f>"107.198"</f>
        <v>107.198</v>
      </c>
      <c r="D1266" s="1" t="s">
        <v>1257</v>
      </c>
      <c r="E1266" t="s">
        <v>5374</v>
      </c>
    </row>
    <row r="1267" spans="1:5" x14ac:dyDescent="0.35">
      <c r="A1267" t="str">
        <f>"2015-01-15"</f>
        <v>2015-01-15</v>
      </c>
      <c r="B1267" s="1" t="str">
        <f t="shared" si="19"/>
        <v>01/15/2015</v>
      </c>
      <c r="C1267" t="str">
        <f>"100.5857"</f>
        <v>100.5857</v>
      </c>
      <c r="D1267" s="1" t="s">
        <v>1258</v>
      </c>
      <c r="E1267" t="s">
        <v>5375</v>
      </c>
    </row>
    <row r="1268" spans="1:5" x14ac:dyDescent="0.35">
      <c r="A1268" t="str">
        <f>"2015-01-16"</f>
        <v>2015-01-16</v>
      </c>
      <c r="B1268" s="1" t="str">
        <f t="shared" si="19"/>
        <v>01/16/2015</v>
      </c>
      <c r="C1268" t="str">
        <f>"98.2662"</f>
        <v>98.2662</v>
      </c>
      <c r="D1268" s="1" t="s">
        <v>1259</v>
      </c>
      <c r="E1268" t="s">
        <v>5376</v>
      </c>
    </row>
    <row r="1269" spans="1:5" x14ac:dyDescent="0.35">
      <c r="A1269" t="str">
        <f>"2015-01-20"</f>
        <v>2015-01-20</v>
      </c>
      <c r="B1269" s="1" t="str">
        <f t="shared" si="19"/>
        <v>01/20/2015</v>
      </c>
      <c r="C1269" t="str">
        <f>"99.4564"</f>
        <v>99.4564</v>
      </c>
      <c r="D1269" s="1" t="s">
        <v>1260</v>
      </c>
      <c r="E1269" t="s">
        <v>5377</v>
      </c>
    </row>
    <row r="1270" spans="1:5" x14ac:dyDescent="0.35">
      <c r="A1270" t="str">
        <f>"2015-01-21"</f>
        <v>2015-01-21</v>
      </c>
      <c r="B1270" s="1" t="str">
        <f t="shared" si="19"/>
        <v>01/21/2015</v>
      </c>
      <c r="C1270" t="str">
        <f>"96.8678"</f>
        <v>96.8678</v>
      </c>
      <c r="D1270" s="1" t="s">
        <v>1261</v>
      </c>
      <c r="E1270" t="s">
        <v>5378</v>
      </c>
    </row>
    <row r="1271" spans="1:5" x14ac:dyDescent="0.35">
      <c r="A1271" t="str">
        <f>"2015-01-22"</f>
        <v>2015-01-22</v>
      </c>
      <c r="B1271" s="1" t="str">
        <f t="shared" si="19"/>
        <v>01/22/2015</v>
      </c>
      <c r="C1271" t="str">
        <f>"96.9151"</f>
        <v>96.9151</v>
      </c>
      <c r="D1271" s="1" t="s">
        <v>1262</v>
      </c>
      <c r="E1271" t="s">
        <v>5379</v>
      </c>
    </row>
    <row r="1272" spans="1:5" x14ac:dyDescent="0.35">
      <c r="A1272" t="str">
        <f>"2015-01-23"</f>
        <v>2015-01-23</v>
      </c>
      <c r="B1272" s="1" t="str">
        <f t="shared" si="19"/>
        <v>01/23/2015</v>
      </c>
      <c r="C1272" t="str">
        <f>"96.8195"</f>
        <v>96.8195</v>
      </c>
      <c r="D1272" s="1" t="s">
        <v>1263</v>
      </c>
      <c r="E1272" t="s">
        <v>5380</v>
      </c>
    </row>
    <row r="1273" spans="1:5" x14ac:dyDescent="0.35">
      <c r="A1273" t="str">
        <f>"2015-01-26"</f>
        <v>2015-01-26</v>
      </c>
      <c r="B1273" s="1" t="str">
        <f t="shared" si="19"/>
        <v>01/26/2015</v>
      </c>
      <c r="C1273" t="str">
        <f>"99.9001"</f>
        <v>99.9001</v>
      </c>
      <c r="D1273" s="1" t="s">
        <v>1264</v>
      </c>
      <c r="E1273" t="s">
        <v>5381</v>
      </c>
    </row>
    <row r="1274" spans="1:5" x14ac:dyDescent="0.35">
      <c r="A1274" t="str">
        <f>"2015-01-27"</f>
        <v>2015-01-27</v>
      </c>
      <c r="B1274" s="1" t="str">
        <f t="shared" si="19"/>
        <v>01/27/2015</v>
      </c>
      <c r="C1274" t="str">
        <f>"97.912"</f>
        <v>97.912</v>
      </c>
      <c r="D1274" s="1" t="s">
        <v>1265</v>
      </c>
      <c r="E1274" t="s">
        <v>5382</v>
      </c>
    </row>
    <row r="1275" spans="1:5" x14ac:dyDescent="0.35">
      <c r="A1275" t="str">
        <f>"2015-01-28"</f>
        <v>2015-01-28</v>
      </c>
      <c r="B1275" s="1" t="str">
        <f t="shared" si="19"/>
        <v>01/28/2015</v>
      </c>
      <c r="C1275" t="str">
        <f>"96.5216"</f>
        <v>96.5216</v>
      </c>
      <c r="D1275" s="1" t="s">
        <v>1266</v>
      </c>
      <c r="E1275" t="s">
        <v>5383</v>
      </c>
    </row>
    <row r="1276" spans="1:5" x14ac:dyDescent="0.35">
      <c r="A1276" t="str">
        <f>"2015-01-29"</f>
        <v>2015-01-29</v>
      </c>
      <c r="B1276" s="1" t="str">
        <f t="shared" si="19"/>
        <v>01/29/2015</v>
      </c>
      <c r="C1276" t="str">
        <f>"98.5672"</f>
        <v>98.5672</v>
      </c>
      <c r="D1276" s="1" t="s">
        <v>1267</v>
      </c>
      <c r="E1276" t="s">
        <v>5384</v>
      </c>
    </row>
    <row r="1277" spans="1:5" x14ac:dyDescent="0.35">
      <c r="A1277" t="str">
        <f>"2015-01-30"</f>
        <v>2015-01-30</v>
      </c>
      <c r="B1277" s="1" t="str">
        <f t="shared" si="19"/>
        <v>01/30/2015</v>
      </c>
      <c r="C1277" t="str">
        <f>"94.4727"</f>
        <v>94.4727</v>
      </c>
      <c r="D1277" s="1" t="s">
        <v>1268</v>
      </c>
      <c r="E1277" t="s">
        <v>5385</v>
      </c>
    </row>
    <row r="1278" spans="1:5" x14ac:dyDescent="0.35">
      <c r="A1278" t="str">
        <f>"2015-02-02"</f>
        <v>2015-02-02</v>
      </c>
      <c r="B1278" s="1" t="str">
        <f t="shared" si="19"/>
        <v>02/02/2015</v>
      </c>
      <c r="C1278" t="str">
        <f>"92.3861"</f>
        <v>92.3861</v>
      </c>
      <c r="D1278" s="1" t="s">
        <v>1269</v>
      </c>
      <c r="E1278" t="s">
        <v>5386</v>
      </c>
    </row>
    <row r="1279" spans="1:5" x14ac:dyDescent="0.35">
      <c r="A1279" t="str">
        <f>"2015-02-03"</f>
        <v>2015-02-03</v>
      </c>
      <c r="B1279" s="1" t="str">
        <f t="shared" si="19"/>
        <v>02/03/2015</v>
      </c>
      <c r="C1279" t="str">
        <f>"90.3029"</f>
        <v>90.3029</v>
      </c>
      <c r="D1279" s="1" t="s">
        <v>1270</v>
      </c>
      <c r="E1279" t="s">
        <v>5387</v>
      </c>
    </row>
    <row r="1280" spans="1:5" x14ac:dyDescent="0.35">
      <c r="A1280" t="str">
        <f>"2015-02-04"</f>
        <v>2015-02-04</v>
      </c>
      <c r="B1280" s="1" t="str">
        <f t="shared" si="19"/>
        <v>02/04/2015</v>
      </c>
      <c r="C1280" t="str">
        <f>"92.128"</f>
        <v>92.128</v>
      </c>
      <c r="D1280" s="1" t="s">
        <v>1271</v>
      </c>
      <c r="E1280" t="s">
        <v>5388</v>
      </c>
    </row>
    <row r="1281" spans="1:5" x14ac:dyDescent="0.35">
      <c r="A1281" t="str">
        <f>"2015-02-05"</f>
        <v>2015-02-05</v>
      </c>
      <c r="B1281" s="1" t="str">
        <f t="shared" si="19"/>
        <v>02/05/2015</v>
      </c>
      <c r="C1281" t="str">
        <f>"90.1712"</f>
        <v>90.1712</v>
      </c>
      <c r="D1281" s="1" t="s">
        <v>1272</v>
      </c>
      <c r="E1281" t="s">
        <v>5389</v>
      </c>
    </row>
    <row r="1282" spans="1:5" x14ac:dyDescent="0.35">
      <c r="A1282" t="str">
        <f>"2015-02-06"</f>
        <v>2015-02-06</v>
      </c>
      <c r="B1282" s="1" t="str">
        <f t="shared" si="19"/>
        <v>02/06/2015</v>
      </c>
      <c r="C1282" t="str">
        <f>"90.6546"</f>
        <v>90.6546</v>
      </c>
      <c r="D1282" s="1" t="s">
        <v>1273</v>
      </c>
      <c r="E1282" t="s">
        <v>5390</v>
      </c>
    </row>
    <row r="1283" spans="1:5" x14ac:dyDescent="0.35">
      <c r="A1283" t="str">
        <f>"2015-02-09"</f>
        <v>2015-02-09</v>
      </c>
      <c r="B1283" s="1" t="str">
        <f t="shared" ref="B1283:B1346" si="20">LEFT(RIGHT(A1283,5),2)&amp;"/"&amp;RIGHT(A1283,2)&amp;"/"&amp;LEFT(A1283,4)</f>
        <v>02/09/2015</v>
      </c>
      <c r="C1283" t="str">
        <f>"88.4337"</f>
        <v>88.4337</v>
      </c>
      <c r="D1283" s="1" t="s">
        <v>1274</v>
      </c>
      <c r="E1283" t="s">
        <v>5391</v>
      </c>
    </row>
    <row r="1284" spans="1:5" x14ac:dyDescent="0.35">
      <c r="A1284" t="str">
        <f>"2015-02-10"</f>
        <v>2015-02-10</v>
      </c>
      <c r="B1284" s="1" t="str">
        <f t="shared" si="20"/>
        <v>02/10/2015</v>
      </c>
      <c r="C1284" t="str">
        <f>"91.2324"</f>
        <v>91.2324</v>
      </c>
      <c r="D1284" s="1" t="s">
        <v>1275</v>
      </c>
      <c r="E1284" t="s">
        <v>5392</v>
      </c>
    </row>
    <row r="1285" spans="1:5" x14ac:dyDescent="0.35">
      <c r="A1285" t="str">
        <f>"2015-02-11"</f>
        <v>2015-02-11</v>
      </c>
      <c r="B1285" s="1" t="str">
        <f t="shared" si="20"/>
        <v>02/11/2015</v>
      </c>
      <c r="C1285" t="str">
        <f>"91.8611"</f>
        <v>91.8611</v>
      </c>
      <c r="D1285" s="1" t="s">
        <v>1276</v>
      </c>
      <c r="E1285" t="s">
        <v>5393</v>
      </c>
    </row>
    <row r="1286" spans="1:5" x14ac:dyDescent="0.35">
      <c r="A1286" t="str">
        <f>"2015-02-12"</f>
        <v>2015-02-12</v>
      </c>
      <c r="B1286" s="1" t="str">
        <f t="shared" si="20"/>
        <v>02/12/2015</v>
      </c>
      <c r="C1286" t="str">
        <f>"94.7001"</f>
        <v>94.7001</v>
      </c>
      <c r="D1286" s="1" t="s">
        <v>1277</v>
      </c>
      <c r="E1286" t="s">
        <v>5394</v>
      </c>
    </row>
    <row r="1287" spans="1:5" x14ac:dyDescent="0.35">
      <c r="A1287" t="str">
        <f>"2015-02-13"</f>
        <v>2015-02-13</v>
      </c>
      <c r="B1287" s="1" t="str">
        <f t="shared" si="20"/>
        <v>02/13/2015</v>
      </c>
      <c r="C1287" t="str">
        <f>"93.5246"</f>
        <v>93.5246</v>
      </c>
      <c r="D1287" s="1" t="s">
        <v>1278</v>
      </c>
      <c r="E1287" t="s">
        <v>5395</v>
      </c>
    </row>
    <row r="1288" spans="1:5" x14ac:dyDescent="0.35">
      <c r="A1288" t="str">
        <f>"2015-02-17"</f>
        <v>2015-02-17</v>
      </c>
      <c r="B1288" s="1" t="str">
        <f t="shared" si="20"/>
        <v>02/17/2015</v>
      </c>
      <c r="C1288" t="str">
        <f>"97.2209"</f>
        <v>97.2209</v>
      </c>
      <c r="D1288" s="1" t="s">
        <v>1279</v>
      </c>
      <c r="E1288" t="s">
        <v>5396</v>
      </c>
    </row>
    <row r="1289" spans="1:5" x14ac:dyDescent="0.35">
      <c r="A1289" t="str">
        <f>"2015-02-18"</f>
        <v>2015-02-18</v>
      </c>
      <c r="B1289" s="1" t="str">
        <f t="shared" si="20"/>
        <v>02/18/2015</v>
      </c>
      <c r="C1289" t="str">
        <f>"98.6703"</f>
        <v>98.6703</v>
      </c>
      <c r="D1289" s="1" t="s">
        <v>1280</v>
      </c>
      <c r="E1289" t="s">
        <v>5397</v>
      </c>
    </row>
    <row r="1290" spans="1:5" x14ac:dyDescent="0.35">
      <c r="A1290" t="str">
        <f>"2015-02-19"</f>
        <v>2015-02-19</v>
      </c>
      <c r="B1290" s="1" t="str">
        <f t="shared" si="20"/>
        <v>02/19/2015</v>
      </c>
      <c r="C1290" t="str">
        <f>"100.0815"</f>
        <v>100.0815</v>
      </c>
      <c r="D1290" s="1" t="s">
        <v>1281</v>
      </c>
      <c r="E1290" t="s">
        <v>5398</v>
      </c>
    </row>
    <row r="1291" spans="1:5" x14ac:dyDescent="0.35">
      <c r="A1291" t="str">
        <f>"2015-02-20"</f>
        <v>2015-02-20</v>
      </c>
      <c r="B1291" s="1" t="str">
        <f t="shared" si="20"/>
        <v>02/20/2015</v>
      </c>
      <c r="C1291" t="str">
        <f>"97.375"</f>
        <v>97.375</v>
      </c>
      <c r="D1291" s="1" t="s">
        <v>1282</v>
      </c>
      <c r="E1291" t="s">
        <v>5399</v>
      </c>
    </row>
    <row r="1292" spans="1:5" x14ac:dyDescent="0.35">
      <c r="A1292" t="str">
        <f>"2015-02-23"</f>
        <v>2015-02-23</v>
      </c>
      <c r="B1292" s="1" t="str">
        <f t="shared" si="20"/>
        <v>02/23/2015</v>
      </c>
      <c r="C1292" t="str">
        <f>"99.8487"</f>
        <v>99.8487</v>
      </c>
      <c r="D1292" s="1" t="s">
        <v>1283</v>
      </c>
      <c r="E1292" t="s">
        <v>5400</v>
      </c>
    </row>
    <row r="1293" spans="1:5" x14ac:dyDescent="0.35">
      <c r="A1293" t="str">
        <f>"2015-02-24"</f>
        <v>2015-02-24</v>
      </c>
      <c r="B1293" s="1" t="str">
        <f t="shared" si="20"/>
        <v>02/24/2015</v>
      </c>
      <c r="C1293" t="str">
        <f>"101.0318"</f>
        <v>101.0318</v>
      </c>
      <c r="D1293" s="1" t="s">
        <v>1284</v>
      </c>
      <c r="E1293" t="s">
        <v>5401</v>
      </c>
    </row>
    <row r="1294" spans="1:5" x14ac:dyDescent="0.35">
      <c r="A1294" t="str">
        <f>"2015-02-25"</f>
        <v>2015-02-25</v>
      </c>
      <c r="B1294" s="1" t="str">
        <f t="shared" si="20"/>
        <v>02/25/2015</v>
      </c>
      <c r="C1294" t="str">
        <f>"97.7938"</f>
        <v>97.7938</v>
      </c>
      <c r="D1294" s="1" t="s">
        <v>1285</v>
      </c>
      <c r="E1294" t="s">
        <v>5402</v>
      </c>
    </row>
    <row r="1295" spans="1:5" x14ac:dyDescent="0.35">
      <c r="A1295" t="str">
        <f>"2015-02-26"</f>
        <v>2015-02-26</v>
      </c>
      <c r="B1295" s="1" t="str">
        <f t="shared" si="20"/>
        <v>02/26/2015</v>
      </c>
      <c r="C1295" t="str">
        <f>"93.0463"</f>
        <v>93.0463</v>
      </c>
      <c r="D1295" s="1" t="s">
        <v>1286</v>
      </c>
      <c r="E1295" t="s">
        <v>5403</v>
      </c>
    </row>
    <row r="1296" spans="1:5" x14ac:dyDescent="0.35">
      <c r="A1296" t="str">
        <f>"2015-02-27"</f>
        <v>2015-02-27</v>
      </c>
      <c r="B1296" s="1" t="str">
        <f t="shared" si="20"/>
        <v>02/27/2015</v>
      </c>
      <c r="C1296" t="str">
        <f>"92.6882"</f>
        <v>92.6882</v>
      </c>
      <c r="D1296" s="1" t="s">
        <v>1287</v>
      </c>
      <c r="E1296" t="s">
        <v>5404</v>
      </c>
    </row>
    <row r="1297" spans="1:5" x14ac:dyDescent="0.35">
      <c r="A1297" t="str">
        <f>"2015-03-02"</f>
        <v>2015-03-02</v>
      </c>
      <c r="B1297" s="1" t="str">
        <f t="shared" si="20"/>
        <v>03/02/2015</v>
      </c>
      <c r="C1297" t="str">
        <f>"92.6958"</f>
        <v>92.6958</v>
      </c>
      <c r="D1297" s="1" t="s">
        <v>1288</v>
      </c>
      <c r="E1297" t="s">
        <v>5405</v>
      </c>
    </row>
    <row r="1298" spans="1:5" x14ac:dyDescent="0.35">
      <c r="A1298" t="str">
        <f>"2015-03-03"</f>
        <v>2015-03-03</v>
      </c>
      <c r="B1298" s="1" t="str">
        <f t="shared" si="20"/>
        <v>03/03/2015</v>
      </c>
      <c r="C1298" t="str">
        <f>"91.724"</f>
        <v>91.724</v>
      </c>
      <c r="D1298" s="1" t="s">
        <v>1289</v>
      </c>
      <c r="E1298" t="s">
        <v>5406</v>
      </c>
    </row>
    <row r="1299" spans="1:5" x14ac:dyDescent="0.35">
      <c r="A1299" t="str">
        <f>"2015-03-04"</f>
        <v>2015-03-04</v>
      </c>
      <c r="B1299" s="1" t="str">
        <f t="shared" si="20"/>
        <v>03/04/2015</v>
      </c>
      <c r="C1299" t="str">
        <f>"88.5844"</f>
        <v>88.5844</v>
      </c>
      <c r="D1299" s="1" t="s">
        <v>1290</v>
      </c>
      <c r="E1299" t="s">
        <v>5407</v>
      </c>
    </row>
    <row r="1300" spans="1:5" x14ac:dyDescent="0.35">
      <c r="A1300" t="str">
        <f>"2015-03-05"</f>
        <v>2015-03-05</v>
      </c>
      <c r="B1300" s="1" t="str">
        <f t="shared" si="20"/>
        <v>03/05/2015</v>
      </c>
      <c r="C1300" t="str">
        <f>"86.7957"</f>
        <v>86.7957</v>
      </c>
      <c r="D1300" s="1" t="s">
        <v>1291</v>
      </c>
      <c r="E1300" t="s">
        <v>5408</v>
      </c>
    </row>
    <row r="1301" spans="1:5" x14ac:dyDescent="0.35">
      <c r="A1301" t="str">
        <f>"2015-03-06"</f>
        <v>2015-03-06</v>
      </c>
      <c r="B1301" s="1" t="str">
        <f t="shared" si="20"/>
        <v>03/06/2015</v>
      </c>
      <c r="C1301" t="str">
        <f>"86.7481"</f>
        <v>86.7481</v>
      </c>
      <c r="D1301" s="1" t="s">
        <v>1292</v>
      </c>
      <c r="E1301" t="s">
        <v>5409</v>
      </c>
    </row>
    <row r="1302" spans="1:5" x14ac:dyDescent="0.35">
      <c r="A1302" t="str">
        <f>"2015-03-09"</f>
        <v>2015-03-09</v>
      </c>
      <c r="B1302" s="1" t="str">
        <f t="shared" si="20"/>
        <v>03/09/2015</v>
      </c>
      <c r="C1302" t="str">
        <f>"86.6269"</f>
        <v>86.6269</v>
      </c>
      <c r="D1302" s="1" t="s">
        <v>1293</v>
      </c>
      <c r="E1302" t="s">
        <v>5410</v>
      </c>
    </row>
    <row r="1303" spans="1:5" x14ac:dyDescent="0.35">
      <c r="A1303" t="str">
        <f>"2015-03-10"</f>
        <v>2015-03-10</v>
      </c>
      <c r="B1303" s="1" t="str">
        <f t="shared" si="20"/>
        <v>03/10/2015</v>
      </c>
      <c r="C1303" t="str">
        <f>"84.9716"</f>
        <v>84.9716</v>
      </c>
      <c r="D1303" s="1" t="s">
        <v>1294</v>
      </c>
      <c r="E1303" t="s">
        <v>5411</v>
      </c>
    </row>
    <row r="1304" spans="1:5" x14ac:dyDescent="0.35">
      <c r="A1304" t="str">
        <f>"2015-03-11"</f>
        <v>2015-03-11</v>
      </c>
      <c r="B1304" s="1" t="str">
        <f t="shared" si="20"/>
        <v>03/11/2015</v>
      </c>
      <c r="C1304" t="str">
        <f>"85.6131"</f>
        <v>85.6131</v>
      </c>
      <c r="D1304" s="1" t="s">
        <v>1295</v>
      </c>
      <c r="E1304" t="s">
        <v>5412</v>
      </c>
    </row>
    <row r="1305" spans="1:5" x14ac:dyDescent="0.35">
      <c r="A1305" t="str">
        <f>"2015-03-12"</f>
        <v>2015-03-12</v>
      </c>
      <c r="B1305" s="1" t="str">
        <f t="shared" si="20"/>
        <v>03/12/2015</v>
      </c>
      <c r="C1305" t="str">
        <f>"86.5362"</f>
        <v>86.5362</v>
      </c>
      <c r="D1305" s="1" t="s">
        <v>1296</v>
      </c>
      <c r="E1305" t="s">
        <v>5413</v>
      </c>
    </row>
    <row r="1306" spans="1:5" x14ac:dyDescent="0.35">
      <c r="A1306" t="str">
        <f>"2015-03-13"</f>
        <v>2015-03-13</v>
      </c>
      <c r="B1306" s="1" t="str">
        <f t="shared" si="20"/>
        <v>03/13/2015</v>
      </c>
      <c r="C1306" t="str">
        <f>"84.8388"</f>
        <v>84.8388</v>
      </c>
      <c r="D1306" s="1" t="s">
        <v>1297</v>
      </c>
      <c r="E1306" t="s">
        <v>5414</v>
      </c>
    </row>
    <row r="1307" spans="1:5" x14ac:dyDescent="0.35">
      <c r="A1307" t="str">
        <f>"2015-03-16"</f>
        <v>2015-03-16</v>
      </c>
      <c r="B1307" s="1" t="str">
        <f t="shared" si="20"/>
        <v>03/16/2015</v>
      </c>
      <c r="C1307" t="str">
        <f>"86.3462"</f>
        <v>86.3462</v>
      </c>
      <c r="D1307" s="1" t="s">
        <v>1298</v>
      </c>
      <c r="E1307" t="s">
        <v>5415</v>
      </c>
    </row>
    <row r="1308" spans="1:5" x14ac:dyDescent="0.35">
      <c r="A1308" t="str">
        <f>"2015-03-17"</f>
        <v>2015-03-17</v>
      </c>
      <c r="B1308" s="1" t="str">
        <f t="shared" si="20"/>
        <v>03/17/2015</v>
      </c>
      <c r="C1308" t="str">
        <f>"89.8448"</f>
        <v>89.8448</v>
      </c>
      <c r="D1308" s="1" t="s">
        <v>1299</v>
      </c>
      <c r="E1308" t="s">
        <v>5416</v>
      </c>
    </row>
    <row r="1309" spans="1:5" x14ac:dyDescent="0.35">
      <c r="A1309" t="str">
        <f>"2015-03-18"</f>
        <v>2015-03-18</v>
      </c>
      <c r="B1309" s="1" t="str">
        <f t="shared" si="20"/>
        <v>03/18/2015</v>
      </c>
      <c r="C1309" t="str">
        <f>"89.2953"</f>
        <v>89.2953</v>
      </c>
      <c r="D1309" s="1" t="s">
        <v>1300</v>
      </c>
      <c r="E1309" t="s">
        <v>5417</v>
      </c>
    </row>
    <row r="1310" spans="1:5" x14ac:dyDescent="0.35">
      <c r="A1310" t="str">
        <f>"2015-03-19"</f>
        <v>2015-03-19</v>
      </c>
      <c r="B1310" s="1" t="str">
        <f t="shared" si="20"/>
        <v>03/19/2015</v>
      </c>
      <c r="C1310" t="str">
        <f>"91.9383"</f>
        <v>91.9383</v>
      </c>
      <c r="D1310" s="1" t="s">
        <v>1301</v>
      </c>
      <c r="E1310" t="s">
        <v>5418</v>
      </c>
    </row>
    <row r="1311" spans="1:5" x14ac:dyDescent="0.35">
      <c r="A1311" t="str">
        <f>"2015-03-20"</f>
        <v>2015-03-20</v>
      </c>
      <c r="B1311" s="1" t="str">
        <f t="shared" si="20"/>
        <v>03/20/2015</v>
      </c>
      <c r="C1311" t="str">
        <f>"90.1874"</f>
        <v>90.1874</v>
      </c>
      <c r="D1311" s="1" t="s">
        <v>1302</v>
      </c>
      <c r="E1311" t="s">
        <v>5419</v>
      </c>
    </row>
    <row r="1312" spans="1:5" x14ac:dyDescent="0.35">
      <c r="A1312" t="str">
        <f>"2015-03-23"</f>
        <v>2015-03-23</v>
      </c>
      <c r="B1312" s="1" t="str">
        <f t="shared" si="20"/>
        <v>03/23/2015</v>
      </c>
      <c r="C1312" t="str">
        <f>"91.5306"</f>
        <v>91.5306</v>
      </c>
      <c r="D1312" s="1" t="s">
        <v>1303</v>
      </c>
      <c r="E1312" t="s">
        <v>5420</v>
      </c>
    </row>
    <row r="1313" spans="1:5" x14ac:dyDescent="0.35">
      <c r="A1313" t="str">
        <f>"2015-03-24"</f>
        <v>2015-03-24</v>
      </c>
      <c r="B1313" s="1" t="str">
        <f t="shared" si="20"/>
        <v>03/24/2015</v>
      </c>
      <c r="C1313" t="str">
        <f>"89.6862"</f>
        <v>89.6862</v>
      </c>
      <c r="D1313" s="1" t="s">
        <v>1304</v>
      </c>
      <c r="E1313" t="s">
        <v>5421</v>
      </c>
    </row>
    <row r="1314" spans="1:5" x14ac:dyDescent="0.35">
      <c r="A1314" t="str">
        <f>"2015-03-25"</f>
        <v>2015-03-25</v>
      </c>
      <c r="B1314" s="1" t="str">
        <f t="shared" si="20"/>
        <v>03/25/2015</v>
      </c>
      <c r="C1314" t="str">
        <f>"88.5443"</f>
        <v>88.5443</v>
      </c>
      <c r="D1314" s="1" t="s">
        <v>1305</v>
      </c>
      <c r="E1314" t="s">
        <v>5422</v>
      </c>
    </row>
    <row r="1315" spans="1:5" x14ac:dyDescent="0.35">
      <c r="A1315" t="str">
        <f>"2015-03-26"</f>
        <v>2015-03-26</v>
      </c>
      <c r="B1315" s="1" t="str">
        <f t="shared" si="20"/>
        <v>03/26/2015</v>
      </c>
      <c r="C1315" t="str">
        <f>"84.5362"</f>
        <v>84.5362</v>
      </c>
      <c r="D1315" s="1" t="s">
        <v>1306</v>
      </c>
      <c r="E1315" t="s">
        <v>5423</v>
      </c>
    </row>
    <row r="1316" spans="1:5" x14ac:dyDescent="0.35">
      <c r="A1316" t="str">
        <f>"2015-03-27"</f>
        <v>2015-03-27</v>
      </c>
      <c r="B1316" s="1" t="str">
        <f t="shared" si="20"/>
        <v>03/27/2015</v>
      </c>
      <c r="C1316" t="str">
        <f>"85.9482"</f>
        <v>85.9482</v>
      </c>
      <c r="D1316" s="1" t="s">
        <v>1307</v>
      </c>
      <c r="E1316" t="s">
        <v>5424</v>
      </c>
    </row>
    <row r="1317" spans="1:5" x14ac:dyDescent="0.35">
      <c r="A1317" t="str">
        <f>"2015-03-30"</f>
        <v>2015-03-30</v>
      </c>
      <c r="B1317" s="1" t="str">
        <f t="shared" si="20"/>
        <v>03/30/2015</v>
      </c>
      <c r="C1317" t="str">
        <f>"89.4707"</f>
        <v>89.4707</v>
      </c>
      <c r="D1317" s="1" t="s">
        <v>1308</v>
      </c>
      <c r="E1317" t="s">
        <v>5425</v>
      </c>
    </row>
    <row r="1318" spans="1:5" x14ac:dyDescent="0.35">
      <c r="A1318" t="str">
        <f>"2015-03-31"</f>
        <v>2015-03-31</v>
      </c>
      <c r="B1318" s="1" t="str">
        <f t="shared" si="20"/>
        <v>03/31/2015</v>
      </c>
      <c r="C1318" t="str">
        <f>"89.9022"</f>
        <v>89.9022</v>
      </c>
      <c r="D1318" s="1" t="s">
        <v>1309</v>
      </c>
      <c r="E1318" t="s">
        <v>5426</v>
      </c>
    </row>
    <row r="1319" spans="1:5" x14ac:dyDescent="0.35">
      <c r="A1319" t="str">
        <f>"2015-04-01"</f>
        <v>2015-04-01</v>
      </c>
      <c r="B1319" s="1" t="str">
        <f t="shared" si="20"/>
        <v>04/01/2015</v>
      </c>
      <c r="C1319" t="str">
        <f>"87.5728"</f>
        <v>87.5728</v>
      </c>
      <c r="D1319" s="1" t="s">
        <v>1310</v>
      </c>
      <c r="E1319" t="s">
        <v>5427</v>
      </c>
    </row>
    <row r="1320" spans="1:5" x14ac:dyDescent="0.35">
      <c r="A1320" t="str">
        <f>"2015-04-02"</f>
        <v>2015-04-02</v>
      </c>
      <c r="B1320" s="1" t="str">
        <f t="shared" si="20"/>
        <v>04/02/2015</v>
      </c>
      <c r="C1320" t="str">
        <f>"89.0646"</f>
        <v>89.0646</v>
      </c>
      <c r="D1320" s="1" t="s">
        <v>1311</v>
      </c>
      <c r="E1320" t="s">
        <v>5428</v>
      </c>
    </row>
    <row r="1321" spans="1:5" x14ac:dyDescent="0.35">
      <c r="A1321" t="str">
        <f>"2015-04-06"</f>
        <v>2015-04-06</v>
      </c>
      <c r="B1321" s="1" t="str">
        <f t="shared" si="20"/>
        <v>04/06/2015</v>
      </c>
      <c r="C1321" t="str">
        <f>"89.5134"</f>
        <v>89.5134</v>
      </c>
      <c r="D1321" s="1" t="s">
        <v>1312</v>
      </c>
      <c r="E1321" t="s">
        <v>5429</v>
      </c>
    </row>
    <row r="1322" spans="1:5" x14ac:dyDescent="0.35">
      <c r="A1322" t="str">
        <f>"2015-04-07"</f>
        <v>2015-04-07</v>
      </c>
      <c r="B1322" s="1" t="str">
        <f t="shared" si="20"/>
        <v>04/07/2015</v>
      </c>
      <c r="C1322" t="str">
        <f>"88.2548"</f>
        <v>88.2548</v>
      </c>
      <c r="D1322" s="1" t="s">
        <v>1313</v>
      </c>
      <c r="E1322" t="s">
        <v>5430</v>
      </c>
    </row>
    <row r="1323" spans="1:5" x14ac:dyDescent="0.35">
      <c r="A1323" t="str">
        <f>"2015-04-08"</f>
        <v>2015-04-08</v>
      </c>
      <c r="B1323" s="1" t="str">
        <f t="shared" si="20"/>
        <v>04/08/2015</v>
      </c>
      <c r="C1323" t="str">
        <f>"89.8557"</f>
        <v>89.8557</v>
      </c>
      <c r="D1323" s="1" t="s">
        <v>1314</v>
      </c>
      <c r="E1323" t="s">
        <v>5431</v>
      </c>
    </row>
    <row r="1324" spans="1:5" x14ac:dyDescent="0.35">
      <c r="A1324" t="str">
        <f>"2015-04-09"</f>
        <v>2015-04-09</v>
      </c>
      <c r="B1324" s="1" t="str">
        <f t="shared" si="20"/>
        <v>04/09/2015</v>
      </c>
      <c r="C1324" t="str">
        <f>"91.2864"</f>
        <v>91.2864</v>
      </c>
      <c r="D1324" s="1" t="s">
        <v>1315</v>
      </c>
      <c r="E1324" t="s">
        <v>5432</v>
      </c>
    </row>
    <row r="1325" spans="1:5" x14ac:dyDescent="0.35">
      <c r="A1325" t="str">
        <f>"2015-04-10"</f>
        <v>2015-04-10</v>
      </c>
      <c r="B1325" s="1" t="str">
        <f t="shared" si="20"/>
        <v>04/10/2015</v>
      </c>
      <c r="C1325" t="str">
        <f>"88.5412"</f>
        <v>88.5412</v>
      </c>
      <c r="D1325" s="1" t="s">
        <v>1316</v>
      </c>
      <c r="E1325" t="s">
        <v>5433</v>
      </c>
    </row>
    <row r="1326" spans="1:5" x14ac:dyDescent="0.35">
      <c r="A1326" t="str">
        <f>"2015-04-13"</f>
        <v>2015-04-13</v>
      </c>
      <c r="B1326" s="1" t="str">
        <f t="shared" si="20"/>
        <v>04/13/2015</v>
      </c>
      <c r="C1326" t="str">
        <f>"89.4566"</f>
        <v>89.4566</v>
      </c>
      <c r="D1326" s="1" t="s">
        <v>1317</v>
      </c>
      <c r="E1326" t="s">
        <v>5434</v>
      </c>
    </row>
    <row r="1327" spans="1:5" x14ac:dyDescent="0.35">
      <c r="A1327" t="str">
        <f>"2015-04-14"</f>
        <v>2015-04-14</v>
      </c>
      <c r="B1327" s="1" t="str">
        <f t="shared" si="20"/>
        <v>04/14/2015</v>
      </c>
      <c r="C1327" t="str">
        <f>"88.2496"</f>
        <v>88.2496</v>
      </c>
      <c r="D1327" s="1" t="s">
        <v>1318</v>
      </c>
      <c r="E1327" t="s">
        <v>5435</v>
      </c>
    </row>
    <row r="1328" spans="1:5" x14ac:dyDescent="0.35">
      <c r="A1328" t="str">
        <f>"2015-04-15"</f>
        <v>2015-04-15</v>
      </c>
      <c r="B1328" s="1" t="str">
        <f t="shared" si="20"/>
        <v>04/15/2015</v>
      </c>
      <c r="C1328" t="str">
        <f>"84.7845"</f>
        <v>84.7845</v>
      </c>
      <c r="D1328" s="1" t="s">
        <v>1319</v>
      </c>
      <c r="E1328" t="s">
        <v>5436</v>
      </c>
    </row>
    <row r="1329" spans="1:5" x14ac:dyDescent="0.35">
      <c r="A1329" t="str">
        <f>"2015-04-16"</f>
        <v>2015-04-16</v>
      </c>
      <c r="B1329" s="1" t="str">
        <f t="shared" si="20"/>
        <v>04/16/2015</v>
      </c>
      <c r="C1329" t="str">
        <f>"85.5624"</f>
        <v>85.5624</v>
      </c>
      <c r="D1329" s="1" t="s">
        <v>1320</v>
      </c>
      <c r="E1329" t="s">
        <v>5437</v>
      </c>
    </row>
    <row r="1330" spans="1:5" x14ac:dyDescent="0.35">
      <c r="A1330" t="str">
        <f>"2015-04-17"</f>
        <v>2015-04-17</v>
      </c>
      <c r="B1330" s="1" t="str">
        <f t="shared" si="20"/>
        <v>04/17/2015</v>
      </c>
      <c r="C1330" t="str">
        <f>"85.6559"</f>
        <v>85.6559</v>
      </c>
      <c r="D1330" s="1" t="s">
        <v>1321</v>
      </c>
      <c r="E1330" t="s">
        <v>5438</v>
      </c>
    </row>
    <row r="1331" spans="1:5" x14ac:dyDescent="0.35">
      <c r="A1331" t="str">
        <f>"2015-04-20"</f>
        <v>2015-04-20</v>
      </c>
      <c r="B1331" s="1" t="str">
        <f t="shared" si="20"/>
        <v>04/20/2015</v>
      </c>
      <c r="C1331" t="str">
        <f>"87.4871"</f>
        <v>87.4871</v>
      </c>
      <c r="D1331" s="1" t="s">
        <v>1322</v>
      </c>
      <c r="E1331" t="s">
        <v>5439</v>
      </c>
    </row>
    <row r="1332" spans="1:5" x14ac:dyDescent="0.35">
      <c r="A1332" t="str">
        <f>"2015-04-21"</f>
        <v>2015-04-21</v>
      </c>
      <c r="B1332" s="1" t="str">
        <f t="shared" si="20"/>
        <v>04/21/2015</v>
      </c>
      <c r="C1332" t="str">
        <f>"88.4436"</f>
        <v>88.4436</v>
      </c>
      <c r="D1332" s="1" t="s">
        <v>1323</v>
      </c>
      <c r="E1332" t="s">
        <v>5440</v>
      </c>
    </row>
    <row r="1333" spans="1:5" x14ac:dyDescent="0.35">
      <c r="A1333" t="str">
        <f>"2015-04-22"</f>
        <v>2015-04-22</v>
      </c>
      <c r="B1333" s="1" t="str">
        <f t="shared" si="20"/>
        <v>04/22/2015</v>
      </c>
      <c r="C1333" t="str">
        <f>"89.4195"</f>
        <v>89.4195</v>
      </c>
      <c r="D1333" s="1" t="s">
        <v>1324</v>
      </c>
      <c r="E1333" t="s">
        <v>5441</v>
      </c>
    </row>
    <row r="1334" spans="1:5" x14ac:dyDescent="0.35">
      <c r="A1334" t="str">
        <f>"2015-04-23"</f>
        <v>2015-04-23</v>
      </c>
      <c r="B1334" s="1" t="str">
        <f t="shared" si="20"/>
        <v>04/23/2015</v>
      </c>
      <c r="C1334" t="str">
        <f>"87.9462"</f>
        <v>87.9462</v>
      </c>
      <c r="D1334" s="1" t="s">
        <v>1325</v>
      </c>
      <c r="E1334" t="s">
        <v>5442</v>
      </c>
    </row>
    <row r="1335" spans="1:5" x14ac:dyDescent="0.35">
      <c r="A1335" t="str">
        <f>"2015-04-24"</f>
        <v>2015-04-24</v>
      </c>
      <c r="B1335" s="1" t="str">
        <f t="shared" si="20"/>
        <v>04/24/2015</v>
      </c>
      <c r="C1335" t="str">
        <f>"90.8505"</f>
        <v>90.8505</v>
      </c>
      <c r="D1335" s="1" t="s">
        <v>1326</v>
      </c>
      <c r="E1335" t="s">
        <v>5443</v>
      </c>
    </row>
    <row r="1336" spans="1:5" x14ac:dyDescent="0.35">
      <c r="A1336" t="str">
        <f>"2015-04-27"</f>
        <v>2015-04-27</v>
      </c>
      <c r="B1336" s="1" t="str">
        <f t="shared" si="20"/>
        <v>04/27/2015</v>
      </c>
      <c r="C1336" t="str">
        <f>"89.0554"</f>
        <v>89.0554</v>
      </c>
      <c r="D1336" s="1" t="s">
        <v>1327</v>
      </c>
      <c r="E1336" t="s">
        <v>5444</v>
      </c>
    </row>
    <row r="1337" spans="1:5" x14ac:dyDescent="0.35">
      <c r="A1337" t="str">
        <f>"2015-04-28"</f>
        <v>2015-04-28</v>
      </c>
      <c r="B1337" s="1" t="str">
        <f t="shared" si="20"/>
        <v>04/28/2015</v>
      </c>
      <c r="C1337" t="str">
        <f>"88.4224"</f>
        <v>88.4224</v>
      </c>
      <c r="D1337" s="1" t="s">
        <v>1328</v>
      </c>
      <c r="E1337" t="s">
        <v>5445</v>
      </c>
    </row>
    <row r="1338" spans="1:5" x14ac:dyDescent="0.35">
      <c r="A1338" t="str">
        <f>"2015-04-29"</f>
        <v>2015-04-29</v>
      </c>
      <c r="B1338" s="1" t="str">
        <f t="shared" si="20"/>
        <v>04/29/2015</v>
      </c>
      <c r="C1338" t="str">
        <f>"89.5927"</f>
        <v>89.5927</v>
      </c>
      <c r="D1338" s="1" t="s">
        <v>1329</v>
      </c>
      <c r="E1338" t="s">
        <v>5446</v>
      </c>
    </row>
    <row r="1339" spans="1:5" x14ac:dyDescent="0.35">
      <c r="A1339" t="str">
        <f>"2015-04-30"</f>
        <v>2015-04-30</v>
      </c>
      <c r="B1339" s="1" t="str">
        <f t="shared" si="20"/>
        <v>04/30/2015</v>
      </c>
      <c r="C1339" t="str">
        <f>"87.9239"</f>
        <v>87.9239</v>
      </c>
      <c r="D1339" s="1" t="s">
        <v>1330</v>
      </c>
      <c r="E1339" t="s">
        <v>5447</v>
      </c>
    </row>
    <row r="1340" spans="1:5" x14ac:dyDescent="0.35">
      <c r="A1340" t="str">
        <f>"2015-05-01"</f>
        <v>2015-05-01</v>
      </c>
      <c r="B1340" s="1" t="str">
        <f t="shared" si="20"/>
        <v>05/01/2015</v>
      </c>
      <c r="C1340" t="str">
        <f>"87.9614"</f>
        <v>87.9614</v>
      </c>
      <c r="D1340" s="1" t="s">
        <v>1331</v>
      </c>
      <c r="E1340" t="s">
        <v>5448</v>
      </c>
    </row>
    <row r="1341" spans="1:5" x14ac:dyDescent="0.35">
      <c r="A1341" t="str">
        <f>"2015-05-04"</f>
        <v>2015-05-04</v>
      </c>
      <c r="B1341" s="1" t="str">
        <f t="shared" si="20"/>
        <v>05/04/2015</v>
      </c>
      <c r="C1341" t="str">
        <f>"87.5761"</f>
        <v>87.5761</v>
      </c>
      <c r="D1341" s="1" t="s">
        <v>1332</v>
      </c>
      <c r="E1341" t="s">
        <v>5449</v>
      </c>
    </row>
    <row r="1342" spans="1:5" x14ac:dyDescent="0.35">
      <c r="A1342" t="str">
        <f>"2015-05-05"</f>
        <v>2015-05-05</v>
      </c>
      <c r="B1342" s="1" t="str">
        <f t="shared" si="20"/>
        <v>05/05/2015</v>
      </c>
      <c r="C1342" t="str">
        <f>"85.8871"</f>
        <v>85.8871</v>
      </c>
      <c r="D1342" s="1" t="s">
        <v>1333</v>
      </c>
      <c r="E1342" t="s">
        <v>5450</v>
      </c>
    </row>
    <row r="1343" spans="1:5" x14ac:dyDescent="0.35">
      <c r="A1343" t="str">
        <f>"2015-05-06"</f>
        <v>2015-05-06</v>
      </c>
      <c r="B1343" s="1" t="str">
        <f t="shared" si="20"/>
        <v>05/06/2015</v>
      </c>
      <c r="C1343" t="str">
        <f>"84.4275"</f>
        <v>84.4275</v>
      </c>
      <c r="D1343" s="1" t="s">
        <v>1334</v>
      </c>
      <c r="E1343" t="s">
        <v>5451</v>
      </c>
    </row>
    <row r="1344" spans="1:5" x14ac:dyDescent="0.35">
      <c r="A1344" t="str">
        <f>"2015-05-07"</f>
        <v>2015-05-07</v>
      </c>
      <c r="B1344" s="1" t="str">
        <f t="shared" si="20"/>
        <v>05/07/2015</v>
      </c>
      <c r="C1344" t="str">
        <f>"86.7214"</f>
        <v>86.7214</v>
      </c>
      <c r="D1344" s="1" t="s">
        <v>1335</v>
      </c>
      <c r="E1344" t="s">
        <v>5452</v>
      </c>
    </row>
    <row r="1345" spans="1:5" x14ac:dyDescent="0.35">
      <c r="A1345" t="str">
        <f>"2015-05-08"</f>
        <v>2015-05-08</v>
      </c>
      <c r="B1345" s="1" t="str">
        <f t="shared" si="20"/>
        <v>05/08/2015</v>
      </c>
      <c r="C1345" t="str">
        <f>"87.296"</f>
        <v>87.296</v>
      </c>
      <c r="D1345" s="1" t="s">
        <v>1336</v>
      </c>
      <c r="E1345" t="s">
        <v>5453</v>
      </c>
    </row>
    <row r="1346" spans="1:5" x14ac:dyDescent="0.35">
      <c r="A1346" t="str">
        <f>"2015-05-11"</f>
        <v>2015-05-11</v>
      </c>
      <c r="B1346" s="1" t="str">
        <f t="shared" si="20"/>
        <v>05/11/2015</v>
      </c>
      <c r="C1346" t="str">
        <f>"89.1884"</f>
        <v>89.1884</v>
      </c>
      <c r="D1346" s="1" t="s">
        <v>1337</v>
      </c>
      <c r="E1346" t="s">
        <v>5454</v>
      </c>
    </row>
    <row r="1347" spans="1:5" x14ac:dyDescent="0.35">
      <c r="A1347" t="str">
        <f>"2015-05-12"</f>
        <v>2015-05-12</v>
      </c>
      <c r="B1347" s="1" t="str">
        <f t="shared" ref="B1347:B1410" si="21">LEFT(RIGHT(A1347,5),2)&amp;"/"&amp;RIGHT(A1347,2)&amp;"/"&amp;LEFT(A1347,4)</f>
        <v>05/12/2015</v>
      </c>
      <c r="C1347" t="str">
        <f>"90.858"</f>
        <v>90.858</v>
      </c>
      <c r="D1347" s="1" t="s">
        <v>1338</v>
      </c>
      <c r="E1347" t="s">
        <v>5455</v>
      </c>
    </row>
    <row r="1348" spans="1:5" x14ac:dyDescent="0.35">
      <c r="A1348" t="str">
        <f>"2015-05-13"</f>
        <v>2015-05-13</v>
      </c>
      <c r="B1348" s="1" t="str">
        <f t="shared" si="21"/>
        <v>05/13/2015</v>
      </c>
      <c r="C1348" t="str">
        <f>"90.6887"</f>
        <v>90.6887</v>
      </c>
      <c r="D1348" s="1" t="s">
        <v>1339</v>
      </c>
      <c r="E1348" t="s">
        <v>5456</v>
      </c>
    </row>
    <row r="1349" spans="1:5" x14ac:dyDescent="0.35">
      <c r="A1349" t="str">
        <f>"2015-05-14"</f>
        <v>2015-05-14</v>
      </c>
      <c r="B1349" s="1" t="str">
        <f t="shared" si="21"/>
        <v>05/14/2015</v>
      </c>
      <c r="C1349" t="str">
        <f>"92.3717"</f>
        <v>92.3717</v>
      </c>
      <c r="D1349" s="1" t="s">
        <v>1340</v>
      </c>
      <c r="E1349" t="s">
        <v>5457</v>
      </c>
    </row>
    <row r="1350" spans="1:5" x14ac:dyDescent="0.35">
      <c r="A1350" t="str">
        <f>"2015-05-15"</f>
        <v>2015-05-15</v>
      </c>
      <c r="B1350" s="1" t="str">
        <f t="shared" si="21"/>
        <v>05/15/2015</v>
      </c>
      <c r="C1350" t="str">
        <f>"94.7214"</f>
        <v>94.7214</v>
      </c>
      <c r="D1350" s="1" t="s">
        <v>1341</v>
      </c>
      <c r="E1350" t="s">
        <v>5458</v>
      </c>
    </row>
    <row r="1351" spans="1:5" x14ac:dyDescent="0.35">
      <c r="A1351" t="str">
        <f>"2015-05-18"</f>
        <v>2015-05-18</v>
      </c>
      <c r="B1351" s="1" t="str">
        <f t="shared" si="21"/>
        <v>05/18/2015</v>
      </c>
      <c r="C1351" t="str">
        <f>"96.3699"</f>
        <v>96.3699</v>
      </c>
      <c r="D1351" s="1" t="s">
        <v>1342</v>
      </c>
      <c r="E1351" t="s">
        <v>5459</v>
      </c>
    </row>
    <row r="1352" spans="1:5" x14ac:dyDescent="0.35">
      <c r="A1352" t="str">
        <f>"2015-05-19"</f>
        <v>2015-05-19</v>
      </c>
      <c r="B1352" s="1" t="str">
        <f t="shared" si="21"/>
        <v>05/19/2015</v>
      </c>
      <c r="C1352" t="str">
        <f>"97.808"</f>
        <v>97.808</v>
      </c>
      <c r="D1352" s="1" t="s">
        <v>1343</v>
      </c>
      <c r="E1352" t="s">
        <v>5460</v>
      </c>
    </row>
    <row r="1353" spans="1:5" x14ac:dyDescent="0.35">
      <c r="A1353" t="str">
        <f>"2015-05-20"</f>
        <v>2015-05-20</v>
      </c>
      <c r="B1353" s="1" t="str">
        <f t="shared" si="21"/>
        <v>05/20/2015</v>
      </c>
      <c r="C1353" t="str">
        <f>"95.3277"</f>
        <v>95.3277</v>
      </c>
      <c r="D1353" s="1" t="s">
        <v>1344</v>
      </c>
      <c r="E1353" t="s">
        <v>5461</v>
      </c>
    </row>
    <row r="1354" spans="1:5" x14ac:dyDescent="0.35">
      <c r="A1354" t="str">
        <f>"2015-05-21"</f>
        <v>2015-05-21</v>
      </c>
      <c r="B1354" s="1" t="str">
        <f t="shared" si="21"/>
        <v>05/21/2015</v>
      </c>
      <c r="C1354" t="str">
        <f>"92.7533"</f>
        <v>92.7533</v>
      </c>
      <c r="D1354" s="1" t="s">
        <v>1345</v>
      </c>
      <c r="E1354" t="s">
        <v>5462</v>
      </c>
    </row>
    <row r="1355" spans="1:5" x14ac:dyDescent="0.35">
      <c r="A1355" t="str">
        <f>"2015-05-22"</f>
        <v>2015-05-22</v>
      </c>
      <c r="B1355" s="1" t="str">
        <f t="shared" si="21"/>
        <v>05/22/2015</v>
      </c>
      <c r="C1355" t="str">
        <f>"92.9052"</f>
        <v>92.9052</v>
      </c>
      <c r="D1355" s="1" t="s">
        <v>1346</v>
      </c>
      <c r="E1355" t="s">
        <v>5463</v>
      </c>
    </row>
    <row r="1356" spans="1:5" x14ac:dyDescent="0.35">
      <c r="A1356" t="str">
        <f>"2015-05-26"</f>
        <v>2015-05-26</v>
      </c>
      <c r="B1356" s="1" t="str">
        <f t="shared" si="21"/>
        <v>05/26/2015</v>
      </c>
      <c r="C1356" t="str">
        <f>"92.2921"</f>
        <v>92.2921</v>
      </c>
      <c r="D1356" s="1" t="s">
        <v>1347</v>
      </c>
      <c r="E1356" t="s">
        <v>5464</v>
      </c>
    </row>
    <row r="1357" spans="1:5" x14ac:dyDescent="0.35">
      <c r="A1357" t="str">
        <f>"2015-05-27"</f>
        <v>2015-05-27</v>
      </c>
      <c r="B1357" s="1" t="str">
        <f t="shared" si="21"/>
        <v>05/27/2015</v>
      </c>
      <c r="C1357" t="str">
        <f>"93.2912"</f>
        <v>93.2912</v>
      </c>
      <c r="D1357" s="1" t="s">
        <v>1348</v>
      </c>
      <c r="E1357" t="s">
        <v>5465</v>
      </c>
    </row>
    <row r="1358" spans="1:5" x14ac:dyDescent="0.35">
      <c r="A1358" t="str">
        <f>"2015-05-28"</f>
        <v>2015-05-28</v>
      </c>
      <c r="B1358" s="1" t="str">
        <f t="shared" si="21"/>
        <v>05/28/2015</v>
      </c>
      <c r="C1358" t="str">
        <f>"92.3827"</f>
        <v>92.3827</v>
      </c>
      <c r="D1358" s="1" t="s">
        <v>1349</v>
      </c>
      <c r="E1358" t="s">
        <v>5466</v>
      </c>
    </row>
    <row r="1359" spans="1:5" x14ac:dyDescent="0.35">
      <c r="A1359" t="str">
        <f>"2015-05-29"</f>
        <v>2015-05-29</v>
      </c>
      <c r="B1359" s="1" t="str">
        <f t="shared" si="21"/>
        <v>05/29/2015</v>
      </c>
      <c r="C1359" t="str">
        <f>"88.8327"</f>
        <v>88.8327</v>
      </c>
      <c r="D1359" s="1" t="s">
        <v>1350</v>
      </c>
      <c r="E1359" t="s">
        <v>5467</v>
      </c>
    </row>
    <row r="1360" spans="1:5" x14ac:dyDescent="0.35">
      <c r="A1360" t="str">
        <f>"2015-06-01"</f>
        <v>2015-06-01</v>
      </c>
      <c r="B1360" s="1" t="str">
        <f t="shared" si="21"/>
        <v>06/01/2015</v>
      </c>
      <c r="C1360" t="str">
        <f>"86.312"</f>
        <v>86.312</v>
      </c>
      <c r="D1360" s="1" t="s">
        <v>1351</v>
      </c>
      <c r="E1360" t="s">
        <v>5468</v>
      </c>
    </row>
    <row r="1361" spans="1:5" x14ac:dyDescent="0.35">
      <c r="A1361" t="str">
        <f>"2015-06-02"</f>
        <v>2015-06-02</v>
      </c>
      <c r="B1361" s="1" t="str">
        <f t="shared" si="21"/>
        <v>06/02/2015</v>
      </c>
      <c r="C1361" t="str">
        <f>"86.1836"</f>
        <v>86.1836</v>
      </c>
      <c r="D1361" s="1" t="s">
        <v>1352</v>
      </c>
      <c r="E1361" t="s">
        <v>5469</v>
      </c>
    </row>
    <row r="1362" spans="1:5" x14ac:dyDescent="0.35">
      <c r="A1362" t="str">
        <f>"2015-06-03"</f>
        <v>2015-06-03</v>
      </c>
      <c r="B1362" s="1" t="str">
        <f t="shared" si="21"/>
        <v>06/03/2015</v>
      </c>
      <c r="C1362" t="str">
        <f>"88.8192"</f>
        <v>88.8192</v>
      </c>
      <c r="D1362" s="1" t="s">
        <v>1353</v>
      </c>
      <c r="E1362" t="s">
        <v>5470</v>
      </c>
    </row>
    <row r="1363" spans="1:5" x14ac:dyDescent="0.35">
      <c r="A1363" t="str">
        <f>"2015-06-04"</f>
        <v>2015-06-04</v>
      </c>
      <c r="B1363" s="1" t="str">
        <f t="shared" si="21"/>
        <v>06/04/2015</v>
      </c>
      <c r="C1363" t="str">
        <f>"89.4432"</f>
        <v>89.4432</v>
      </c>
      <c r="D1363" s="1" t="s">
        <v>1354</v>
      </c>
      <c r="E1363" t="s">
        <v>5471</v>
      </c>
    </row>
    <row r="1364" spans="1:5" x14ac:dyDescent="0.35">
      <c r="A1364" t="str">
        <f>"2015-06-05"</f>
        <v>2015-06-05</v>
      </c>
      <c r="B1364" s="1" t="str">
        <f t="shared" si="21"/>
        <v>06/05/2015</v>
      </c>
      <c r="C1364" t="str">
        <f>"89.8181"</f>
        <v>89.8181</v>
      </c>
      <c r="D1364" s="1" t="s">
        <v>1355</v>
      </c>
      <c r="E1364" t="s">
        <v>5472</v>
      </c>
    </row>
    <row r="1365" spans="1:5" x14ac:dyDescent="0.35">
      <c r="A1365" t="str">
        <f>"2015-06-08"</f>
        <v>2015-06-08</v>
      </c>
      <c r="B1365" s="1" t="str">
        <f t="shared" si="21"/>
        <v>06/08/2015</v>
      </c>
      <c r="C1365" t="str">
        <f>"81.1064"</f>
        <v>81.1064</v>
      </c>
      <c r="D1365" s="1" t="s">
        <v>1356</v>
      </c>
      <c r="E1365" t="s">
        <v>5473</v>
      </c>
    </row>
    <row r="1366" spans="1:5" x14ac:dyDescent="0.35">
      <c r="A1366" t="str">
        <f>"2015-06-09"</f>
        <v>2015-06-09</v>
      </c>
      <c r="B1366" s="1" t="str">
        <f t="shared" si="21"/>
        <v>06/09/2015</v>
      </c>
      <c r="C1366" t="str">
        <f>"80.6938"</f>
        <v>80.6938</v>
      </c>
      <c r="D1366" s="1" t="s">
        <v>1357</v>
      </c>
      <c r="E1366" t="s">
        <v>5474</v>
      </c>
    </row>
    <row r="1367" spans="1:5" x14ac:dyDescent="0.35">
      <c r="A1367" t="str">
        <f>"2015-06-10"</f>
        <v>2015-06-10</v>
      </c>
      <c r="B1367" s="1" t="str">
        <f t="shared" si="21"/>
        <v>06/10/2015</v>
      </c>
      <c r="C1367" t="str">
        <f>"82.0838"</f>
        <v>82.0838</v>
      </c>
      <c r="D1367" s="1" t="s">
        <v>1358</v>
      </c>
      <c r="E1367" t="s">
        <v>5475</v>
      </c>
    </row>
    <row r="1368" spans="1:5" x14ac:dyDescent="0.35">
      <c r="A1368" t="str">
        <f>"2015-06-11"</f>
        <v>2015-06-11</v>
      </c>
      <c r="B1368" s="1" t="str">
        <f t="shared" si="21"/>
        <v>06/11/2015</v>
      </c>
      <c r="C1368" t="str">
        <f>"84.4157"</f>
        <v>84.4157</v>
      </c>
      <c r="D1368" s="1" t="s">
        <v>1359</v>
      </c>
      <c r="E1368" t="s">
        <v>5476</v>
      </c>
    </row>
    <row r="1369" spans="1:5" x14ac:dyDescent="0.35">
      <c r="A1369" t="str">
        <f>"2015-06-12"</f>
        <v>2015-06-12</v>
      </c>
      <c r="B1369" s="1" t="str">
        <f t="shared" si="21"/>
        <v>06/12/2015</v>
      </c>
      <c r="C1369" t="str">
        <f>"85.4173"</f>
        <v>85.4173</v>
      </c>
      <c r="D1369" s="1" t="s">
        <v>1360</v>
      </c>
      <c r="E1369" t="s">
        <v>5477</v>
      </c>
    </row>
    <row r="1370" spans="1:5" x14ac:dyDescent="0.35">
      <c r="A1370" t="str">
        <f>"2015-06-15"</f>
        <v>2015-06-15</v>
      </c>
      <c r="B1370" s="1" t="str">
        <f t="shared" si="21"/>
        <v>06/15/2015</v>
      </c>
      <c r="C1370" t="str">
        <f>"82.8927"</f>
        <v>82.8927</v>
      </c>
      <c r="D1370" s="1" t="s">
        <v>1361</v>
      </c>
      <c r="E1370" t="s">
        <v>5478</v>
      </c>
    </row>
    <row r="1371" spans="1:5" x14ac:dyDescent="0.35">
      <c r="A1371" t="str">
        <f>"2015-06-16"</f>
        <v>2015-06-16</v>
      </c>
      <c r="B1371" s="1" t="str">
        <f t="shared" si="21"/>
        <v>06/16/2015</v>
      </c>
      <c r="C1371" t="str">
        <f>"83.9821"</f>
        <v>83.9821</v>
      </c>
      <c r="D1371" s="1" t="s">
        <v>1362</v>
      </c>
      <c r="E1371" t="s">
        <v>5479</v>
      </c>
    </row>
    <row r="1372" spans="1:5" x14ac:dyDescent="0.35">
      <c r="A1372" t="str">
        <f>"2015-06-17"</f>
        <v>2015-06-17</v>
      </c>
      <c r="B1372" s="1" t="str">
        <f t="shared" si="21"/>
        <v>06/17/2015</v>
      </c>
      <c r="C1372" t="str">
        <f>"85.6059"</f>
        <v>85.6059</v>
      </c>
      <c r="D1372" s="1" t="s">
        <v>1363</v>
      </c>
      <c r="E1372" t="s">
        <v>5480</v>
      </c>
    </row>
    <row r="1373" spans="1:5" x14ac:dyDescent="0.35">
      <c r="A1373" t="str">
        <f>"2015-06-18"</f>
        <v>2015-06-18</v>
      </c>
      <c r="B1373" s="1" t="str">
        <f t="shared" si="21"/>
        <v>06/18/2015</v>
      </c>
      <c r="C1373" t="str">
        <f>"85.4704"</f>
        <v>85.4704</v>
      </c>
      <c r="D1373" s="1" t="s">
        <v>1364</v>
      </c>
      <c r="E1373" t="s">
        <v>5481</v>
      </c>
    </row>
    <row r="1374" spans="1:5" x14ac:dyDescent="0.35">
      <c r="A1374" t="str">
        <f>"2015-06-19"</f>
        <v>2015-06-19</v>
      </c>
      <c r="B1374" s="1" t="str">
        <f t="shared" si="21"/>
        <v>06/19/2015</v>
      </c>
      <c r="C1374" t="str">
        <f>"86.2094"</f>
        <v>86.2094</v>
      </c>
      <c r="D1374" s="1" t="s">
        <v>1365</v>
      </c>
      <c r="E1374" t="s">
        <v>5482</v>
      </c>
    </row>
    <row r="1375" spans="1:5" x14ac:dyDescent="0.35">
      <c r="A1375" t="str">
        <f>"2015-06-22"</f>
        <v>2015-06-22</v>
      </c>
      <c r="B1375" s="1" t="str">
        <f t="shared" si="21"/>
        <v>06/22/2015</v>
      </c>
      <c r="C1375" t="str">
        <f>"88.682"</f>
        <v>88.682</v>
      </c>
      <c r="D1375" s="1" t="s">
        <v>1366</v>
      </c>
      <c r="E1375" t="s">
        <v>5483</v>
      </c>
    </row>
    <row r="1376" spans="1:5" x14ac:dyDescent="0.35">
      <c r="A1376" t="str">
        <f>"2015-06-23"</f>
        <v>2015-06-23</v>
      </c>
      <c r="B1376" s="1" t="str">
        <f t="shared" si="21"/>
        <v>06/23/2015</v>
      </c>
      <c r="C1376" t="str">
        <f>"88.7358"</f>
        <v>88.7358</v>
      </c>
      <c r="D1376" s="1" t="s">
        <v>1367</v>
      </c>
      <c r="E1376" t="s">
        <v>5484</v>
      </c>
    </row>
    <row r="1377" spans="1:5" x14ac:dyDescent="0.35">
      <c r="A1377" t="str">
        <f>"2015-06-24"</f>
        <v>2015-06-24</v>
      </c>
      <c r="B1377" s="1" t="str">
        <f t="shared" si="21"/>
        <v>06/24/2015</v>
      </c>
      <c r="C1377" t="str">
        <f>"90.2846"</f>
        <v>90.2846</v>
      </c>
      <c r="D1377" s="1" t="s">
        <v>1368</v>
      </c>
      <c r="E1377" t="s">
        <v>5485</v>
      </c>
    </row>
    <row r="1378" spans="1:5" x14ac:dyDescent="0.35">
      <c r="A1378" t="str">
        <f>"2015-06-25"</f>
        <v>2015-06-25</v>
      </c>
      <c r="B1378" s="1" t="str">
        <f t="shared" si="21"/>
        <v>06/25/2015</v>
      </c>
      <c r="C1378" t="str">
        <f>"90.8314"</f>
        <v>90.8314</v>
      </c>
      <c r="D1378" s="1" t="s">
        <v>1369</v>
      </c>
      <c r="E1378" t="s">
        <v>5486</v>
      </c>
    </row>
    <row r="1379" spans="1:5" x14ac:dyDescent="0.35">
      <c r="A1379" t="str">
        <f>"2015-06-26"</f>
        <v>2015-06-26</v>
      </c>
      <c r="B1379" s="1" t="str">
        <f t="shared" si="21"/>
        <v>06/26/2015</v>
      </c>
      <c r="C1379" t="str">
        <f>"90.8286"</f>
        <v>90.8286</v>
      </c>
      <c r="D1379" s="1" t="s">
        <v>1370</v>
      </c>
      <c r="E1379" t="s">
        <v>5487</v>
      </c>
    </row>
    <row r="1380" spans="1:5" x14ac:dyDescent="0.35">
      <c r="A1380" t="str">
        <f>"2015-06-29"</f>
        <v>2015-06-29</v>
      </c>
      <c r="B1380" s="1" t="str">
        <f t="shared" si="21"/>
        <v>06/29/2015</v>
      </c>
      <c r="C1380" t="str">
        <f>"86.4541"</f>
        <v>86.4541</v>
      </c>
      <c r="D1380" s="1" t="s">
        <v>1371</v>
      </c>
      <c r="E1380" t="s">
        <v>5488</v>
      </c>
    </row>
    <row r="1381" spans="1:5" x14ac:dyDescent="0.35">
      <c r="A1381" t="str">
        <f>"2015-06-30"</f>
        <v>2015-06-30</v>
      </c>
      <c r="B1381" s="1" t="str">
        <f t="shared" si="21"/>
        <v>06/30/2015</v>
      </c>
      <c r="C1381" t="str">
        <f>"86.4282"</f>
        <v>86.4282</v>
      </c>
      <c r="D1381" s="1" t="s">
        <v>1372</v>
      </c>
      <c r="E1381" t="s">
        <v>5489</v>
      </c>
    </row>
    <row r="1382" spans="1:5" x14ac:dyDescent="0.35">
      <c r="A1382" t="str">
        <f>"2015-07-01"</f>
        <v>2015-07-01</v>
      </c>
      <c r="B1382" s="1" t="str">
        <f t="shared" si="21"/>
        <v>07/01/2015</v>
      </c>
      <c r="C1382" t="str">
        <f>"88.2256"</f>
        <v>88.2256</v>
      </c>
      <c r="D1382" s="1" t="s">
        <v>1373</v>
      </c>
      <c r="E1382" t="s">
        <v>5490</v>
      </c>
    </row>
    <row r="1383" spans="1:5" x14ac:dyDescent="0.35">
      <c r="A1383" t="str">
        <f>"2015-07-02"</f>
        <v>2015-07-02</v>
      </c>
      <c r="B1383" s="1" t="str">
        <f t="shared" si="21"/>
        <v>07/02/2015</v>
      </c>
      <c r="C1383" t="str">
        <f>"89.3258"</f>
        <v>89.3258</v>
      </c>
      <c r="D1383" s="1" t="s">
        <v>1374</v>
      </c>
      <c r="E1383" t="s">
        <v>5491</v>
      </c>
    </row>
    <row r="1384" spans="1:5" x14ac:dyDescent="0.35">
      <c r="A1384" t="str">
        <f>"2015-07-06"</f>
        <v>2015-07-06</v>
      </c>
      <c r="B1384" s="1" t="str">
        <f t="shared" si="21"/>
        <v>07/06/2015</v>
      </c>
      <c r="C1384" t="str">
        <f>"89.3644"</f>
        <v>89.3644</v>
      </c>
      <c r="D1384" s="1" t="s">
        <v>1375</v>
      </c>
      <c r="E1384" t="s">
        <v>5492</v>
      </c>
    </row>
    <row r="1385" spans="1:5" x14ac:dyDescent="0.35">
      <c r="A1385" t="str">
        <f>"2015-07-07"</f>
        <v>2015-07-07</v>
      </c>
      <c r="B1385" s="1" t="str">
        <f t="shared" si="21"/>
        <v>07/07/2015</v>
      </c>
      <c r="C1385" t="str">
        <f>"92.4753"</f>
        <v>92.4753</v>
      </c>
      <c r="D1385" s="1" t="s">
        <v>1376</v>
      </c>
      <c r="E1385" t="s">
        <v>5493</v>
      </c>
    </row>
    <row r="1386" spans="1:5" x14ac:dyDescent="0.35">
      <c r="A1386" t="str">
        <f>"2015-07-08"</f>
        <v>2015-07-08</v>
      </c>
      <c r="B1386" s="1" t="str">
        <f t="shared" si="21"/>
        <v>07/08/2015</v>
      </c>
      <c r="C1386" t="str">
        <f>"89.7702"</f>
        <v>89.7702</v>
      </c>
      <c r="D1386" s="1" t="s">
        <v>1377</v>
      </c>
      <c r="E1386" t="s">
        <v>5494</v>
      </c>
    </row>
    <row r="1387" spans="1:5" x14ac:dyDescent="0.35">
      <c r="A1387" t="str">
        <f>"2015-07-09"</f>
        <v>2015-07-09</v>
      </c>
      <c r="B1387" s="1" t="str">
        <f t="shared" si="21"/>
        <v>07/09/2015</v>
      </c>
      <c r="C1387" t="str">
        <f>"92.8716"</f>
        <v>92.8716</v>
      </c>
      <c r="D1387" s="1" t="s">
        <v>1378</v>
      </c>
      <c r="E1387" t="s">
        <v>5495</v>
      </c>
    </row>
    <row r="1388" spans="1:5" x14ac:dyDescent="0.35">
      <c r="A1388" t="str">
        <f>"2015-07-10"</f>
        <v>2015-07-10</v>
      </c>
      <c r="B1388" s="1" t="str">
        <f t="shared" si="21"/>
        <v>07/10/2015</v>
      </c>
      <c r="C1388" t="str">
        <f>"93.3305"</f>
        <v>93.3305</v>
      </c>
      <c r="D1388" s="1" t="s">
        <v>1379</v>
      </c>
      <c r="E1388" t="s">
        <v>5496</v>
      </c>
    </row>
    <row r="1389" spans="1:5" x14ac:dyDescent="0.35">
      <c r="A1389" t="str">
        <f>"2015-07-13"</f>
        <v>2015-07-13</v>
      </c>
      <c r="B1389" s="1" t="str">
        <f t="shared" si="21"/>
        <v>07/13/2015</v>
      </c>
      <c r="C1389" t="str">
        <f>"94.6432"</f>
        <v>94.6432</v>
      </c>
      <c r="D1389" s="1" t="s">
        <v>1380</v>
      </c>
      <c r="E1389" t="s">
        <v>5497</v>
      </c>
    </row>
    <row r="1390" spans="1:5" x14ac:dyDescent="0.35">
      <c r="A1390" t="str">
        <f>"2015-07-14"</f>
        <v>2015-07-14</v>
      </c>
      <c r="B1390" s="1" t="str">
        <f t="shared" si="21"/>
        <v>07/14/2015</v>
      </c>
      <c r="C1390" t="str">
        <f>"94.6879"</f>
        <v>94.6879</v>
      </c>
      <c r="D1390" s="1" t="s">
        <v>1381</v>
      </c>
      <c r="E1390" t="s">
        <v>5498</v>
      </c>
    </row>
    <row r="1391" spans="1:5" x14ac:dyDescent="0.35">
      <c r="A1391" t="str">
        <f>"2015-07-15"</f>
        <v>2015-07-15</v>
      </c>
      <c r="B1391" s="1" t="str">
        <f t="shared" si="21"/>
        <v>07/15/2015</v>
      </c>
      <c r="C1391" t="str">
        <f>"95.2069"</f>
        <v>95.2069</v>
      </c>
      <c r="D1391" s="1" t="s">
        <v>1382</v>
      </c>
      <c r="E1391" t="s">
        <v>5499</v>
      </c>
    </row>
    <row r="1392" spans="1:5" x14ac:dyDescent="0.35">
      <c r="A1392" t="str">
        <f>"2015-07-16"</f>
        <v>2015-07-16</v>
      </c>
      <c r="B1392" s="1" t="str">
        <f t="shared" si="21"/>
        <v>07/16/2015</v>
      </c>
      <c r="C1392" t="str">
        <f>"94.3275"</f>
        <v>94.3275</v>
      </c>
      <c r="D1392" s="1" t="s">
        <v>1383</v>
      </c>
      <c r="E1392" t="s">
        <v>5500</v>
      </c>
    </row>
    <row r="1393" spans="1:5" x14ac:dyDescent="0.35">
      <c r="A1393" t="str">
        <f>"2015-07-17"</f>
        <v>2015-07-17</v>
      </c>
      <c r="B1393" s="1" t="str">
        <f t="shared" si="21"/>
        <v>07/17/2015</v>
      </c>
      <c r="C1393" t="str">
        <f>"94.948"</f>
        <v>94.948</v>
      </c>
      <c r="D1393" s="1" t="s">
        <v>1384</v>
      </c>
      <c r="E1393" t="s">
        <v>5501</v>
      </c>
    </row>
    <row r="1394" spans="1:5" x14ac:dyDescent="0.35">
      <c r="A1394" t="str">
        <f>"2015-07-20"</f>
        <v>2015-07-20</v>
      </c>
      <c r="B1394" s="1" t="str">
        <f t="shared" si="21"/>
        <v>07/20/2015</v>
      </c>
      <c r="C1394" t="str">
        <f>"95.8466"</f>
        <v>95.8466</v>
      </c>
      <c r="D1394" s="1" t="s">
        <v>1385</v>
      </c>
      <c r="E1394" t="s">
        <v>5502</v>
      </c>
    </row>
    <row r="1395" spans="1:5" x14ac:dyDescent="0.35">
      <c r="A1395" t="str">
        <f>"2015-07-21"</f>
        <v>2015-07-21</v>
      </c>
      <c r="B1395" s="1" t="str">
        <f t="shared" si="21"/>
        <v>07/21/2015</v>
      </c>
      <c r="C1395" t="str">
        <f>"96.3799"</f>
        <v>96.3799</v>
      </c>
      <c r="D1395" s="1" t="s">
        <v>1386</v>
      </c>
      <c r="E1395" t="s">
        <v>5503</v>
      </c>
    </row>
    <row r="1396" spans="1:5" x14ac:dyDescent="0.35">
      <c r="A1396" t="str">
        <f>"2015-07-22"</f>
        <v>2015-07-22</v>
      </c>
      <c r="B1396" s="1" t="str">
        <f t="shared" si="21"/>
        <v>07/22/2015</v>
      </c>
      <c r="C1396" t="str">
        <f>"98.3249"</f>
        <v>98.3249</v>
      </c>
      <c r="D1396" s="1" t="s">
        <v>1387</v>
      </c>
      <c r="E1396" t="s">
        <v>5504</v>
      </c>
    </row>
    <row r="1397" spans="1:5" x14ac:dyDescent="0.35">
      <c r="A1397" t="str">
        <f>"2015-07-23"</f>
        <v>2015-07-23</v>
      </c>
      <c r="B1397" s="1" t="str">
        <f t="shared" si="21"/>
        <v>07/23/2015</v>
      </c>
      <c r="C1397" t="str">
        <f>"92.645"</f>
        <v>92.645</v>
      </c>
      <c r="D1397" s="1" t="s">
        <v>1388</v>
      </c>
      <c r="E1397" t="s">
        <v>5505</v>
      </c>
    </row>
    <row r="1398" spans="1:5" x14ac:dyDescent="0.35">
      <c r="A1398" t="str">
        <f>"2015-07-24"</f>
        <v>2015-07-24</v>
      </c>
      <c r="B1398" s="1" t="str">
        <f t="shared" si="21"/>
        <v>07/24/2015</v>
      </c>
      <c r="C1398" t="str">
        <f>"92.7759"</f>
        <v>92.7759</v>
      </c>
      <c r="D1398" s="1" t="s">
        <v>1389</v>
      </c>
      <c r="E1398" t="s">
        <v>5506</v>
      </c>
    </row>
    <row r="1399" spans="1:5" x14ac:dyDescent="0.35">
      <c r="A1399" t="str">
        <f>"2015-07-27"</f>
        <v>2015-07-27</v>
      </c>
      <c r="B1399" s="1" t="str">
        <f t="shared" si="21"/>
        <v>07/27/2015</v>
      </c>
      <c r="C1399" t="str">
        <f>"89.2067"</f>
        <v>89.2067</v>
      </c>
      <c r="D1399" s="1" t="s">
        <v>1390</v>
      </c>
      <c r="E1399" t="s">
        <v>5507</v>
      </c>
    </row>
    <row r="1400" spans="1:5" x14ac:dyDescent="0.35">
      <c r="A1400" t="str">
        <f>"2015-07-28"</f>
        <v>2015-07-28</v>
      </c>
      <c r="B1400" s="1" t="str">
        <f t="shared" si="21"/>
        <v>07/28/2015</v>
      </c>
      <c r="C1400" t="str">
        <f>"91.6269"</f>
        <v>91.6269</v>
      </c>
      <c r="D1400" s="1" t="s">
        <v>1391</v>
      </c>
      <c r="E1400" t="s">
        <v>5508</v>
      </c>
    </row>
    <row r="1401" spans="1:5" x14ac:dyDescent="0.35">
      <c r="A1401" t="str">
        <f>"2015-07-29"</f>
        <v>2015-07-29</v>
      </c>
      <c r="B1401" s="1" t="str">
        <f t="shared" si="21"/>
        <v>07/29/2015</v>
      </c>
      <c r="C1401" t="str">
        <f>"91.4657"</f>
        <v>91.4657</v>
      </c>
      <c r="D1401" s="1" t="s">
        <v>1392</v>
      </c>
      <c r="E1401" t="s">
        <v>5509</v>
      </c>
    </row>
    <row r="1402" spans="1:5" x14ac:dyDescent="0.35">
      <c r="A1402" t="str">
        <f>"2015-07-30"</f>
        <v>2015-07-30</v>
      </c>
      <c r="B1402" s="1" t="str">
        <f t="shared" si="21"/>
        <v>07/30/2015</v>
      </c>
      <c r="C1402" t="str">
        <f>"91.2361"</f>
        <v>91.2361</v>
      </c>
      <c r="D1402" s="1" t="s">
        <v>1393</v>
      </c>
      <c r="E1402" t="s">
        <v>5510</v>
      </c>
    </row>
    <row r="1403" spans="1:5" x14ac:dyDescent="0.35">
      <c r="A1403" t="str">
        <f>"2015-07-31"</f>
        <v>2015-07-31</v>
      </c>
      <c r="B1403" s="1" t="str">
        <f t="shared" si="21"/>
        <v>07/31/2015</v>
      </c>
      <c r="C1403" t="str">
        <f>"92.0201"</f>
        <v>92.0201</v>
      </c>
      <c r="D1403" s="1" t="s">
        <v>1394</v>
      </c>
      <c r="E1403" t="s">
        <v>5511</v>
      </c>
    </row>
    <row r="1404" spans="1:5" x14ac:dyDescent="0.35">
      <c r="A1404" t="str">
        <f>"2015-08-03"</f>
        <v>2015-08-03</v>
      </c>
      <c r="B1404" s="1" t="str">
        <f t="shared" si="21"/>
        <v>08/03/2015</v>
      </c>
      <c r="C1404" t="str">
        <f>"91.6251"</f>
        <v>91.6251</v>
      </c>
      <c r="D1404" s="1" t="s">
        <v>1395</v>
      </c>
      <c r="E1404" t="s">
        <v>5512</v>
      </c>
    </row>
    <row r="1405" spans="1:5" x14ac:dyDescent="0.35">
      <c r="A1405" t="str">
        <f>"2015-08-04"</f>
        <v>2015-08-04</v>
      </c>
      <c r="B1405" s="1" t="str">
        <f t="shared" si="21"/>
        <v>08/04/2015</v>
      </c>
      <c r="C1405" t="str">
        <f>"92.41"</f>
        <v>92.41</v>
      </c>
      <c r="D1405" s="1" t="s">
        <v>1396</v>
      </c>
      <c r="E1405" t="s">
        <v>5513</v>
      </c>
    </row>
    <row r="1406" spans="1:5" x14ac:dyDescent="0.35">
      <c r="A1406" t="str">
        <f>"2015-08-05"</f>
        <v>2015-08-05</v>
      </c>
      <c r="B1406" s="1" t="str">
        <f t="shared" si="21"/>
        <v>08/05/2015</v>
      </c>
      <c r="C1406" t="str">
        <f>"91.7357"</f>
        <v>91.7357</v>
      </c>
      <c r="D1406" s="1" t="s">
        <v>1397</v>
      </c>
      <c r="E1406" t="s">
        <v>5514</v>
      </c>
    </row>
    <row r="1407" spans="1:5" x14ac:dyDescent="0.35">
      <c r="A1407" t="str">
        <f>"2015-08-06"</f>
        <v>2015-08-06</v>
      </c>
      <c r="B1407" s="1" t="str">
        <f t="shared" si="21"/>
        <v>08/06/2015</v>
      </c>
      <c r="C1407" t="str">
        <f>"93.2209"</f>
        <v>93.2209</v>
      </c>
      <c r="D1407" s="1" t="s">
        <v>1398</v>
      </c>
      <c r="E1407" t="s">
        <v>5515</v>
      </c>
    </row>
    <row r="1408" spans="1:5" x14ac:dyDescent="0.35">
      <c r="A1408" t="str">
        <f>"2015-08-07"</f>
        <v>2015-08-07</v>
      </c>
      <c r="B1408" s="1" t="str">
        <f t="shared" si="21"/>
        <v>08/07/2015</v>
      </c>
      <c r="C1408" t="str">
        <f>"93.1128"</f>
        <v>93.1128</v>
      </c>
      <c r="D1408" s="1" t="s">
        <v>1399</v>
      </c>
      <c r="E1408" t="s">
        <v>5516</v>
      </c>
    </row>
    <row r="1409" spans="1:5" x14ac:dyDescent="0.35">
      <c r="A1409" t="str">
        <f>"2015-08-10"</f>
        <v>2015-08-10</v>
      </c>
      <c r="B1409" s="1" t="str">
        <f t="shared" si="21"/>
        <v>08/10/2015</v>
      </c>
      <c r="C1409" t="str">
        <f>"89.4806"</f>
        <v>89.4806</v>
      </c>
      <c r="D1409" s="1" t="s">
        <v>1400</v>
      </c>
      <c r="E1409" t="s">
        <v>5517</v>
      </c>
    </row>
    <row r="1410" spans="1:5" x14ac:dyDescent="0.35">
      <c r="A1410" t="str">
        <f>"2015-08-11"</f>
        <v>2015-08-11</v>
      </c>
      <c r="B1410" s="1" t="str">
        <f t="shared" si="21"/>
        <v>08/11/2015</v>
      </c>
      <c r="C1410" t="str">
        <f>"92.8654"</f>
        <v>92.8654</v>
      </c>
      <c r="D1410" s="1" t="s">
        <v>1401</v>
      </c>
      <c r="E1410" t="s">
        <v>5518</v>
      </c>
    </row>
    <row r="1411" spans="1:5" x14ac:dyDescent="0.35">
      <c r="A1411" t="str">
        <f>"2015-08-12"</f>
        <v>2015-08-12</v>
      </c>
      <c r="B1411" s="1" t="str">
        <f t="shared" ref="B1411:B1474" si="22">LEFT(RIGHT(A1411,5),2)&amp;"/"&amp;RIGHT(A1411,2)&amp;"/"&amp;LEFT(A1411,4)</f>
        <v>08/12/2015</v>
      </c>
      <c r="C1411" t="str">
        <f>"90.0944"</f>
        <v>90.0944</v>
      </c>
      <c r="D1411" s="1" t="s">
        <v>1402</v>
      </c>
      <c r="E1411" t="s">
        <v>5519</v>
      </c>
    </row>
    <row r="1412" spans="1:5" x14ac:dyDescent="0.35">
      <c r="A1412" t="str">
        <f>"2015-08-13"</f>
        <v>2015-08-13</v>
      </c>
      <c r="B1412" s="1" t="str">
        <f t="shared" si="22"/>
        <v>08/13/2015</v>
      </c>
      <c r="C1412" t="str">
        <f>"89.4997"</f>
        <v>89.4997</v>
      </c>
      <c r="D1412" s="1" t="s">
        <v>1403</v>
      </c>
      <c r="E1412" t="s">
        <v>5520</v>
      </c>
    </row>
    <row r="1413" spans="1:5" x14ac:dyDescent="0.35">
      <c r="A1413" t="str">
        <f>"2015-08-14"</f>
        <v>2015-08-14</v>
      </c>
      <c r="B1413" s="1" t="str">
        <f t="shared" si="22"/>
        <v>08/14/2015</v>
      </c>
      <c r="C1413" t="str">
        <f>"89.8915"</f>
        <v>89.8915</v>
      </c>
      <c r="D1413" s="1" t="s">
        <v>1404</v>
      </c>
      <c r="E1413" t="s">
        <v>5521</v>
      </c>
    </row>
    <row r="1414" spans="1:5" x14ac:dyDescent="0.35">
      <c r="A1414" t="str">
        <f>"2015-08-17"</f>
        <v>2015-08-17</v>
      </c>
      <c r="B1414" s="1" t="str">
        <f t="shared" si="22"/>
        <v>08/17/2015</v>
      </c>
      <c r="C1414" t="str">
        <f>"88.9548"</f>
        <v>88.9548</v>
      </c>
      <c r="D1414" s="1" t="s">
        <v>1405</v>
      </c>
      <c r="E1414" t="s">
        <v>5522</v>
      </c>
    </row>
    <row r="1415" spans="1:5" x14ac:dyDescent="0.35">
      <c r="A1415" t="str">
        <f>"2015-08-18"</f>
        <v>2015-08-18</v>
      </c>
      <c r="B1415" s="1" t="str">
        <f t="shared" si="22"/>
        <v>08/18/2015</v>
      </c>
      <c r="C1415" t="str">
        <f>"84.9244"</f>
        <v>84.9244</v>
      </c>
      <c r="D1415" s="1" t="s">
        <v>1406</v>
      </c>
      <c r="E1415" t="s">
        <v>5523</v>
      </c>
    </row>
    <row r="1416" spans="1:5" x14ac:dyDescent="0.35">
      <c r="A1416" t="str">
        <f>"2015-08-19"</f>
        <v>2015-08-19</v>
      </c>
      <c r="B1416" s="1" t="str">
        <f t="shared" si="22"/>
        <v>08/19/2015</v>
      </c>
      <c r="C1416" t="str">
        <f>"79.9115"</f>
        <v>79.9115</v>
      </c>
      <c r="D1416" s="1" t="s">
        <v>1407</v>
      </c>
      <c r="E1416" t="s">
        <v>5524</v>
      </c>
    </row>
    <row r="1417" spans="1:5" x14ac:dyDescent="0.35">
      <c r="A1417" t="str">
        <f>"2015-08-20"</f>
        <v>2015-08-20</v>
      </c>
      <c r="B1417" s="1" t="str">
        <f t="shared" si="22"/>
        <v>08/20/2015</v>
      </c>
      <c r="C1417" t="str">
        <f>"77.8991"</f>
        <v>77.8991</v>
      </c>
      <c r="D1417" s="1" t="s">
        <v>1408</v>
      </c>
      <c r="E1417" t="s">
        <v>5525</v>
      </c>
    </row>
    <row r="1418" spans="1:5" x14ac:dyDescent="0.35">
      <c r="A1418" t="str">
        <f>"2015-08-21"</f>
        <v>2015-08-21</v>
      </c>
      <c r="B1418" s="1" t="str">
        <f t="shared" si="22"/>
        <v>08/21/2015</v>
      </c>
      <c r="C1418" t="str">
        <f>"75.5025"</f>
        <v>75.5025</v>
      </c>
      <c r="D1418" s="1" t="s">
        <v>1409</v>
      </c>
      <c r="E1418" t="s">
        <v>5526</v>
      </c>
    </row>
    <row r="1419" spans="1:5" x14ac:dyDescent="0.35">
      <c r="A1419" t="str">
        <f>"2015-08-24"</f>
        <v>2015-08-24</v>
      </c>
      <c r="B1419" s="1" t="str">
        <f t="shared" si="22"/>
        <v>08/24/2015</v>
      </c>
      <c r="C1419" t="str">
        <f>"70.9268"</f>
        <v>70.9268</v>
      </c>
      <c r="D1419" s="1" t="s">
        <v>1410</v>
      </c>
      <c r="E1419" t="s">
        <v>5527</v>
      </c>
    </row>
    <row r="1420" spans="1:5" x14ac:dyDescent="0.35">
      <c r="A1420" t="str">
        <f>"2015-08-25"</f>
        <v>2015-08-25</v>
      </c>
      <c r="B1420" s="1" t="str">
        <f t="shared" si="22"/>
        <v>08/25/2015</v>
      </c>
      <c r="C1420" t="str">
        <f>"74.7397"</f>
        <v>74.7397</v>
      </c>
      <c r="D1420" s="1" t="s">
        <v>1411</v>
      </c>
      <c r="E1420" t="s">
        <v>5528</v>
      </c>
    </row>
    <row r="1421" spans="1:5" x14ac:dyDescent="0.35">
      <c r="A1421" t="str">
        <f>"2015-08-26"</f>
        <v>2015-08-26</v>
      </c>
      <c r="B1421" s="1" t="str">
        <f t="shared" si="22"/>
        <v>08/26/2015</v>
      </c>
      <c r="C1421" t="str">
        <f>"76.28"</f>
        <v>76.28</v>
      </c>
      <c r="D1421" s="1" t="s">
        <v>1412</v>
      </c>
      <c r="E1421" t="s">
        <v>5529</v>
      </c>
    </row>
    <row r="1422" spans="1:5" x14ac:dyDescent="0.35">
      <c r="A1422" t="str">
        <f>"2015-08-27"</f>
        <v>2015-08-27</v>
      </c>
      <c r="B1422" s="1" t="str">
        <f t="shared" si="22"/>
        <v>08/27/2015</v>
      </c>
      <c r="C1422" t="str">
        <f>"76.7702"</f>
        <v>76.7702</v>
      </c>
      <c r="D1422" s="1" t="s">
        <v>1413</v>
      </c>
      <c r="E1422" t="s">
        <v>5530</v>
      </c>
    </row>
    <row r="1423" spans="1:5" x14ac:dyDescent="0.35">
      <c r="A1423" t="str">
        <f>"2015-08-28"</f>
        <v>2015-08-28</v>
      </c>
      <c r="B1423" s="1" t="str">
        <f t="shared" si="22"/>
        <v>08/28/2015</v>
      </c>
      <c r="C1423" t="str">
        <f>"75.1019"</f>
        <v>75.1019</v>
      </c>
      <c r="D1423" s="1" t="s">
        <v>1414</v>
      </c>
      <c r="E1423" t="s">
        <v>5531</v>
      </c>
    </row>
    <row r="1424" spans="1:5" x14ac:dyDescent="0.35">
      <c r="A1424" t="str">
        <f>"2015-08-31"</f>
        <v>2015-08-31</v>
      </c>
      <c r="B1424" s="1" t="str">
        <f t="shared" si="22"/>
        <v>08/31/2015</v>
      </c>
      <c r="C1424" t="str">
        <f>"75.8262"</f>
        <v>75.8262</v>
      </c>
      <c r="D1424" s="1" t="s">
        <v>1415</v>
      </c>
      <c r="E1424" t="s">
        <v>5532</v>
      </c>
    </row>
    <row r="1425" spans="1:5" x14ac:dyDescent="0.35">
      <c r="A1425" t="str">
        <f>"2015-09-01"</f>
        <v>2015-09-01</v>
      </c>
      <c r="B1425" s="1" t="str">
        <f t="shared" si="22"/>
        <v>09/01/2015</v>
      </c>
      <c r="C1425" t="str">
        <f>"72.7848"</f>
        <v>72.7848</v>
      </c>
      <c r="D1425" s="1" t="s">
        <v>1416</v>
      </c>
      <c r="E1425" t="s">
        <v>5533</v>
      </c>
    </row>
    <row r="1426" spans="1:5" x14ac:dyDescent="0.35">
      <c r="A1426" t="str">
        <f>"2015-09-02"</f>
        <v>2015-09-02</v>
      </c>
      <c r="B1426" s="1" t="str">
        <f t="shared" si="22"/>
        <v>09/02/2015</v>
      </c>
      <c r="C1426" t="str">
        <f>"72.7854"</f>
        <v>72.7854</v>
      </c>
      <c r="D1426" s="1" t="s">
        <v>1417</v>
      </c>
      <c r="E1426" t="s">
        <v>5534</v>
      </c>
    </row>
    <row r="1427" spans="1:5" x14ac:dyDescent="0.35">
      <c r="A1427" t="str">
        <f>"2015-09-03"</f>
        <v>2015-09-03</v>
      </c>
      <c r="B1427" s="1" t="str">
        <f t="shared" si="22"/>
        <v>09/03/2015</v>
      </c>
      <c r="C1427" t="str">
        <f>"72.6393"</f>
        <v>72.6393</v>
      </c>
      <c r="D1427" s="1" t="s">
        <v>1418</v>
      </c>
      <c r="E1427" t="s">
        <v>5535</v>
      </c>
    </row>
    <row r="1428" spans="1:5" x14ac:dyDescent="0.35">
      <c r="A1428" t="str">
        <f>"2015-09-04"</f>
        <v>2015-09-04</v>
      </c>
      <c r="B1428" s="1" t="str">
        <f t="shared" si="22"/>
        <v>09/04/2015</v>
      </c>
      <c r="C1428" t="str">
        <f>"72.5137"</f>
        <v>72.5137</v>
      </c>
      <c r="D1428" s="1" t="s">
        <v>1419</v>
      </c>
      <c r="E1428" t="s">
        <v>5536</v>
      </c>
    </row>
    <row r="1429" spans="1:5" x14ac:dyDescent="0.35">
      <c r="A1429" t="str">
        <f>"2015-09-08"</f>
        <v>2015-09-08</v>
      </c>
      <c r="B1429" s="1" t="str">
        <f t="shared" si="22"/>
        <v>09/08/2015</v>
      </c>
      <c r="C1429" t="str">
        <f>"73.7537"</f>
        <v>73.7537</v>
      </c>
      <c r="D1429" s="1" t="s">
        <v>1420</v>
      </c>
      <c r="E1429" t="s">
        <v>5537</v>
      </c>
    </row>
    <row r="1430" spans="1:5" x14ac:dyDescent="0.35">
      <c r="A1430" t="str">
        <f>"2015-09-09"</f>
        <v>2015-09-09</v>
      </c>
      <c r="B1430" s="1" t="str">
        <f t="shared" si="22"/>
        <v>09/09/2015</v>
      </c>
      <c r="C1430" t="str">
        <f>"74.5554"</f>
        <v>74.5554</v>
      </c>
      <c r="D1430" s="1" t="s">
        <v>1421</v>
      </c>
      <c r="E1430" t="s">
        <v>5538</v>
      </c>
    </row>
    <row r="1431" spans="1:5" x14ac:dyDescent="0.35">
      <c r="A1431" t="str">
        <f>"2015-09-10"</f>
        <v>2015-09-10</v>
      </c>
      <c r="B1431" s="1" t="str">
        <f t="shared" si="22"/>
        <v>09/10/2015</v>
      </c>
      <c r="C1431" t="str">
        <f>"72.9704"</f>
        <v>72.9704</v>
      </c>
      <c r="D1431" s="1" t="s">
        <v>1422</v>
      </c>
      <c r="E1431" t="s">
        <v>5539</v>
      </c>
    </row>
    <row r="1432" spans="1:5" x14ac:dyDescent="0.35">
      <c r="A1432" t="str">
        <f>"2015-09-11"</f>
        <v>2015-09-11</v>
      </c>
      <c r="B1432" s="1" t="str">
        <f t="shared" si="22"/>
        <v>09/11/2015</v>
      </c>
      <c r="C1432" t="str">
        <f>"72.4908"</f>
        <v>72.4908</v>
      </c>
      <c r="D1432" s="1" t="s">
        <v>1423</v>
      </c>
      <c r="E1432" t="s">
        <v>5540</v>
      </c>
    </row>
    <row r="1433" spans="1:5" x14ac:dyDescent="0.35">
      <c r="A1433" t="str">
        <f>"2015-09-14"</f>
        <v>2015-09-14</v>
      </c>
      <c r="B1433" s="1" t="str">
        <f t="shared" si="22"/>
        <v>09/14/2015</v>
      </c>
      <c r="C1433" t="str">
        <f>"73.4403"</f>
        <v>73.4403</v>
      </c>
      <c r="D1433" s="1" t="s">
        <v>1424</v>
      </c>
      <c r="E1433" t="s">
        <v>5541</v>
      </c>
    </row>
    <row r="1434" spans="1:5" x14ac:dyDescent="0.35">
      <c r="A1434" t="str">
        <f>"2015-09-15"</f>
        <v>2015-09-15</v>
      </c>
      <c r="B1434" s="1" t="str">
        <f t="shared" si="22"/>
        <v>09/15/2015</v>
      </c>
      <c r="C1434" t="str">
        <f>"74.2942"</f>
        <v>74.2942</v>
      </c>
      <c r="D1434" s="1" t="s">
        <v>1425</v>
      </c>
      <c r="E1434" t="s">
        <v>5542</v>
      </c>
    </row>
    <row r="1435" spans="1:5" x14ac:dyDescent="0.35">
      <c r="A1435" t="str">
        <f>"2015-09-16"</f>
        <v>2015-09-16</v>
      </c>
      <c r="B1435" s="1" t="str">
        <f t="shared" si="22"/>
        <v>09/16/2015</v>
      </c>
      <c r="C1435" t="str">
        <f>"74.2997"</f>
        <v>74.2997</v>
      </c>
      <c r="D1435" s="1" t="s">
        <v>1426</v>
      </c>
      <c r="E1435" t="s">
        <v>5543</v>
      </c>
    </row>
    <row r="1436" spans="1:5" x14ac:dyDescent="0.35">
      <c r="A1436" t="str">
        <f>"2015-09-17"</f>
        <v>2015-09-17</v>
      </c>
      <c r="B1436" s="1" t="str">
        <f t="shared" si="22"/>
        <v>09/17/2015</v>
      </c>
      <c r="C1436" t="str">
        <f>"75.8703"</f>
        <v>75.8703</v>
      </c>
      <c r="D1436" s="1" t="s">
        <v>1427</v>
      </c>
      <c r="E1436" t="s">
        <v>5544</v>
      </c>
    </row>
    <row r="1437" spans="1:5" x14ac:dyDescent="0.35">
      <c r="A1437" t="str">
        <f>"2015-09-18"</f>
        <v>2015-09-18</v>
      </c>
      <c r="B1437" s="1" t="str">
        <f t="shared" si="22"/>
        <v>09/18/2015</v>
      </c>
      <c r="C1437" t="str">
        <f>"74.7043"</f>
        <v>74.7043</v>
      </c>
      <c r="D1437" s="1" t="s">
        <v>1428</v>
      </c>
      <c r="E1437" t="s">
        <v>5545</v>
      </c>
    </row>
    <row r="1438" spans="1:5" x14ac:dyDescent="0.35">
      <c r="A1438" t="str">
        <f>"2015-09-21"</f>
        <v>2015-09-21</v>
      </c>
      <c r="B1438" s="1" t="str">
        <f t="shared" si="22"/>
        <v>09/21/2015</v>
      </c>
      <c r="C1438" t="str">
        <f>"75.5607"</f>
        <v>75.5607</v>
      </c>
      <c r="D1438" s="1" t="s">
        <v>1429</v>
      </c>
      <c r="E1438" t="s">
        <v>5546</v>
      </c>
    </row>
    <row r="1439" spans="1:5" x14ac:dyDescent="0.35">
      <c r="A1439" t="str">
        <f>"2015-09-22"</f>
        <v>2015-09-22</v>
      </c>
      <c r="B1439" s="1" t="str">
        <f t="shared" si="22"/>
        <v>09/22/2015</v>
      </c>
      <c r="C1439" t="str">
        <f>"75.574"</f>
        <v>75.574</v>
      </c>
      <c r="D1439" s="1" t="s">
        <v>1430</v>
      </c>
      <c r="E1439" t="s">
        <v>5547</v>
      </c>
    </row>
    <row r="1440" spans="1:5" x14ac:dyDescent="0.35">
      <c r="A1440" t="str">
        <f>"2015-09-23"</f>
        <v>2015-09-23</v>
      </c>
      <c r="B1440" s="1" t="str">
        <f t="shared" si="22"/>
        <v>09/23/2015</v>
      </c>
      <c r="C1440" t="str">
        <f>"73.6462"</f>
        <v>73.6462</v>
      </c>
      <c r="D1440" s="1" t="s">
        <v>1431</v>
      </c>
      <c r="E1440" t="s">
        <v>5548</v>
      </c>
    </row>
    <row r="1441" spans="1:5" x14ac:dyDescent="0.35">
      <c r="A1441" t="str">
        <f>"2015-09-24"</f>
        <v>2015-09-24</v>
      </c>
      <c r="B1441" s="1" t="str">
        <f t="shared" si="22"/>
        <v>09/24/2015</v>
      </c>
      <c r="C1441" t="str">
        <f>"71.9845"</f>
        <v>71.9845</v>
      </c>
      <c r="D1441" s="1" t="s">
        <v>1432</v>
      </c>
      <c r="E1441" t="s">
        <v>5549</v>
      </c>
    </row>
    <row r="1442" spans="1:5" x14ac:dyDescent="0.35">
      <c r="A1442" t="str">
        <f>"2015-09-25"</f>
        <v>2015-09-25</v>
      </c>
      <c r="B1442" s="1" t="str">
        <f t="shared" si="22"/>
        <v>09/25/2015</v>
      </c>
      <c r="C1442" t="str">
        <f>"72.2323"</f>
        <v>72.2323</v>
      </c>
      <c r="D1442" s="1" t="s">
        <v>1433</v>
      </c>
      <c r="E1442" t="s">
        <v>5550</v>
      </c>
    </row>
    <row r="1443" spans="1:5" x14ac:dyDescent="0.35">
      <c r="A1443" t="str">
        <f>"2015-09-28"</f>
        <v>2015-09-28</v>
      </c>
      <c r="B1443" s="1" t="str">
        <f t="shared" si="22"/>
        <v>09/28/2015</v>
      </c>
      <c r="C1443" t="str">
        <f>"71.6096"</f>
        <v>71.6096</v>
      </c>
      <c r="D1443" s="1" t="s">
        <v>1434</v>
      </c>
      <c r="E1443" t="s">
        <v>5551</v>
      </c>
    </row>
    <row r="1444" spans="1:5" x14ac:dyDescent="0.35">
      <c r="A1444" t="str">
        <f>"2015-09-29"</f>
        <v>2015-09-29</v>
      </c>
      <c r="B1444" s="1" t="str">
        <f t="shared" si="22"/>
        <v>09/29/2015</v>
      </c>
      <c r="C1444" t="str">
        <f>"72.4047"</f>
        <v>72.4047</v>
      </c>
      <c r="D1444" s="1" t="s">
        <v>1435</v>
      </c>
      <c r="E1444" t="s">
        <v>5552</v>
      </c>
    </row>
    <row r="1445" spans="1:5" x14ac:dyDescent="0.35">
      <c r="A1445" t="str">
        <f>"2015-09-30"</f>
        <v>2015-09-30</v>
      </c>
      <c r="B1445" s="1" t="str">
        <f t="shared" si="22"/>
        <v>09/30/2015</v>
      </c>
      <c r="C1445" t="str">
        <f>"73.1459"</f>
        <v>73.1459</v>
      </c>
      <c r="D1445" s="1" t="s">
        <v>1436</v>
      </c>
      <c r="E1445" t="s">
        <v>5553</v>
      </c>
    </row>
    <row r="1446" spans="1:5" x14ac:dyDescent="0.35">
      <c r="A1446" t="str">
        <f>"2015-10-01"</f>
        <v>2015-10-01</v>
      </c>
      <c r="B1446" s="1" t="str">
        <f t="shared" si="22"/>
        <v>10/01/2015</v>
      </c>
      <c r="C1446" t="str">
        <f>"73.8673"</f>
        <v>73.8673</v>
      </c>
      <c r="D1446" s="1" t="s">
        <v>1437</v>
      </c>
      <c r="E1446" t="s">
        <v>5554</v>
      </c>
    </row>
    <row r="1447" spans="1:5" x14ac:dyDescent="0.35">
      <c r="A1447" t="str">
        <f>"2015-10-02"</f>
        <v>2015-10-02</v>
      </c>
      <c r="B1447" s="1" t="str">
        <f t="shared" si="22"/>
        <v>10/02/2015</v>
      </c>
      <c r="C1447" t="str">
        <f>"73.0723"</f>
        <v>73.0723</v>
      </c>
      <c r="D1447" s="1" t="s">
        <v>1438</v>
      </c>
      <c r="E1447" t="s">
        <v>5555</v>
      </c>
    </row>
    <row r="1448" spans="1:5" x14ac:dyDescent="0.35">
      <c r="A1448" t="str">
        <f>"2015-10-05"</f>
        <v>2015-10-05</v>
      </c>
      <c r="B1448" s="1" t="str">
        <f t="shared" si="22"/>
        <v>10/05/2015</v>
      </c>
      <c r="C1448" t="str">
        <f>"75.7957"</f>
        <v>75.7957</v>
      </c>
      <c r="D1448" s="1" t="s">
        <v>1439</v>
      </c>
      <c r="E1448" t="s">
        <v>5556</v>
      </c>
    </row>
    <row r="1449" spans="1:5" x14ac:dyDescent="0.35">
      <c r="A1449" t="str">
        <f>"2015-10-06"</f>
        <v>2015-10-06</v>
      </c>
      <c r="B1449" s="1" t="str">
        <f t="shared" si="22"/>
        <v>10/06/2015</v>
      </c>
      <c r="C1449" t="str">
        <f>"76.6749"</f>
        <v>76.6749</v>
      </c>
      <c r="D1449" s="1" t="s">
        <v>1440</v>
      </c>
      <c r="E1449" t="s">
        <v>5557</v>
      </c>
    </row>
    <row r="1450" spans="1:5" x14ac:dyDescent="0.35">
      <c r="A1450" t="str">
        <f>"2015-10-07"</f>
        <v>2015-10-07</v>
      </c>
      <c r="B1450" s="1" t="str">
        <f t="shared" si="22"/>
        <v>10/07/2015</v>
      </c>
      <c r="C1450" t="str">
        <f>"77.657"</f>
        <v>77.657</v>
      </c>
      <c r="D1450" s="1" t="s">
        <v>1441</v>
      </c>
      <c r="E1450" t="s">
        <v>5558</v>
      </c>
    </row>
    <row r="1451" spans="1:5" x14ac:dyDescent="0.35">
      <c r="A1451" t="str">
        <f>"2015-10-08"</f>
        <v>2015-10-08</v>
      </c>
      <c r="B1451" s="1" t="str">
        <f t="shared" si="22"/>
        <v>10/08/2015</v>
      </c>
      <c r="C1451" t="str">
        <f>"78.9812"</f>
        <v>78.9812</v>
      </c>
      <c r="D1451" s="1" t="s">
        <v>1442</v>
      </c>
      <c r="E1451" t="s">
        <v>5559</v>
      </c>
    </row>
    <row r="1452" spans="1:5" x14ac:dyDescent="0.35">
      <c r="A1452" t="str">
        <f>"2015-10-09"</f>
        <v>2015-10-09</v>
      </c>
      <c r="B1452" s="1" t="str">
        <f t="shared" si="22"/>
        <v>10/09/2015</v>
      </c>
      <c r="C1452" t="str">
        <f>"79.0367"</f>
        <v>79.0367</v>
      </c>
      <c r="D1452" s="1" t="s">
        <v>1443</v>
      </c>
      <c r="E1452" t="s">
        <v>5560</v>
      </c>
    </row>
    <row r="1453" spans="1:5" x14ac:dyDescent="0.35">
      <c r="A1453" t="str">
        <f>"2015-10-12"</f>
        <v>2015-10-12</v>
      </c>
      <c r="B1453" s="1" t="str">
        <f t="shared" si="22"/>
        <v>10/12/2015</v>
      </c>
      <c r="C1453" t="str">
        <f>"78.016"</f>
        <v>78.016</v>
      </c>
      <c r="D1453" s="1" t="s">
        <v>1444</v>
      </c>
      <c r="E1453" t="s">
        <v>5561</v>
      </c>
    </row>
    <row r="1454" spans="1:5" x14ac:dyDescent="0.35">
      <c r="A1454" t="str">
        <f>"2015-10-13"</f>
        <v>2015-10-13</v>
      </c>
      <c r="B1454" s="1" t="str">
        <f t="shared" si="22"/>
        <v>10/13/2015</v>
      </c>
      <c r="C1454" t="str">
        <f>"76.7074"</f>
        <v>76.7074</v>
      </c>
      <c r="D1454" s="1" t="s">
        <v>1445</v>
      </c>
      <c r="E1454" t="s">
        <v>5562</v>
      </c>
    </row>
    <row r="1455" spans="1:5" x14ac:dyDescent="0.35">
      <c r="A1455" t="str">
        <f>"2015-10-14"</f>
        <v>2015-10-14</v>
      </c>
      <c r="B1455" s="1" t="str">
        <f t="shared" si="22"/>
        <v>10/14/2015</v>
      </c>
      <c r="C1455" t="str">
        <f>"76.4637"</f>
        <v>76.4637</v>
      </c>
      <c r="D1455" s="1" t="s">
        <v>1446</v>
      </c>
      <c r="E1455" t="s">
        <v>5563</v>
      </c>
    </row>
    <row r="1456" spans="1:5" x14ac:dyDescent="0.35">
      <c r="A1456" t="str">
        <f>"2015-10-15"</f>
        <v>2015-10-15</v>
      </c>
      <c r="B1456" s="1" t="str">
        <f t="shared" si="22"/>
        <v>10/15/2015</v>
      </c>
      <c r="C1456" t="str">
        <f>"76.7067"</f>
        <v>76.7067</v>
      </c>
      <c r="D1456" s="1" t="s">
        <v>1447</v>
      </c>
      <c r="E1456" t="s">
        <v>5564</v>
      </c>
    </row>
    <row r="1457" spans="1:5" x14ac:dyDescent="0.35">
      <c r="A1457" t="str">
        <f>"2015-10-16"</f>
        <v>2015-10-16</v>
      </c>
      <c r="B1457" s="1" t="str">
        <f t="shared" si="22"/>
        <v>10/16/2015</v>
      </c>
      <c r="C1457" t="str">
        <f>"76.6836"</f>
        <v>76.6836</v>
      </c>
      <c r="D1457" s="1" t="s">
        <v>1448</v>
      </c>
      <c r="E1457" t="s">
        <v>5565</v>
      </c>
    </row>
    <row r="1458" spans="1:5" x14ac:dyDescent="0.35">
      <c r="A1458" t="str">
        <f>"2015-10-19"</f>
        <v>2015-10-19</v>
      </c>
      <c r="B1458" s="1" t="str">
        <f t="shared" si="22"/>
        <v>10/19/2015</v>
      </c>
      <c r="C1458" t="str">
        <f>"77.6776"</f>
        <v>77.6776</v>
      </c>
      <c r="D1458" s="1" t="s">
        <v>1449</v>
      </c>
      <c r="E1458" t="s">
        <v>5566</v>
      </c>
    </row>
    <row r="1459" spans="1:5" x14ac:dyDescent="0.35">
      <c r="A1459" t="str">
        <f>"2015-10-20"</f>
        <v>2015-10-20</v>
      </c>
      <c r="B1459" s="1" t="str">
        <f t="shared" si="22"/>
        <v>10/20/2015</v>
      </c>
      <c r="C1459" t="str">
        <f>"78.7992"</f>
        <v>78.7992</v>
      </c>
      <c r="D1459" s="1" t="s">
        <v>1450</v>
      </c>
      <c r="E1459" t="s">
        <v>5567</v>
      </c>
    </row>
    <row r="1460" spans="1:5" x14ac:dyDescent="0.35">
      <c r="A1460" t="str">
        <f>"2015-10-21"</f>
        <v>2015-10-21</v>
      </c>
      <c r="B1460" s="1" t="str">
        <f t="shared" si="22"/>
        <v>10/21/2015</v>
      </c>
      <c r="C1460" t="str">
        <f>"78.2639"</f>
        <v>78.2639</v>
      </c>
      <c r="D1460" s="1" t="s">
        <v>1451</v>
      </c>
      <c r="E1460" t="s">
        <v>5568</v>
      </c>
    </row>
    <row r="1461" spans="1:5" x14ac:dyDescent="0.35">
      <c r="A1461" t="str">
        <f>"2015-10-22"</f>
        <v>2015-10-22</v>
      </c>
      <c r="B1461" s="1" t="str">
        <f t="shared" si="22"/>
        <v>10/22/2015</v>
      </c>
      <c r="C1461" t="str">
        <f>"78.5518"</f>
        <v>78.5518</v>
      </c>
      <c r="D1461" s="1" t="s">
        <v>1452</v>
      </c>
      <c r="E1461" t="s">
        <v>5569</v>
      </c>
    </row>
    <row r="1462" spans="1:5" x14ac:dyDescent="0.35">
      <c r="A1462" t="str">
        <f>"2015-10-23"</f>
        <v>2015-10-23</v>
      </c>
      <c r="B1462" s="1" t="str">
        <f t="shared" si="22"/>
        <v>10/23/2015</v>
      </c>
      <c r="C1462" t="str">
        <f>"79.2284"</f>
        <v>79.2284</v>
      </c>
      <c r="D1462" s="1" t="s">
        <v>1453</v>
      </c>
      <c r="E1462" t="s">
        <v>5570</v>
      </c>
    </row>
    <row r="1463" spans="1:5" x14ac:dyDescent="0.35">
      <c r="A1463" t="str">
        <f>"2015-10-26"</f>
        <v>2015-10-26</v>
      </c>
      <c r="B1463" s="1" t="str">
        <f t="shared" si="22"/>
        <v>10/26/2015</v>
      </c>
      <c r="C1463" t="str">
        <f>"77.0265"</f>
        <v>77.0265</v>
      </c>
      <c r="D1463" s="1" t="s">
        <v>1454</v>
      </c>
      <c r="E1463" t="s">
        <v>5571</v>
      </c>
    </row>
    <row r="1464" spans="1:5" x14ac:dyDescent="0.35">
      <c r="A1464" t="str">
        <f>"2015-10-27"</f>
        <v>2015-10-27</v>
      </c>
      <c r="B1464" s="1" t="str">
        <f t="shared" si="22"/>
        <v>10/27/2015</v>
      </c>
      <c r="C1464" t="str">
        <f>"76.608"</f>
        <v>76.608</v>
      </c>
      <c r="D1464" s="1" t="s">
        <v>1455</v>
      </c>
      <c r="E1464" t="s">
        <v>5572</v>
      </c>
    </row>
    <row r="1465" spans="1:5" x14ac:dyDescent="0.35">
      <c r="A1465" t="str">
        <f>"2015-10-28"</f>
        <v>2015-10-28</v>
      </c>
      <c r="B1465" s="1" t="str">
        <f t="shared" si="22"/>
        <v>10/28/2015</v>
      </c>
      <c r="C1465" t="str">
        <f>"75.5188"</f>
        <v>75.5188</v>
      </c>
      <c r="D1465" s="1" t="s">
        <v>1456</v>
      </c>
      <c r="E1465" t="s">
        <v>5573</v>
      </c>
    </row>
    <row r="1466" spans="1:5" x14ac:dyDescent="0.35">
      <c r="A1466" t="str">
        <f>"2015-10-29"</f>
        <v>2015-10-29</v>
      </c>
      <c r="B1466" s="1" t="str">
        <f t="shared" si="22"/>
        <v>10/29/2015</v>
      </c>
      <c r="C1466" t="str">
        <f>"77.0731"</f>
        <v>77.0731</v>
      </c>
      <c r="D1466" s="1" t="s">
        <v>1457</v>
      </c>
      <c r="E1466" t="s">
        <v>5574</v>
      </c>
    </row>
    <row r="1467" spans="1:5" x14ac:dyDescent="0.35">
      <c r="A1467" t="str">
        <f>"2015-10-30"</f>
        <v>2015-10-30</v>
      </c>
      <c r="B1467" s="1" t="str">
        <f t="shared" si="22"/>
        <v>10/30/2015</v>
      </c>
      <c r="C1467" t="str">
        <f>"79.9416"</f>
        <v>79.9416</v>
      </c>
      <c r="D1467" s="1" t="s">
        <v>1458</v>
      </c>
      <c r="E1467" t="s">
        <v>5575</v>
      </c>
    </row>
    <row r="1468" spans="1:5" x14ac:dyDescent="0.35">
      <c r="A1468" t="str">
        <f>"2015-11-02"</f>
        <v>2015-11-02</v>
      </c>
      <c r="B1468" s="1" t="str">
        <f t="shared" si="22"/>
        <v>11/02/2015</v>
      </c>
      <c r="C1468" t="str">
        <f>"88.4928"</f>
        <v>88.4928</v>
      </c>
      <c r="D1468" s="1" t="s">
        <v>1459</v>
      </c>
      <c r="E1468" t="s">
        <v>5576</v>
      </c>
    </row>
    <row r="1469" spans="1:5" x14ac:dyDescent="0.35">
      <c r="A1469" t="str">
        <f>"2015-11-03"</f>
        <v>2015-11-03</v>
      </c>
      <c r="B1469" s="1" t="str">
        <f t="shared" si="22"/>
        <v>11/03/2015</v>
      </c>
      <c r="C1469" t="str">
        <f>"89.6633"</f>
        <v>89.6633</v>
      </c>
      <c r="D1469" s="1" t="s">
        <v>1460</v>
      </c>
      <c r="E1469" t="s">
        <v>5577</v>
      </c>
    </row>
    <row r="1470" spans="1:5" x14ac:dyDescent="0.35">
      <c r="A1470" t="str">
        <f>"2015-11-04"</f>
        <v>2015-11-04</v>
      </c>
      <c r="B1470" s="1" t="str">
        <f t="shared" si="22"/>
        <v>11/04/2015</v>
      </c>
      <c r="C1470" t="str">
        <f>"91.4418"</f>
        <v>91.4418</v>
      </c>
      <c r="D1470" s="1" t="s">
        <v>1461</v>
      </c>
      <c r="E1470" t="s">
        <v>5578</v>
      </c>
    </row>
    <row r="1471" spans="1:5" x14ac:dyDescent="0.35">
      <c r="A1471" t="str">
        <f>"2015-11-05"</f>
        <v>2015-11-05</v>
      </c>
      <c r="B1471" s="1" t="str">
        <f t="shared" si="22"/>
        <v>11/05/2015</v>
      </c>
      <c r="C1471" t="str">
        <f>"91.176"</f>
        <v>91.176</v>
      </c>
      <c r="D1471" s="1" t="s">
        <v>1462</v>
      </c>
      <c r="E1471" t="s">
        <v>5579</v>
      </c>
    </row>
    <row r="1472" spans="1:5" x14ac:dyDescent="0.35">
      <c r="A1472" t="str">
        <f>"2015-11-06"</f>
        <v>2015-11-06</v>
      </c>
      <c r="B1472" s="1" t="str">
        <f t="shared" si="22"/>
        <v>11/06/2015</v>
      </c>
      <c r="C1472" t="str">
        <f>"92.0267"</f>
        <v>92.0267</v>
      </c>
      <c r="D1472" s="1" t="s">
        <v>1463</v>
      </c>
      <c r="E1472" t="s">
        <v>5580</v>
      </c>
    </row>
    <row r="1473" spans="1:5" x14ac:dyDescent="0.35">
      <c r="A1473" t="str">
        <f>"2015-11-09"</f>
        <v>2015-11-09</v>
      </c>
      <c r="B1473" s="1" t="str">
        <f t="shared" si="22"/>
        <v>11/09/2015</v>
      </c>
      <c r="C1473" t="str">
        <f>"89.6849"</f>
        <v>89.6849</v>
      </c>
      <c r="D1473" s="1" t="s">
        <v>1464</v>
      </c>
      <c r="E1473" t="s">
        <v>5581</v>
      </c>
    </row>
    <row r="1474" spans="1:5" x14ac:dyDescent="0.35">
      <c r="A1474" t="str">
        <f>"2015-11-10"</f>
        <v>2015-11-10</v>
      </c>
      <c r="B1474" s="1" t="str">
        <f t="shared" si="22"/>
        <v>11/10/2015</v>
      </c>
      <c r="C1474" t="str">
        <f>"88.983"</f>
        <v>88.983</v>
      </c>
      <c r="D1474" s="1" t="s">
        <v>1465</v>
      </c>
      <c r="E1474" t="s">
        <v>5582</v>
      </c>
    </row>
    <row r="1475" spans="1:5" x14ac:dyDescent="0.35">
      <c r="A1475" t="str">
        <f>"2015-11-11"</f>
        <v>2015-11-11</v>
      </c>
      <c r="B1475" s="1" t="str">
        <f t="shared" ref="B1475:B1538" si="23">LEFT(RIGHT(A1475,5),2)&amp;"/"&amp;RIGHT(A1475,2)&amp;"/"&amp;LEFT(A1475,4)</f>
        <v>11/11/2015</v>
      </c>
      <c r="C1475" t="str">
        <f>"90.2341"</f>
        <v>90.2341</v>
      </c>
      <c r="D1475" s="1" t="s">
        <v>1466</v>
      </c>
      <c r="E1475" t="s">
        <v>5583</v>
      </c>
    </row>
    <row r="1476" spans="1:5" x14ac:dyDescent="0.35">
      <c r="A1476" t="str">
        <f>"2015-11-12"</f>
        <v>2015-11-12</v>
      </c>
      <c r="B1476" s="1" t="str">
        <f t="shared" si="23"/>
        <v>11/12/2015</v>
      </c>
      <c r="C1476" t="str">
        <f>"92.9486"</f>
        <v>92.9486</v>
      </c>
      <c r="D1476" s="1" t="s">
        <v>1467</v>
      </c>
      <c r="E1476" t="s">
        <v>5584</v>
      </c>
    </row>
    <row r="1477" spans="1:5" x14ac:dyDescent="0.35">
      <c r="A1477" t="str">
        <f>"2015-11-13"</f>
        <v>2015-11-13</v>
      </c>
      <c r="B1477" s="1" t="str">
        <f t="shared" si="23"/>
        <v>11/13/2015</v>
      </c>
      <c r="C1477" t="str">
        <f>"92.6799"</f>
        <v>92.6799</v>
      </c>
      <c r="D1477" s="1" t="s">
        <v>1468</v>
      </c>
      <c r="E1477" t="s">
        <v>5585</v>
      </c>
    </row>
    <row r="1478" spans="1:5" x14ac:dyDescent="0.35">
      <c r="A1478" t="str">
        <f>"2015-11-16"</f>
        <v>2015-11-16</v>
      </c>
      <c r="B1478" s="1" t="str">
        <f t="shared" si="23"/>
        <v>11/16/2015</v>
      </c>
      <c r="C1478" t="str">
        <f>"89.5563"</f>
        <v>89.5563</v>
      </c>
      <c r="D1478" s="1" t="s">
        <v>1469</v>
      </c>
      <c r="E1478" t="s">
        <v>5586</v>
      </c>
    </row>
    <row r="1479" spans="1:5" x14ac:dyDescent="0.35">
      <c r="A1479" t="str">
        <f>"2015-11-17"</f>
        <v>2015-11-17</v>
      </c>
      <c r="B1479" s="1" t="str">
        <f t="shared" si="23"/>
        <v>11/17/2015</v>
      </c>
      <c r="C1479" t="str">
        <f>"90.2043"</f>
        <v>90.2043</v>
      </c>
      <c r="D1479" s="1" t="s">
        <v>1470</v>
      </c>
      <c r="E1479" t="s">
        <v>5587</v>
      </c>
    </row>
    <row r="1480" spans="1:5" x14ac:dyDescent="0.35">
      <c r="A1480" t="str">
        <f>"2015-11-18"</f>
        <v>2015-11-18</v>
      </c>
      <c r="B1480" s="1" t="str">
        <f t="shared" si="23"/>
        <v>11/18/2015</v>
      </c>
      <c r="C1480" t="str">
        <f>"88.3475"</f>
        <v>88.3475</v>
      </c>
      <c r="D1480" s="1" t="s">
        <v>1471</v>
      </c>
      <c r="E1480" t="s">
        <v>5588</v>
      </c>
    </row>
    <row r="1481" spans="1:5" x14ac:dyDescent="0.35">
      <c r="A1481" t="str">
        <f>"2015-11-19"</f>
        <v>2015-11-19</v>
      </c>
      <c r="B1481" s="1" t="str">
        <f t="shared" si="23"/>
        <v>11/19/2015</v>
      </c>
      <c r="C1481" t="str">
        <f>"88.3637"</f>
        <v>88.3637</v>
      </c>
      <c r="D1481" s="1" t="s">
        <v>1472</v>
      </c>
      <c r="E1481" t="s">
        <v>5589</v>
      </c>
    </row>
    <row r="1482" spans="1:5" x14ac:dyDescent="0.35">
      <c r="A1482" t="str">
        <f>"2015-11-20"</f>
        <v>2015-11-20</v>
      </c>
      <c r="B1482" s="1" t="str">
        <f t="shared" si="23"/>
        <v>11/20/2015</v>
      </c>
      <c r="C1482" t="str">
        <f>"89.0191"</f>
        <v>89.0191</v>
      </c>
      <c r="D1482" s="1" t="s">
        <v>1473</v>
      </c>
      <c r="E1482" t="s">
        <v>5590</v>
      </c>
    </row>
    <row r="1483" spans="1:5" x14ac:dyDescent="0.35">
      <c r="A1483" t="str">
        <f>"2015-11-23"</f>
        <v>2015-11-23</v>
      </c>
      <c r="B1483" s="1" t="str">
        <f t="shared" si="23"/>
        <v>11/23/2015</v>
      </c>
      <c r="C1483" t="str">
        <f>"87.8816"</f>
        <v>87.8816</v>
      </c>
      <c r="D1483" s="1" t="s">
        <v>1474</v>
      </c>
      <c r="E1483" t="s">
        <v>5591</v>
      </c>
    </row>
    <row r="1484" spans="1:5" x14ac:dyDescent="0.35">
      <c r="A1484" t="str">
        <f>"2015-11-24"</f>
        <v>2015-11-24</v>
      </c>
      <c r="B1484" s="1" t="str">
        <f t="shared" si="23"/>
        <v>11/24/2015</v>
      </c>
      <c r="C1484" t="str">
        <f>"80.4697"</f>
        <v>80.4697</v>
      </c>
      <c r="D1484" s="1" t="s">
        <v>1475</v>
      </c>
      <c r="E1484" t="s">
        <v>5592</v>
      </c>
    </row>
    <row r="1485" spans="1:5" x14ac:dyDescent="0.35">
      <c r="A1485" t="str">
        <f>"2015-11-25"</f>
        <v>2015-11-25</v>
      </c>
      <c r="B1485" s="1" t="str">
        <f t="shared" si="23"/>
        <v>11/25/2015</v>
      </c>
      <c r="C1485" t="str">
        <f>"80.3717"</f>
        <v>80.3717</v>
      </c>
      <c r="D1485" s="1" t="s">
        <v>1476</v>
      </c>
      <c r="E1485" t="s">
        <v>5593</v>
      </c>
    </row>
    <row r="1486" spans="1:5" x14ac:dyDescent="0.35">
      <c r="A1486" t="str">
        <f>"2015-11-27"</f>
        <v>2015-11-27</v>
      </c>
      <c r="B1486" s="1" t="str">
        <f t="shared" si="23"/>
        <v>11/27/2015</v>
      </c>
      <c r="C1486" t="str">
        <f>"78.7482"</f>
        <v>78.7482</v>
      </c>
      <c r="D1486" s="1" t="s">
        <v>1477</v>
      </c>
      <c r="E1486" t="s">
        <v>5594</v>
      </c>
    </row>
    <row r="1487" spans="1:5" x14ac:dyDescent="0.35">
      <c r="A1487" t="str">
        <f>"2015-11-30"</f>
        <v>2015-11-30</v>
      </c>
      <c r="B1487" s="1" t="str">
        <f t="shared" si="23"/>
        <v>11/30/2015</v>
      </c>
      <c r="C1487" t="str">
        <f>"76.4082"</f>
        <v>76.4082</v>
      </c>
      <c r="D1487" s="1" t="s">
        <v>1478</v>
      </c>
      <c r="E1487" t="s">
        <v>5595</v>
      </c>
    </row>
    <row r="1488" spans="1:5" x14ac:dyDescent="0.35">
      <c r="A1488" t="str">
        <f>"2015-12-01"</f>
        <v>2015-12-01</v>
      </c>
      <c r="B1488" s="1" t="str">
        <f t="shared" si="23"/>
        <v>12/01/2015</v>
      </c>
      <c r="C1488" t="str">
        <f>"77.253"</f>
        <v>77.253</v>
      </c>
      <c r="D1488" s="1" t="s">
        <v>1479</v>
      </c>
      <c r="E1488" t="s">
        <v>5596</v>
      </c>
    </row>
    <row r="1489" spans="1:5" x14ac:dyDescent="0.35">
      <c r="A1489" t="str">
        <f>"2015-12-02"</f>
        <v>2015-12-02</v>
      </c>
      <c r="B1489" s="1" t="str">
        <f t="shared" si="23"/>
        <v>12/02/2015</v>
      </c>
      <c r="C1489" t="str">
        <f>"80.7007"</f>
        <v>80.7007</v>
      </c>
      <c r="D1489" s="1" t="s">
        <v>1480</v>
      </c>
      <c r="E1489" t="s">
        <v>5597</v>
      </c>
    </row>
    <row r="1490" spans="1:5" x14ac:dyDescent="0.35">
      <c r="A1490" t="str">
        <f>"2015-12-03"</f>
        <v>2015-12-03</v>
      </c>
      <c r="B1490" s="1" t="str">
        <f t="shared" si="23"/>
        <v>12/03/2015</v>
      </c>
      <c r="C1490" t="str">
        <f>"78.1063"</f>
        <v>78.1063</v>
      </c>
      <c r="D1490" s="1" t="s">
        <v>1481</v>
      </c>
      <c r="E1490" t="s">
        <v>5598</v>
      </c>
    </row>
    <row r="1491" spans="1:5" x14ac:dyDescent="0.35">
      <c r="A1491" t="str">
        <f>"2015-12-04"</f>
        <v>2015-12-04</v>
      </c>
      <c r="B1491" s="1" t="str">
        <f t="shared" si="23"/>
        <v>12/04/2015</v>
      </c>
      <c r="C1491" t="str">
        <f>"75.6207"</f>
        <v>75.6207</v>
      </c>
      <c r="D1491" s="1" t="s">
        <v>1482</v>
      </c>
      <c r="E1491" t="s">
        <v>5599</v>
      </c>
    </row>
    <row r="1492" spans="1:5" x14ac:dyDescent="0.35">
      <c r="A1492" t="str">
        <f>"2015-12-07"</f>
        <v>2015-12-07</v>
      </c>
      <c r="B1492" s="1" t="str">
        <f t="shared" si="23"/>
        <v>12/07/2015</v>
      </c>
      <c r="C1492" t="str">
        <f>"76.3104"</f>
        <v>76.3104</v>
      </c>
      <c r="D1492" s="1" t="s">
        <v>1483</v>
      </c>
      <c r="E1492" t="s">
        <v>5600</v>
      </c>
    </row>
    <row r="1493" spans="1:5" x14ac:dyDescent="0.35">
      <c r="A1493" t="str">
        <f>"2015-12-08"</f>
        <v>2015-12-08</v>
      </c>
      <c r="B1493" s="1" t="str">
        <f t="shared" si="23"/>
        <v>12/08/2015</v>
      </c>
      <c r="C1493" t="str">
        <f>"74.153"</f>
        <v>74.153</v>
      </c>
      <c r="D1493" s="1" t="s">
        <v>1484</v>
      </c>
      <c r="E1493" t="s">
        <v>5601</v>
      </c>
    </row>
    <row r="1494" spans="1:5" x14ac:dyDescent="0.35">
      <c r="A1494" t="str">
        <f>"2015-12-09"</f>
        <v>2015-12-09</v>
      </c>
      <c r="B1494" s="1" t="str">
        <f t="shared" si="23"/>
        <v>12/09/2015</v>
      </c>
      <c r="C1494" t="str">
        <f>"75.7837"</f>
        <v>75.7837</v>
      </c>
      <c r="D1494" s="1" t="s">
        <v>1485</v>
      </c>
      <c r="E1494" t="s">
        <v>5602</v>
      </c>
    </row>
    <row r="1495" spans="1:5" x14ac:dyDescent="0.35">
      <c r="A1495" t="str">
        <f>"2015-12-10"</f>
        <v>2015-12-10</v>
      </c>
      <c r="B1495" s="1" t="str">
        <f t="shared" si="23"/>
        <v>12/10/2015</v>
      </c>
      <c r="C1495" t="str">
        <f>"72.1483"</f>
        <v>72.1483</v>
      </c>
      <c r="D1495" s="1" t="s">
        <v>1486</v>
      </c>
      <c r="E1495" t="s">
        <v>5603</v>
      </c>
    </row>
    <row r="1496" spans="1:5" x14ac:dyDescent="0.35">
      <c r="A1496" t="str">
        <f>"2015-12-11"</f>
        <v>2015-12-11</v>
      </c>
      <c r="B1496" s="1" t="str">
        <f t="shared" si="23"/>
        <v>12/11/2015</v>
      </c>
      <c r="C1496" t="str">
        <f>"67.951"</f>
        <v>67.951</v>
      </c>
      <c r="D1496" s="1" t="s">
        <v>1487</v>
      </c>
      <c r="E1496" t="s">
        <v>5604</v>
      </c>
    </row>
    <row r="1497" spans="1:5" x14ac:dyDescent="0.35">
      <c r="A1497" t="str">
        <f>"2015-12-14"</f>
        <v>2015-12-14</v>
      </c>
      <c r="B1497" s="1" t="str">
        <f t="shared" si="23"/>
        <v>12/14/2015</v>
      </c>
      <c r="C1497" t="str">
        <f>"66.9312"</f>
        <v>66.9312</v>
      </c>
      <c r="D1497" s="1" t="s">
        <v>1488</v>
      </c>
      <c r="E1497" t="s">
        <v>5605</v>
      </c>
    </row>
    <row r="1498" spans="1:5" x14ac:dyDescent="0.35">
      <c r="A1498" t="str">
        <f>"2015-12-15"</f>
        <v>2015-12-15</v>
      </c>
      <c r="B1498" s="1" t="str">
        <f t="shared" si="23"/>
        <v>12/15/2015</v>
      </c>
      <c r="C1498" t="str">
        <f>"70.9019"</f>
        <v>70.9019</v>
      </c>
      <c r="D1498" s="1" t="s">
        <v>1489</v>
      </c>
      <c r="E1498" t="s">
        <v>5606</v>
      </c>
    </row>
    <row r="1499" spans="1:5" x14ac:dyDescent="0.35">
      <c r="A1499" t="str">
        <f>"2015-12-16"</f>
        <v>2015-12-16</v>
      </c>
      <c r="B1499" s="1" t="str">
        <f t="shared" si="23"/>
        <v>12/16/2015</v>
      </c>
      <c r="C1499" t="str">
        <f>"70.803"</f>
        <v>70.803</v>
      </c>
      <c r="D1499" s="1" t="s">
        <v>1490</v>
      </c>
      <c r="E1499" t="s">
        <v>5607</v>
      </c>
    </row>
    <row r="1500" spans="1:5" x14ac:dyDescent="0.35">
      <c r="A1500" t="str">
        <f>"2015-12-17"</f>
        <v>2015-12-17</v>
      </c>
      <c r="B1500" s="1" t="str">
        <f t="shared" si="23"/>
        <v>12/17/2015</v>
      </c>
      <c r="C1500" t="str">
        <f>"73.9239"</f>
        <v>73.9239</v>
      </c>
      <c r="D1500" s="1" t="s">
        <v>1491</v>
      </c>
      <c r="E1500" t="s">
        <v>5608</v>
      </c>
    </row>
    <row r="1501" spans="1:5" x14ac:dyDescent="0.35">
      <c r="A1501" t="str">
        <f>"2015-12-18"</f>
        <v>2015-12-18</v>
      </c>
      <c r="B1501" s="1" t="str">
        <f t="shared" si="23"/>
        <v>12/18/2015</v>
      </c>
      <c r="C1501" t="str">
        <f>"72.1104"</f>
        <v>72.1104</v>
      </c>
      <c r="D1501" s="1" t="s">
        <v>1492</v>
      </c>
      <c r="E1501" t="s">
        <v>5609</v>
      </c>
    </row>
    <row r="1502" spans="1:5" x14ac:dyDescent="0.35">
      <c r="A1502" t="str">
        <f>"2015-12-21"</f>
        <v>2015-12-21</v>
      </c>
      <c r="B1502" s="1" t="str">
        <f t="shared" si="23"/>
        <v>12/21/2015</v>
      </c>
      <c r="C1502" t="str">
        <f>"73.9899"</f>
        <v>73.9899</v>
      </c>
      <c r="D1502" s="1" t="s">
        <v>1493</v>
      </c>
      <c r="E1502" t="s">
        <v>5610</v>
      </c>
    </row>
    <row r="1503" spans="1:5" x14ac:dyDescent="0.35">
      <c r="A1503" t="str">
        <f>"2015-12-22"</f>
        <v>2015-12-22</v>
      </c>
      <c r="B1503" s="1" t="str">
        <f t="shared" si="23"/>
        <v>12/22/2015</v>
      </c>
      <c r="C1503" t="str">
        <f>"73.9563"</f>
        <v>73.9563</v>
      </c>
      <c r="D1503" s="1" t="s">
        <v>1494</v>
      </c>
      <c r="E1503" t="s">
        <v>5611</v>
      </c>
    </row>
    <row r="1504" spans="1:5" x14ac:dyDescent="0.35">
      <c r="A1504" t="str">
        <f>"2015-12-23"</f>
        <v>2015-12-23</v>
      </c>
      <c r="B1504" s="1" t="str">
        <f t="shared" si="23"/>
        <v>12/23/2015</v>
      </c>
      <c r="C1504" t="str">
        <f>"74.2448"</f>
        <v>74.2448</v>
      </c>
      <c r="D1504" s="1" t="s">
        <v>1495</v>
      </c>
      <c r="E1504" t="s">
        <v>5612</v>
      </c>
    </row>
    <row r="1505" spans="1:5" x14ac:dyDescent="0.35">
      <c r="A1505" t="str">
        <f>"2015-12-24"</f>
        <v>2015-12-24</v>
      </c>
      <c r="B1505" s="1" t="str">
        <f t="shared" si="23"/>
        <v>12/24/2015</v>
      </c>
      <c r="C1505" t="str">
        <f>"73.4506"</f>
        <v>73.4506</v>
      </c>
      <c r="D1505" s="1" t="s">
        <v>1496</v>
      </c>
      <c r="E1505" t="s">
        <v>5613</v>
      </c>
    </row>
    <row r="1506" spans="1:5" x14ac:dyDescent="0.35">
      <c r="A1506" t="str">
        <f>"2015-12-28"</f>
        <v>2015-12-28</v>
      </c>
      <c r="B1506" s="1" t="str">
        <f t="shared" si="23"/>
        <v>12/28/2015</v>
      </c>
      <c r="C1506" t="str">
        <f>"75.0454"</f>
        <v>75.0454</v>
      </c>
      <c r="D1506" s="1" t="s">
        <v>1497</v>
      </c>
      <c r="E1506" t="s">
        <v>5614</v>
      </c>
    </row>
    <row r="1507" spans="1:5" x14ac:dyDescent="0.35">
      <c r="A1507" t="str">
        <f>"2015-12-29"</f>
        <v>2015-12-29</v>
      </c>
      <c r="B1507" s="1" t="str">
        <f t="shared" si="23"/>
        <v>12/29/2015</v>
      </c>
      <c r="C1507" t="str">
        <f>"74.4163"</f>
        <v>74.4163</v>
      </c>
      <c r="D1507" s="1" t="s">
        <v>1498</v>
      </c>
      <c r="E1507" t="s">
        <v>5615</v>
      </c>
    </row>
    <row r="1508" spans="1:5" x14ac:dyDescent="0.35">
      <c r="A1508" t="str">
        <f>"2015-12-30"</f>
        <v>2015-12-30</v>
      </c>
      <c r="B1508" s="1" t="str">
        <f t="shared" si="23"/>
        <v>12/30/2015</v>
      </c>
      <c r="C1508" t="str">
        <f>"74.5423"</f>
        <v>74.5423</v>
      </c>
      <c r="D1508" s="1" t="s">
        <v>1499</v>
      </c>
      <c r="E1508" t="s">
        <v>5616</v>
      </c>
    </row>
    <row r="1509" spans="1:5" x14ac:dyDescent="0.35">
      <c r="A1509" t="str">
        <f>"2015-12-31"</f>
        <v>2015-12-31</v>
      </c>
      <c r="B1509" s="1" t="str">
        <f t="shared" si="23"/>
        <v>12/31/2015</v>
      </c>
      <c r="C1509" t="str">
        <f>"74.2384"</f>
        <v>74.2384</v>
      </c>
      <c r="D1509" s="1" t="s">
        <v>1500</v>
      </c>
      <c r="E1509" t="s">
        <v>5617</v>
      </c>
    </row>
    <row r="1510" spans="1:5" x14ac:dyDescent="0.35">
      <c r="A1510" t="str">
        <f>"2016-01-04"</f>
        <v>2016-01-04</v>
      </c>
      <c r="B1510" s="1" t="str">
        <f t="shared" si="23"/>
        <v>01/04/2016</v>
      </c>
      <c r="C1510" t="str">
        <f>"70.8351"</f>
        <v>70.8351</v>
      </c>
      <c r="D1510" s="1" t="s">
        <v>1501</v>
      </c>
      <c r="E1510" t="s">
        <v>5618</v>
      </c>
    </row>
    <row r="1511" spans="1:5" x14ac:dyDescent="0.35">
      <c r="A1511" t="str">
        <f>"2016-01-05"</f>
        <v>2016-01-05</v>
      </c>
      <c r="B1511" s="1" t="str">
        <f t="shared" si="23"/>
        <v>01/05/2016</v>
      </c>
      <c r="C1511" t="str">
        <f>"70.4438"</f>
        <v>70.4438</v>
      </c>
      <c r="D1511" s="1" t="s">
        <v>1502</v>
      </c>
      <c r="E1511" t="s">
        <v>5619</v>
      </c>
    </row>
    <row r="1512" spans="1:5" x14ac:dyDescent="0.35">
      <c r="A1512" t="str">
        <f>"2016-01-06"</f>
        <v>2016-01-06</v>
      </c>
      <c r="B1512" s="1" t="str">
        <f t="shared" si="23"/>
        <v>01/06/2016</v>
      </c>
      <c r="C1512" t="str">
        <f>"68.8037"</f>
        <v>68.8037</v>
      </c>
      <c r="D1512" s="1" t="s">
        <v>1503</v>
      </c>
      <c r="E1512" t="s">
        <v>5620</v>
      </c>
    </row>
    <row r="1513" spans="1:5" x14ac:dyDescent="0.35">
      <c r="A1513" t="str">
        <f>"2016-01-07"</f>
        <v>2016-01-07</v>
      </c>
      <c r="B1513" s="1" t="str">
        <f t="shared" si="23"/>
        <v>01/07/2016</v>
      </c>
      <c r="C1513" t="str">
        <f>"68.4908"</f>
        <v>68.4908</v>
      </c>
      <c r="D1513" s="1" t="s">
        <v>1504</v>
      </c>
      <c r="E1513" t="s">
        <v>5621</v>
      </c>
    </row>
    <row r="1514" spans="1:5" x14ac:dyDescent="0.35">
      <c r="A1514" t="str">
        <f>"2016-01-08"</f>
        <v>2016-01-08</v>
      </c>
      <c r="B1514" s="1" t="str">
        <f t="shared" si="23"/>
        <v>01/08/2016</v>
      </c>
      <c r="C1514" t="str">
        <f>"68.178"</f>
        <v>68.178</v>
      </c>
      <c r="D1514" s="1" t="s">
        <v>1505</v>
      </c>
      <c r="E1514" t="s">
        <v>5622</v>
      </c>
    </row>
    <row r="1515" spans="1:5" x14ac:dyDescent="0.35">
      <c r="A1515" t="str">
        <f>"2016-01-11"</f>
        <v>2016-01-11</v>
      </c>
      <c r="B1515" s="1" t="str">
        <f t="shared" si="23"/>
        <v>01/11/2016</v>
      </c>
      <c r="C1515" t="str">
        <f>"68.1394"</f>
        <v>68.1394</v>
      </c>
      <c r="D1515" s="1" t="s">
        <v>1506</v>
      </c>
      <c r="E1515" t="s">
        <v>5623</v>
      </c>
    </row>
    <row r="1516" spans="1:5" x14ac:dyDescent="0.35">
      <c r="A1516" t="str">
        <f>"2016-01-12"</f>
        <v>2016-01-12</v>
      </c>
      <c r="B1516" s="1" t="str">
        <f t="shared" si="23"/>
        <v>01/12/2016</v>
      </c>
      <c r="C1516" t="str">
        <f>"68.6462"</f>
        <v>68.6462</v>
      </c>
      <c r="D1516" s="1" t="s">
        <v>1507</v>
      </c>
      <c r="E1516" t="s">
        <v>5624</v>
      </c>
    </row>
    <row r="1517" spans="1:5" x14ac:dyDescent="0.35">
      <c r="A1517" t="str">
        <f>"2016-01-13"</f>
        <v>2016-01-13</v>
      </c>
      <c r="B1517" s="1" t="str">
        <f t="shared" si="23"/>
        <v>01/13/2016</v>
      </c>
      <c r="C1517" t="str">
        <f>"69.2393"</f>
        <v>69.2393</v>
      </c>
      <c r="D1517" s="1" t="s">
        <v>1508</v>
      </c>
      <c r="E1517" t="s">
        <v>5625</v>
      </c>
    </row>
    <row r="1518" spans="1:5" x14ac:dyDescent="0.35">
      <c r="A1518" t="str">
        <f>"2016-01-14"</f>
        <v>2016-01-14</v>
      </c>
      <c r="B1518" s="1" t="str">
        <f t="shared" si="23"/>
        <v>01/14/2016</v>
      </c>
      <c r="C1518" t="str">
        <f>"68.8892"</f>
        <v>68.8892</v>
      </c>
      <c r="D1518" s="1" t="s">
        <v>1509</v>
      </c>
      <c r="E1518" t="s">
        <v>5626</v>
      </c>
    </row>
    <row r="1519" spans="1:5" x14ac:dyDescent="0.35">
      <c r="A1519" t="str">
        <f>"2016-01-15"</f>
        <v>2016-01-15</v>
      </c>
      <c r="B1519" s="1" t="str">
        <f t="shared" si="23"/>
        <v>01/15/2016</v>
      </c>
      <c r="C1519" t="str">
        <f>"66.9166"</f>
        <v>66.9166</v>
      </c>
      <c r="D1519" s="1" t="s">
        <v>1510</v>
      </c>
      <c r="E1519" t="s">
        <v>5627</v>
      </c>
    </row>
    <row r="1520" spans="1:5" x14ac:dyDescent="0.35">
      <c r="A1520" t="str">
        <f>"2016-01-19"</f>
        <v>2016-01-19</v>
      </c>
      <c r="B1520" s="1" t="str">
        <f t="shared" si="23"/>
        <v>01/19/2016</v>
      </c>
      <c r="C1520" t="str">
        <f>"67.9871"</f>
        <v>67.9871</v>
      </c>
      <c r="D1520" s="1" t="s">
        <v>1511</v>
      </c>
      <c r="E1520" t="s">
        <v>5628</v>
      </c>
    </row>
    <row r="1521" spans="1:5" x14ac:dyDescent="0.35">
      <c r="A1521" t="str">
        <f>"2016-01-20"</f>
        <v>2016-01-20</v>
      </c>
      <c r="B1521" s="1" t="str">
        <f t="shared" si="23"/>
        <v>01/20/2016</v>
      </c>
      <c r="C1521" t="str">
        <f>"65.2089"</f>
        <v>65.2089</v>
      </c>
      <c r="D1521" s="1" t="s">
        <v>1512</v>
      </c>
      <c r="E1521" t="s">
        <v>5629</v>
      </c>
    </row>
    <row r="1522" spans="1:5" x14ac:dyDescent="0.35">
      <c r="A1522" t="str">
        <f>"2016-01-21"</f>
        <v>2016-01-21</v>
      </c>
      <c r="B1522" s="1" t="str">
        <f t="shared" si="23"/>
        <v>01/21/2016</v>
      </c>
      <c r="C1522" t="str">
        <f>"65.7046"</f>
        <v>65.7046</v>
      </c>
      <c r="D1522" s="1" t="s">
        <v>1513</v>
      </c>
      <c r="E1522" t="s">
        <v>5630</v>
      </c>
    </row>
    <row r="1523" spans="1:5" x14ac:dyDescent="0.35">
      <c r="A1523" t="str">
        <f>"2016-01-22"</f>
        <v>2016-01-22</v>
      </c>
      <c r="B1523" s="1" t="str">
        <f t="shared" si="23"/>
        <v>01/22/2016</v>
      </c>
      <c r="C1523" t="str">
        <f>"66.3601"</f>
        <v>66.3601</v>
      </c>
      <c r="D1523" s="1" t="s">
        <v>1514</v>
      </c>
      <c r="E1523" t="s">
        <v>5631</v>
      </c>
    </row>
    <row r="1524" spans="1:5" x14ac:dyDescent="0.35">
      <c r="A1524" t="str">
        <f>"2016-01-25"</f>
        <v>2016-01-25</v>
      </c>
      <c r="B1524" s="1" t="str">
        <f t="shared" si="23"/>
        <v>01/25/2016</v>
      </c>
      <c r="C1524" t="str">
        <f>"66.6798"</f>
        <v>66.6798</v>
      </c>
      <c r="D1524" s="1" t="s">
        <v>1515</v>
      </c>
      <c r="E1524" t="s">
        <v>5632</v>
      </c>
    </row>
    <row r="1525" spans="1:5" x14ac:dyDescent="0.35">
      <c r="A1525" t="str">
        <f>"2016-01-26"</f>
        <v>2016-01-26</v>
      </c>
      <c r="B1525" s="1" t="str">
        <f t="shared" si="23"/>
        <v>01/26/2016</v>
      </c>
      <c r="C1525" t="str">
        <f>"66.8949"</f>
        <v>66.8949</v>
      </c>
      <c r="D1525" s="1" t="s">
        <v>1516</v>
      </c>
      <c r="E1525" t="s">
        <v>5633</v>
      </c>
    </row>
    <row r="1526" spans="1:5" x14ac:dyDescent="0.35">
      <c r="A1526" t="str">
        <f>"2016-01-27"</f>
        <v>2016-01-27</v>
      </c>
      <c r="B1526" s="1" t="str">
        <f t="shared" si="23"/>
        <v>01/27/2016</v>
      </c>
      <c r="C1526" t="str">
        <f>"67.4741"</f>
        <v>67.4741</v>
      </c>
      <c r="D1526" s="1" t="s">
        <v>1517</v>
      </c>
      <c r="E1526" t="s">
        <v>5634</v>
      </c>
    </row>
    <row r="1527" spans="1:5" x14ac:dyDescent="0.35">
      <c r="A1527" t="str">
        <f>"2016-01-28"</f>
        <v>2016-01-28</v>
      </c>
      <c r="B1527" s="1" t="str">
        <f t="shared" si="23"/>
        <v>01/28/2016</v>
      </c>
      <c r="C1527" t="str">
        <f>"67.214"</f>
        <v>67.214</v>
      </c>
      <c r="D1527" s="1" t="s">
        <v>1518</v>
      </c>
      <c r="E1527" t="s">
        <v>5635</v>
      </c>
    </row>
    <row r="1528" spans="1:5" x14ac:dyDescent="0.35">
      <c r="A1528" t="str">
        <f>"2016-01-29"</f>
        <v>2016-01-29</v>
      </c>
      <c r="B1528" s="1" t="str">
        <f t="shared" si="23"/>
        <v>01/29/2016</v>
      </c>
      <c r="C1528" t="str">
        <f>"68.5839"</f>
        <v>68.5839</v>
      </c>
      <c r="D1528" s="1" t="s">
        <v>1519</v>
      </c>
      <c r="E1528" t="s">
        <v>5636</v>
      </c>
    </row>
    <row r="1529" spans="1:5" x14ac:dyDescent="0.35">
      <c r="A1529" t="str">
        <f>"2016-02-01"</f>
        <v>2016-02-01</v>
      </c>
      <c r="B1529" s="1" t="str">
        <f t="shared" si="23"/>
        <v>02/01/2016</v>
      </c>
      <c r="C1529" t="str">
        <f>"68.0428"</f>
        <v>68.0428</v>
      </c>
      <c r="D1529" s="1" t="s">
        <v>1520</v>
      </c>
      <c r="E1529" t="s">
        <v>5637</v>
      </c>
    </row>
    <row r="1530" spans="1:5" x14ac:dyDescent="0.35">
      <c r="A1530" t="str">
        <f>"2016-02-02"</f>
        <v>2016-02-02</v>
      </c>
      <c r="B1530" s="1" t="str">
        <f t="shared" si="23"/>
        <v>02/02/2016</v>
      </c>
      <c r="C1530" t="str">
        <f>"67.6348"</f>
        <v>67.6348</v>
      </c>
      <c r="D1530" s="1" t="s">
        <v>1521</v>
      </c>
      <c r="E1530" t="s">
        <v>5638</v>
      </c>
    </row>
    <row r="1531" spans="1:5" x14ac:dyDescent="0.35">
      <c r="A1531" t="str">
        <f>"2016-02-03"</f>
        <v>2016-02-03</v>
      </c>
      <c r="B1531" s="1" t="str">
        <f t="shared" si="23"/>
        <v>02/03/2016</v>
      </c>
      <c r="C1531" t="str">
        <f>"66.6397"</f>
        <v>66.6397</v>
      </c>
      <c r="D1531" s="1" t="s">
        <v>1522</v>
      </c>
      <c r="E1531" t="s">
        <v>5639</v>
      </c>
    </row>
    <row r="1532" spans="1:5" x14ac:dyDescent="0.35">
      <c r="A1532" t="str">
        <f>"2016-02-04"</f>
        <v>2016-02-04</v>
      </c>
      <c r="B1532" s="1" t="str">
        <f t="shared" si="23"/>
        <v>02/04/2016</v>
      </c>
      <c r="C1532" t="str">
        <f>"67.2023"</f>
        <v>67.2023</v>
      </c>
      <c r="D1532" s="1" t="s">
        <v>1523</v>
      </c>
      <c r="E1532" t="s">
        <v>5640</v>
      </c>
    </row>
    <row r="1533" spans="1:5" x14ac:dyDescent="0.35">
      <c r="A1533" t="str">
        <f>"2016-02-05"</f>
        <v>2016-02-05</v>
      </c>
      <c r="B1533" s="1" t="str">
        <f t="shared" si="23"/>
        <v>02/05/2016</v>
      </c>
      <c r="C1533" t="str">
        <f>"66.7084"</f>
        <v>66.7084</v>
      </c>
      <c r="D1533" s="1" t="s">
        <v>1524</v>
      </c>
      <c r="E1533" t="s">
        <v>5641</v>
      </c>
    </row>
    <row r="1534" spans="1:5" x14ac:dyDescent="0.35">
      <c r="A1534" t="str">
        <f>"2016-02-08"</f>
        <v>2016-02-08</v>
      </c>
      <c r="B1534" s="1" t="str">
        <f t="shared" si="23"/>
        <v>02/08/2016</v>
      </c>
      <c r="C1534" t="str">
        <f>"61.3849"</f>
        <v>61.3849</v>
      </c>
      <c r="D1534" s="1" t="s">
        <v>1525</v>
      </c>
      <c r="E1534" t="s">
        <v>5642</v>
      </c>
    </row>
    <row r="1535" spans="1:5" x14ac:dyDescent="0.35">
      <c r="A1535" t="str">
        <f>"2016-02-09"</f>
        <v>2016-02-09</v>
      </c>
      <c r="B1535" s="1" t="str">
        <f t="shared" si="23"/>
        <v>02/09/2016</v>
      </c>
      <c r="C1535" t="str">
        <f>"60.1589"</f>
        <v>60.1589</v>
      </c>
      <c r="D1535" s="1" t="s">
        <v>1526</v>
      </c>
      <c r="E1535" t="s">
        <v>5643</v>
      </c>
    </row>
    <row r="1536" spans="1:5" x14ac:dyDescent="0.35">
      <c r="A1536" t="str">
        <f>"2016-02-10"</f>
        <v>2016-02-10</v>
      </c>
      <c r="B1536" s="1" t="str">
        <f t="shared" si="23"/>
        <v>02/10/2016</v>
      </c>
      <c r="C1536" t="str">
        <f>"60.9649"</f>
        <v>60.9649</v>
      </c>
      <c r="D1536" s="1" t="s">
        <v>1527</v>
      </c>
      <c r="E1536" t="s">
        <v>5644</v>
      </c>
    </row>
    <row r="1537" spans="1:5" x14ac:dyDescent="0.35">
      <c r="A1537" t="str">
        <f>"2016-02-11"</f>
        <v>2016-02-11</v>
      </c>
      <c r="B1537" s="1" t="str">
        <f t="shared" si="23"/>
        <v>02/11/2016</v>
      </c>
      <c r="C1537" t="str">
        <f>"57.9763"</f>
        <v>57.9763</v>
      </c>
      <c r="D1537" s="1" t="s">
        <v>1528</v>
      </c>
      <c r="E1537" t="s">
        <v>5645</v>
      </c>
    </row>
    <row r="1538" spans="1:5" x14ac:dyDescent="0.35">
      <c r="A1538" t="str">
        <f>"2016-02-12"</f>
        <v>2016-02-12</v>
      </c>
      <c r="B1538" s="1" t="str">
        <f t="shared" si="23"/>
        <v>02/12/2016</v>
      </c>
      <c r="C1538" t="str">
        <f>"57.0438"</f>
        <v>57.0438</v>
      </c>
      <c r="D1538" s="1" t="s">
        <v>1529</v>
      </c>
      <c r="E1538" t="s">
        <v>5646</v>
      </c>
    </row>
    <row r="1539" spans="1:5" x14ac:dyDescent="0.35">
      <c r="A1539" t="str">
        <f>"2016-02-16"</f>
        <v>2016-02-16</v>
      </c>
      <c r="B1539" s="1" t="str">
        <f t="shared" ref="B1539:B1602" si="24">LEFT(RIGHT(A1539,5),2)&amp;"/"&amp;RIGHT(A1539,2)&amp;"/"&amp;LEFT(A1539,4)</f>
        <v>02/16/2016</v>
      </c>
      <c r="C1539" t="str">
        <f>"57.8688"</f>
        <v>57.8688</v>
      </c>
      <c r="D1539" s="1" t="s">
        <v>1530</v>
      </c>
      <c r="E1539" t="s">
        <v>5647</v>
      </c>
    </row>
    <row r="1540" spans="1:5" x14ac:dyDescent="0.35">
      <c r="A1540" t="str">
        <f>"2016-02-17"</f>
        <v>2016-02-17</v>
      </c>
      <c r="B1540" s="1" t="str">
        <f t="shared" si="24"/>
        <v>02/17/2016</v>
      </c>
      <c r="C1540" t="str">
        <f>"58.9346"</f>
        <v>58.9346</v>
      </c>
      <c r="D1540" s="1" t="s">
        <v>1531</v>
      </c>
      <c r="E1540" t="s">
        <v>5648</v>
      </c>
    </row>
    <row r="1541" spans="1:5" x14ac:dyDescent="0.35">
      <c r="A1541" t="str">
        <f>"2016-02-18"</f>
        <v>2016-02-18</v>
      </c>
      <c r="B1541" s="1" t="str">
        <f t="shared" si="24"/>
        <v>02/18/2016</v>
      </c>
      <c r="C1541" t="str">
        <f>"59.4941"</f>
        <v>59.4941</v>
      </c>
      <c r="D1541" s="1" t="s">
        <v>1532</v>
      </c>
      <c r="E1541" t="s">
        <v>5649</v>
      </c>
    </row>
    <row r="1542" spans="1:5" x14ac:dyDescent="0.35">
      <c r="A1542" t="str">
        <f>"2016-02-19"</f>
        <v>2016-02-19</v>
      </c>
      <c r="B1542" s="1" t="str">
        <f t="shared" si="24"/>
        <v>02/19/2016</v>
      </c>
      <c r="C1542" t="str">
        <f>"58.347"</f>
        <v>58.347</v>
      </c>
      <c r="D1542" s="1" t="s">
        <v>1533</v>
      </c>
      <c r="E1542" t="s">
        <v>5650</v>
      </c>
    </row>
    <row r="1543" spans="1:5" x14ac:dyDescent="0.35">
      <c r="A1543" t="str">
        <f>"2016-02-22"</f>
        <v>2016-02-22</v>
      </c>
      <c r="B1543" s="1" t="str">
        <f t="shared" si="24"/>
        <v>02/22/2016</v>
      </c>
      <c r="C1543" t="str">
        <f>"61.7855"</f>
        <v>61.7855</v>
      </c>
      <c r="D1543" s="1" t="s">
        <v>1534</v>
      </c>
      <c r="E1543" t="s">
        <v>5651</v>
      </c>
    </row>
    <row r="1544" spans="1:5" x14ac:dyDescent="0.35">
      <c r="A1544" t="str">
        <f>"2016-02-23"</f>
        <v>2016-02-23</v>
      </c>
      <c r="B1544" s="1" t="str">
        <f t="shared" si="24"/>
        <v>02/23/2016</v>
      </c>
      <c r="C1544" t="str">
        <f>"62.0841"</f>
        <v>62.0841</v>
      </c>
      <c r="D1544" s="1" t="s">
        <v>1535</v>
      </c>
      <c r="E1544" t="s">
        <v>5652</v>
      </c>
    </row>
    <row r="1545" spans="1:5" x14ac:dyDescent="0.35">
      <c r="A1545" t="str">
        <f>"2016-02-24"</f>
        <v>2016-02-24</v>
      </c>
      <c r="B1545" s="1" t="str">
        <f t="shared" si="24"/>
        <v>02/24/2016</v>
      </c>
      <c r="C1545" t="str">
        <f>"59.252"</f>
        <v>59.252</v>
      </c>
      <c r="D1545" s="1" t="s">
        <v>1536</v>
      </c>
      <c r="E1545" t="s">
        <v>5653</v>
      </c>
    </row>
    <row r="1546" spans="1:5" x14ac:dyDescent="0.35">
      <c r="A1546" t="str">
        <f>"2016-02-25"</f>
        <v>2016-02-25</v>
      </c>
      <c r="B1546" s="1" t="str">
        <f t="shared" si="24"/>
        <v>02/25/2016</v>
      </c>
      <c r="C1546" t="str">
        <f>"60.7483"</f>
        <v>60.7483</v>
      </c>
      <c r="D1546" s="1" t="s">
        <v>1537</v>
      </c>
      <c r="E1546" t="s">
        <v>5654</v>
      </c>
    </row>
    <row r="1547" spans="1:5" x14ac:dyDescent="0.35">
      <c r="A1547" t="str">
        <f>"2016-02-26"</f>
        <v>2016-02-26</v>
      </c>
      <c r="B1547" s="1" t="str">
        <f t="shared" si="24"/>
        <v>02/26/2016</v>
      </c>
      <c r="C1547" t="str">
        <f>"62.1175"</f>
        <v>62.1175</v>
      </c>
      <c r="D1547" s="1" t="s">
        <v>1538</v>
      </c>
      <c r="E1547" t="s">
        <v>5655</v>
      </c>
    </row>
    <row r="1548" spans="1:5" x14ac:dyDescent="0.35">
      <c r="A1548" t="str">
        <f>"2016-02-29"</f>
        <v>2016-02-29</v>
      </c>
      <c r="B1548" s="1" t="str">
        <f t="shared" si="24"/>
        <v>02/29/2016</v>
      </c>
      <c r="C1548" t="str">
        <f>"61.7543"</f>
        <v>61.7543</v>
      </c>
      <c r="D1548" s="1" t="s">
        <v>1539</v>
      </c>
      <c r="E1548" t="s">
        <v>5656</v>
      </c>
    </row>
    <row r="1549" spans="1:5" x14ac:dyDescent="0.35">
      <c r="A1549" t="str">
        <f>"2016-03-01"</f>
        <v>2016-03-01</v>
      </c>
      <c r="B1549" s="1" t="str">
        <f t="shared" si="24"/>
        <v>03/01/2016</v>
      </c>
      <c r="C1549" t="str">
        <f>"63.5668"</f>
        <v>63.5668</v>
      </c>
      <c r="D1549" s="1" t="s">
        <v>1540</v>
      </c>
      <c r="E1549" t="s">
        <v>5657</v>
      </c>
    </row>
    <row r="1550" spans="1:5" x14ac:dyDescent="0.35">
      <c r="A1550" t="str">
        <f>"2016-03-02"</f>
        <v>2016-03-02</v>
      </c>
      <c r="B1550" s="1" t="str">
        <f t="shared" si="24"/>
        <v>03/02/2016</v>
      </c>
      <c r="C1550" t="str">
        <f>"63.7956"</f>
        <v>63.7956</v>
      </c>
      <c r="D1550" s="1" t="s">
        <v>1541</v>
      </c>
      <c r="E1550" t="s">
        <v>5658</v>
      </c>
    </row>
    <row r="1551" spans="1:5" x14ac:dyDescent="0.35">
      <c r="A1551" t="str">
        <f>"2016-03-03"</f>
        <v>2016-03-03</v>
      </c>
      <c r="B1551" s="1" t="str">
        <f t="shared" si="24"/>
        <v>03/03/2016</v>
      </c>
      <c r="C1551" t="str">
        <f>"62.7464"</f>
        <v>62.7464</v>
      </c>
      <c r="D1551" s="1" t="s">
        <v>1542</v>
      </c>
      <c r="E1551" t="s">
        <v>5659</v>
      </c>
    </row>
    <row r="1552" spans="1:5" x14ac:dyDescent="0.35">
      <c r="A1552" t="str">
        <f>"2016-03-04"</f>
        <v>2016-03-04</v>
      </c>
      <c r="B1552" s="1" t="str">
        <f t="shared" si="24"/>
        <v>03/04/2016</v>
      </c>
      <c r="C1552" t="str">
        <f>"64.2208"</f>
        <v>64.2208</v>
      </c>
      <c r="D1552" s="1" t="s">
        <v>1543</v>
      </c>
      <c r="E1552" t="s">
        <v>5660</v>
      </c>
    </row>
    <row r="1553" spans="1:5" x14ac:dyDescent="0.35">
      <c r="A1553" t="str">
        <f>"2016-03-07"</f>
        <v>2016-03-07</v>
      </c>
      <c r="B1553" s="1" t="str">
        <f t="shared" si="24"/>
        <v>03/07/2016</v>
      </c>
      <c r="C1553" t="str">
        <f>"64.505"</f>
        <v>64.505</v>
      </c>
      <c r="D1553" s="1" t="s">
        <v>1544</v>
      </c>
      <c r="E1553" t="s">
        <v>5661</v>
      </c>
    </row>
    <row r="1554" spans="1:5" x14ac:dyDescent="0.35">
      <c r="A1554" t="str">
        <f>"2016-03-08"</f>
        <v>2016-03-08</v>
      </c>
      <c r="B1554" s="1" t="str">
        <f t="shared" si="24"/>
        <v>03/08/2016</v>
      </c>
      <c r="C1554" t="str">
        <f>"63.9902"</f>
        <v>63.9902</v>
      </c>
      <c r="D1554" s="1" t="s">
        <v>1545</v>
      </c>
      <c r="E1554" t="s">
        <v>5662</v>
      </c>
    </row>
    <row r="1555" spans="1:5" x14ac:dyDescent="0.35">
      <c r="A1555" t="str">
        <f>"2016-03-09"</f>
        <v>2016-03-09</v>
      </c>
      <c r="B1555" s="1" t="str">
        <f t="shared" si="24"/>
        <v>03/09/2016</v>
      </c>
      <c r="C1555" t="str">
        <f>"65.3705"</f>
        <v>65.3705</v>
      </c>
      <c r="D1555" s="1" t="s">
        <v>1546</v>
      </c>
      <c r="E1555" t="s">
        <v>5663</v>
      </c>
    </row>
    <row r="1556" spans="1:5" x14ac:dyDescent="0.35">
      <c r="A1556" t="str">
        <f>"2016-03-10"</f>
        <v>2016-03-10</v>
      </c>
      <c r="B1556" s="1" t="str">
        <f t="shared" si="24"/>
        <v>03/10/2016</v>
      </c>
      <c r="C1556" t="str">
        <f>"64.236"</f>
        <v>64.236</v>
      </c>
      <c r="D1556" s="1" t="s">
        <v>1547</v>
      </c>
      <c r="E1556" t="s">
        <v>5664</v>
      </c>
    </row>
    <row r="1557" spans="1:5" x14ac:dyDescent="0.35">
      <c r="A1557" t="str">
        <f>"2016-03-11"</f>
        <v>2016-03-11</v>
      </c>
      <c r="B1557" s="1" t="str">
        <f t="shared" si="24"/>
        <v>03/11/2016</v>
      </c>
      <c r="C1557" t="str">
        <f>"66.5838"</f>
        <v>66.5838</v>
      </c>
      <c r="D1557" s="1" t="s">
        <v>1548</v>
      </c>
      <c r="E1557" t="s">
        <v>5665</v>
      </c>
    </row>
    <row r="1558" spans="1:5" x14ac:dyDescent="0.35">
      <c r="A1558" t="str">
        <f>"2016-03-14"</f>
        <v>2016-03-14</v>
      </c>
      <c r="B1558" s="1" t="str">
        <f t="shared" si="24"/>
        <v>03/14/2016</v>
      </c>
      <c r="C1558" t="str">
        <f>"68.8446"</f>
        <v>68.8446</v>
      </c>
      <c r="D1558" s="1" t="s">
        <v>1549</v>
      </c>
      <c r="E1558" t="s">
        <v>5666</v>
      </c>
    </row>
    <row r="1559" spans="1:5" x14ac:dyDescent="0.35">
      <c r="A1559" t="str">
        <f>"2016-03-15"</f>
        <v>2016-03-15</v>
      </c>
      <c r="B1559" s="1" t="str">
        <f t="shared" si="24"/>
        <v>03/15/2016</v>
      </c>
      <c r="C1559" t="str">
        <f>"67.4506"</f>
        <v>67.4506</v>
      </c>
      <c r="D1559" s="1" t="s">
        <v>1550</v>
      </c>
      <c r="E1559" t="s">
        <v>5667</v>
      </c>
    </row>
    <row r="1560" spans="1:5" x14ac:dyDescent="0.35">
      <c r="A1560" t="str">
        <f>"2016-03-16"</f>
        <v>2016-03-16</v>
      </c>
      <c r="B1560" s="1" t="str">
        <f t="shared" si="24"/>
        <v>03/16/2016</v>
      </c>
      <c r="C1560" t="str">
        <f>"67.6899"</f>
        <v>67.6899</v>
      </c>
      <c r="D1560" s="1" t="s">
        <v>1551</v>
      </c>
      <c r="E1560" t="s">
        <v>5668</v>
      </c>
    </row>
    <row r="1561" spans="1:5" x14ac:dyDescent="0.35">
      <c r="A1561" t="str">
        <f>"2016-03-17"</f>
        <v>2016-03-17</v>
      </c>
      <c r="B1561" s="1" t="str">
        <f t="shared" si="24"/>
        <v>03/17/2016</v>
      </c>
      <c r="C1561" t="str">
        <f>"67.2132"</f>
        <v>67.2132</v>
      </c>
      <c r="D1561" s="1" t="s">
        <v>1552</v>
      </c>
      <c r="E1561" t="s">
        <v>5669</v>
      </c>
    </row>
    <row r="1562" spans="1:5" x14ac:dyDescent="0.35">
      <c r="A1562" t="str">
        <f>"2016-03-18"</f>
        <v>2016-03-18</v>
      </c>
      <c r="B1562" s="1" t="str">
        <f t="shared" si="24"/>
        <v>03/18/2016</v>
      </c>
      <c r="C1562" t="str">
        <f>"69.0386"</f>
        <v>69.0386</v>
      </c>
      <c r="D1562" s="1" t="s">
        <v>1553</v>
      </c>
      <c r="E1562" t="s">
        <v>5670</v>
      </c>
    </row>
    <row r="1563" spans="1:5" x14ac:dyDescent="0.35">
      <c r="A1563" t="str">
        <f>"2016-03-21"</f>
        <v>2016-03-21</v>
      </c>
      <c r="B1563" s="1" t="str">
        <f t="shared" si="24"/>
        <v>03/21/2016</v>
      </c>
      <c r="C1563" t="str">
        <f>"69.3535"</f>
        <v>69.3535</v>
      </c>
      <c r="D1563" s="1" t="s">
        <v>1554</v>
      </c>
      <c r="E1563" t="s">
        <v>5671</v>
      </c>
    </row>
    <row r="1564" spans="1:5" x14ac:dyDescent="0.35">
      <c r="A1564" t="str">
        <f>"2016-03-22"</f>
        <v>2016-03-22</v>
      </c>
      <c r="B1564" s="1" t="str">
        <f t="shared" si="24"/>
        <v>03/22/2016</v>
      </c>
      <c r="C1564" t="str">
        <f>"65.9722"</f>
        <v>65.9722</v>
      </c>
      <c r="D1564" s="1" t="s">
        <v>1555</v>
      </c>
      <c r="E1564" t="s">
        <v>5672</v>
      </c>
    </row>
    <row r="1565" spans="1:5" x14ac:dyDescent="0.35">
      <c r="A1565" t="str">
        <f>"2016-03-23"</f>
        <v>2016-03-23</v>
      </c>
      <c r="B1565" s="1" t="str">
        <f t="shared" si="24"/>
        <v>03/23/2016</v>
      </c>
      <c r="C1565" t="str">
        <f>"66.563"</f>
        <v>66.563</v>
      </c>
      <c r="D1565" s="1" t="s">
        <v>1556</v>
      </c>
      <c r="E1565" t="s">
        <v>5673</v>
      </c>
    </row>
    <row r="1566" spans="1:5" x14ac:dyDescent="0.35">
      <c r="A1566" t="str">
        <f>"2016-03-24"</f>
        <v>2016-03-24</v>
      </c>
      <c r="B1566" s="1" t="str">
        <f t="shared" si="24"/>
        <v>03/24/2016</v>
      </c>
      <c r="C1566" t="str">
        <f>"67.3952"</f>
        <v>67.3952</v>
      </c>
      <c r="D1566" s="1" t="s">
        <v>1557</v>
      </c>
      <c r="E1566" t="s">
        <v>5674</v>
      </c>
    </row>
    <row r="1567" spans="1:5" x14ac:dyDescent="0.35">
      <c r="A1567" t="str">
        <f>"2016-03-28"</f>
        <v>2016-03-28</v>
      </c>
      <c r="B1567" s="1" t="str">
        <f t="shared" si="24"/>
        <v>03/28/2016</v>
      </c>
      <c r="C1567" t="str">
        <f>"67.5947"</f>
        <v>67.5947</v>
      </c>
      <c r="D1567" s="1" t="s">
        <v>1558</v>
      </c>
      <c r="E1567" t="s">
        <v>5675</v>
      </c>
    </row>
    <row r="1568" spans="1:5" x14ac:dyDescent="0.35">
      <c r="A1568" t="str">
        <f>"2016-03-29"</f>
        <v>2016-03-29</v>
      </c>
      <c r="B1568" s="1" t="str">
        <f t="shared" si="24"/>
        <v>03/29/2016</v>
      </c>
      <c r="C1568" t="str">
        <f>"66.9615"</f>
        <v>66.9615</v>
      </c>
      <c r="D1568" s="1" t="s">
        <v>1559</v>
      </c>
      <c r="E1568" t="s">
        <v>5676</v>
      </c>
    </row>
    <row r="1569" spans="1:5" x14ac:dyDescent="0.35">
      <c r="A1569" t="str">
        <f>"2016-03-30"</f>
        <v>2016-03-30</v>
      </c>
      <c r="B1569" s="1" t="str">
        <f t="shared" si="24"/>
        <v>03/30/2016</v>
      </c>
      <c r="C1569" t="str">
        <f>"69.3487"</f>
        <v>69.3487</v>
      </c>
      <c r="D1569" s="1" t="s">
        <v>1560</v>
      </c>
      <c r="E1569" t="s">
        <v>5677</v>
      </c>
    </row>
    <row r="1570" spans="1:5" x14ac:dyDescent="0.35">
      <c r="A1570" t="str">
        <f>"2016-03-31"</f>
        <v>2016-03-31</v>
      </c>
      <c r="B1570" s="1" t="str">
        <f t="shared" si="24"/>
        <v>03/31/2016</v>
      </c>
      <c r="C1570" t="str">
        <f>"69.2968"</f>
        <v>69.2968</v>
      </c>
      <c r="D1570" s="1" t="s">
        <v>1561</v>
      </c>
      <c r="E1570" t="s">
        <v>5678</v>
      </c>
    </row>
    <row r="1571" spans="1:5" x14ac:dyDescent="0.35">
      <c r="A1571" t="str">
        <f>"2016-04-01"</f>
        <v>2016-04-01</v>
      </c>
      <c r="B1571" s="1" t="str">
        <f t="shared" si="24"/>
        <v>04/01/2016</v>
      </c>
      <c r="C1571" t="str">
        <f>"69.745"</f>
        <v>69.745</v>
      </c>
      <c r="D1571" s="1" t="s">
        <v>1562</v>
      </c>
      <c r="E1571" t="s">
        <v>5679</v>
      </c>
    </row>
    <row r="1572" spans="1:5" x14ac:dyDescent="0.35">
      <c r="A1572" t="str">
        <f>"2016-04-04"</f>
        <v>2016-04-04</v>
      </c>
      <c r="B1572" s="1" t="str">
        <f t="shared" si="24"/>
        <v>04/04/2016</v>
      </c>
      <c r="C1572" t="str">
        <f>"70.9197"</f>
        <v>70.9197</v>
      </c>
      <c r="D1572" s="1" t="s">
        <v>1563</v>
      </c>
      <c r="E1572" t="s">
        <v>5680</v>
      </c>
    </row>
    <row r="1573" spans="1:5" x14ac:dyDescent="0.35">
      <c r="A1573" t="str">
        <f>"2016-04-05"</f>
        <v>2016-04-05</v>
      </c>
      <c r="B1573" s="1" t="str">
        <f t="shared" si="24"/>
        <v>04/05/2016</v>
      </c>
      <c r="C1573" t="str">
        <f>"70.3433"</f>
        <v>70.3433</v>
      </c>
      <c r="D1573" s="1" t="s">
        <v>1564</v>
      </c>
      <c r="E1573" t="s">
        <v>5681</v>
      </c>
    </row>
    <row r="1574" spans="1:5" x14ac:dyDescent="0.35">
      <c r="A1574" t="str">
        <f>"2016-04-06"</f>
        <v>2016-04-06</v>
      </c>
      <c r="B1574" s="1" t="str">
        <f t="shared" si="24"/>
        <v>04/06/2016</v>
      </c>
      <c r="C1574" t="str">
        <f>"68.5087"</f>
        <v>68.5087</v>
      </c>
      <c r="D1574" s="1" t="s">
        <v>1565</v>
      </c>
      <c r="E1574" t="s">
        <v>5682</v>
      </c>
    </row>
    <row r="1575" spans="1:5" x14ac:dyDescent="0.35">
      <c r="A1575" t="str">
        <f>"2016-04-07"</f>
        <v>2016-04-07</v>
      </c>
      <c r="B1575" s="1" t="str">
        <f t="shared" si="24"/>
        <v>04/07/2016</v>
      </c>
      <c r="C1575" t="str">
        <f>"66.6444"</f>
        <v>66.6444</v>
      </c>
      <c r="D1575" s="1" t="s">
        <v>1566</v>
      </c>
      <c r="E1575" t="s">
        <v>5683</v>
      </c>
    </row>
    <row r="1576" spans="1:5" x14ac:dyDescent="0.35">
      <c r="A1576" t="str">
        <f>"2016-04-08"</f>
        <v>2016-04-08</v>
      </c>
      <c r="B1576" s="1" t="str">
        <f t="shared" si="24"/>
        <v>04/08/2016</v>
      </c>
      <c r="C1576" t="str">
        <f>"65.9959"</f>
        <v>65.9959</v>
      </c>
      <c r="D1576" s="1" t="s">
        <v>1567</v>
      </c>
      <c r="E1576" t="s">
        <v>5684</v>
      </c>
    </row>
    <row r="1577" spans="1:5" x14ac:dyDescent="0.35">
      <c r="A1577" t="str">
        <f>"2016-04-11"</f>
        <v>2016-04-11</v>
      </c>
      <c r="B1577" s="1" t="str">
        <f t="shared" si="24"/>
        <v>04/11/2016</v>
      </c>
      <c r="C1577" t="str">
        <f>"67.0514"</f>
        <v>67.0514</v>
      </c>
      <c r="D1577" s="1" t="s">
        <v>1568</v>
      </c>
      <c r="E1577" t="s">
        <v>5685</v>
      </c>
    </row>
    <row r="1578" spans="1:5" x14ac:dyDescent="0.35">
      <c r="A1578" t="str">
        <f>"2016-04-12"</f>
        <v>2016-04-12</v>
      </c>
      <c r="B1578" s="1" t="str">
        <f t="shared" si="24"/>
        <v>04/12/2016</v>
      </c>
      <c r="C1578" t="str">
        <f>"66.6384"</f>
        <v>66.6384</v>
      </c>
      <c r="D1578" s="1" t="s">
        <v>1569</v>
      </c>
      <c r="E1578" t="s">
        <v>5686</v>
      </c>
    </row>
    <row r="1579" spans="1:5" x14ac:dyDescent="0.35">
      <c r="A1579" t="str">
        <f>"2016-04-13"</f>
        <v>2016-04-13</v>
      </c>
      <c r="B1579" s="1" t="str">
        <f t="shared" si="24"/>
        <v>04/13/2016</v>
      </c>
      <c r="C1579" t="str">
        <f>"68.1588"</f>
        <v>68.1588</v>
      </c>
      <c r="D1579" s="1" t="s">
        <v>1570</v>
      </c>
      <c r="E1579" t="s">
        <v>5687</v>
      </c>
    </row>
    <row r="1580" spans="1:5" x14ac:dyDescent="0.35">
      <c r="A1580" t="str">
        <f>"2016-04-14"</f>
        <v>2016-04-14</v>
      </c>
      <c r="B1580" s="1" t="str">
        <f t="shared" si="24"/>
        <v>04/14/2016</v>
      </c>
      <c r="C1580" t="str">
        <f>"68.8284"</f>
        <v>68.8284</v>
      </c>
      <c r="D1580" s="1" t="s">
        <v>1571</v>
      </c>
      <c r="E1580" t="s">
        <v>5688</v>
      </c>
    </row>
    <row r="1581" spans="1:5" x14ac:dyDescent="0.35">
      <c r="A1581" t="str">
        <f>"2016-04-15"</f>
        <v>2016-04-15</v>
      </c>
      <c r="B1581" s="1" t="str">
        <f t="shared" si="24"/>
        <v>04/15/2016</v>
      </c>
      <c r="C1581" t="str">
        <f>"67.0016"</f>
        <v>67.0016</v>
      </c>
      <c r="D1581" s="1" t="s">
        <v>1572</v>
      </c>
      <c r="E1581" t="s">
        <v>5689</v>
      </c>
    </row>
    <row r="1582" spans="1:5" x14ac:dyDescent="0.35">
      <c r="A1582" t="str">
        <f>"2016-04-18"</f>
        <v>2016-04-18</v>
      </c>
      <c r="B1582" s="1" t="str">
        <f t="shared" si="24"/>
        <v>04/18/2016</v>
      </c>
      <c r="C1582" t="str">
        <f>"66.8238"</f>
        <v>66.8238</v>
      </c>
      <c r="D1582" s="1" t="s">
        <v>1573</v>
      </c>
      <c r="E1582" t="s">
        <v>5690</v>
      </c>
    </row>
    <row r="1583" spans="1:5" x14ac:dyDescent="0.35">
      <c r="A1583" t="str">
        <f>"2016-04-19"</f>
        <v>2016-04-19</v>
      </c>
      <c r="B1583" s="1" t="str">
        <f t="shared" si="24"/>
        <v>04/19/2016</v>
      </c>
      <c r="C1583" t="str">
        <f>"65.5977"</f>
        <v>65.5977</v>
      </c>
      <c r="D1583" s="1" t="s">
        <v>1574</v>
      </c>
      <c r="E1583" t="s">
        <v>5691</v>
      </c>
    </row>
    <row r="1584" spans="1:5" x14ac:dyDescent="0.35">
      <c r="A1584" t="str">
        <f>"2016-04-20"</f>
        <v>2016-04-20</v>
      </c>
      <c r="B1584" s="1" t="str">
        <f t="shared" si="24"/>
        <v>04/20/2016</v>
      </c>
      <c r="C1584" t="str">
        <f>"61.3027"</f>
        <v>61.3027</v>
      </c>
      <c r="D1584" s="1" t="s">
        <v>1575</v>
      </c>
      <c r="E1584" t="s">
        <v>5692</v>
      </c>
    </row>
    <row r="1585" spans="1:5" x14ac:dyDescent="0.35">
      <c r="A1585" t="str">
        <f>"2016-04-21"</f>
        <v>2016-04-21</v>
      </c>
      <c r="B1585" s="1" t="str">
        <f t="shared" si="24"/>
        <v>04/21/2016</v>
      </c>
      <c r="C1585" t="str">
        <f>"61.2283"</f>
        <v>61.2283</v>
      </c>
      <c r="D1585" s="1" t="s">
        <v>1576</v>
      </c>
      <c r="E1585" t="s">
        <v>5693</v>
      </c>
    </row>
    <row r="1586" spans="1:5" x14ac:dyDescent="0.35">
      <c r="A1586" t="str">
        <f>"2016-04-22"</f>
        <v>2016-04-22</v>
      </c>
      <c r="B1586" s="1" t="str">
        <f t="shared" si="24"/>
        <v>04/22/2016</v>
      </c>
      <c r="C1586" t="str">
        <f>"62.9478"</f>
        <v>62.9478</v>
      </c>
      <c r="D1586" s="1" t="s">
        <v>1577</v>
      </c>
      <c r="E1586" t="s">
        <v>5694</v>
      </c>
    </row>
    <row r="1587" spans="1:5" x14ac:dyDescent="0.35">
      <c r="A1587" t="str">
        <f>"2016-04-25"</f>
        <v>2016-04-25</v>
      </c>
      <c r="B1587" s="1" t="str">
        <f t="shared" si="24"/>
        <v>04/25/2016</v>
      </c>
      <c r="C1587" t="str">
        <f>"61.1446"</f>
        <v>61.1446</v>
      </c>
      <c r="D1587" s="1" t="s">
        <v>1578</v>
      </c>
      <c r="E1587" t="s">
        <v>5695</v>
      </c>
    </row>
    <row r="1588" spans="1:5" x14ac:dyDescent="0.35">
      <c r="A1588" t="str">
        <f>"2016-04-26"</f>
        <v>2016-04-26</v>
      </c>
      <c r="B1588" s="1" t="str">
        <f t="shared" si="24"/>
        <v>04/26/2016</v>
      </c>
      <c r="C1588" t="str">
        <f>"61.3819"</f>
        <v>61.3819</v>
      </c>
      <c r="D1588" s="1" t="s">
        <v>1579</v>
      </c>
      <c r="E1588" t="s">
        <v>5696</v>
      </c>
    </row>
    <row r="1589" spans="1:5" x14ac:dyDescent="0.35">
      <c r="A1589" t="str">
        <f>"2016-04-27"</f>
        <v>2016-04-27</v>
      </c>
      <c r="B1589" s="1" t="str">
        <f t="shared" si="24"/>
        <v>04/27/2016</v>
      </c>
      <c r="C1589" t="str">
        <f>"61.9934"</f>
        <v>61.9934</v>
      </c>
      <c r="D1589" s="1" t="s">
        <v>1580</v>
      </c>
      <c r="E1589" t="s">
        <v>5697</v>
      </c>
    </row>
    <row r="1590" spans="1:5" x14ac:dyDescent="0.35">
      <c r="A1590" t="str">
        <f>"2016-04-28"</f>
        <v>2016-04-28</v>
      </c>
      <c r="B1590" s="1" t="str">
        <f t="shared" si="24"/>
        <v>04/28/2016</v>
      </c>
      <c r="C1590" t="str">
        <f>"60.9833"</f>
        <v>60.9833</v>
      </c>
      <c r="D1590" s="1" t="s">
        <v>1581</v>
      </c>
      <c r="E1590" t="s">
        <v>5698</v>
      </c>
    </row>
    <row r="1591" spans="1:5" x14ac:dyDescent="0.35">
      <c r="A1591" t="str">
        <f>"2016-04-29"</f>
        <v>2016-04-29</v>
      </c>
      <c r="B1591" s="1" t="str">
        <f t="shared" si="24"/>
        <v>04/29/2016</v>
      </c>
      <c r="C1591" t="str">
        <f>"59.2189"</f>
        <v>59.2189</v>
      </c>
      <c r="D1591" s="1" t="s">
        <v>1582</v>
      </c>
      <c r="E1591" t="s">
        <v>5699</v>
      </c>
    </row>
    <row r="1592" spans="1:5" x14ac:dyDescent="0.35">
      <c r="A1592" t="str">
        <f>"2016-05-02"</f>
        <v>2016-05-02</v>
      </c>
      <c r="B1592" s="1" t="str">
        <f t="shared" si="24"/>
        <v>05/02/2016</v>
      </c>
      <c r="C1592" t="str">
        <f>"58.846"</f>
        <v>58.846</v>
      </c>
      <c r="D1592" s="1" t="s">
        <v>1583</v>
      </c>
      <c r="E1592" t="s">
        <v>5700</v>
      </c>
    </row>
    <row r="1593" spans="1:5" x14ac:dyDescent="0.35">
      <c r="A1593" t="str">
        <f>"2016-05-03"</f>
        <v>2016-05-03</v>
      </c>
      <c r="B1593" s="1" t="str">
        <f t="shared" si="24"/>
        <v>05/03/2016</v>
      </c>
      <c r="C1593" t="str">
        <f>"56.8179"</f>
        <v>56.8179</v>
      </c>
      <c r="D1593" s="1" t="s">
        <v>1584</v>
      </c>
      <c r="E1593" t="s">
        <v>5701</v>
      </c>
    </row>
    <row r="1594" spans="1:5" x14ac:dyDescent="0.35">
      <c r="A1594" t="str">
        <f>"2016-05-04"</f>
        <v>2016-05-04</v>
      </c>
      <c r="B1594" s="1" t="str">
        <f t="shared" si="24"/>
        <v>05/04/2016</v>
      </c>
      <c r="C1594" t="str">
        <f>"57.5279"</f>
        <v>57.5279</v>
      </c>
      <c r="D1594" s="1" t="s">
        <v>1585</v>
      </c>
      <c r="E1594" t="s">
        <v>5702</v>
      </c>
    </row>
    <row r="1595" spans="1:5" x14ac:dyDescent="0.35">
      <c r="A1595" t="str">
        <f>"2016-05-05"</f>
        <v>2016-05-05</v>
      </c>
      <c r="B1595" s="1" t="str">
        <f t="shared" si="24"/>
        <v>05/05/2016</v>
      </c>
      <c r="C1595" t="str">
        <f>"55.0664"</f>
        <v>55.0664</v>
      </c>
      <c r="D1595" s="1" t="s">
        <v>1586</v>
      </c>
      <c r="E1595" t="s">
        <v>5703</v>
      </c>
    </row>
    <row r="1596" spans="1:5" x14ac:dyDescent="0.35">
      <c r="A1596" t="str">
        <f>"2016-05-06"</f>
        <v>2016-05-06</v>
      </c>
      <c r="B1596" s="1" t="str">
        <f t="shared" si="24"/>
        <v>05/06/2016</v>
      </c>
      <c r="C1596" t="str">
        <f>"54.6367"</f>
        <v>54.6367</v>
      </c>
      <c r="D1596" s="1" t="s">
        <v>1587</v>
      </c>
      <c r="E1596" t="s">
        <v>5704</v>
      </c>
    </row>
    <row r="1597" spans="1:5" x14ac:dyDescent="0.35">
      <c r="A1597" t="str">
        <f>"2016-05-09"</f>
        <v>2016-05-09</v>
      </c>
      <c r="B1597" s="1" t="str">
        <f t="shared" si="24"/>
        <v>05/09/2016</v>
      </c>
      <c r="C1597" t="str">
        <f>"56.4968"</f>
        <v>56.4968</v>
      </c>
      <c r="D1597" s="1" t="s">
        <v>1588</v>
      </c>
      <c r="E1597" t="s">
        <v>5705</v>
      </c>
    </row>
    <row r="1598" spans="1:5" x14ac:dyDescent="0.35">
      <c r="A1598" t="str">
        <f>"2016-05-10"</f>
        <v>2016-05-10</v>
      </c>
      <c r="B1598" s="1" t="str">
        <f t="shared" si="24"/>
        <v>05/10/2016</v>
      </c>
      <c r="C1598" t="str">
        <f>"55.6285"</f>
        <v>55.6285</v>
      </c>
      <c r="D1598" s="1" t="s">
        <v>1589</v>
      </c>
      <c r="E1598" t="s">
        <v>5706</v>
      </c>
    </row>
    <row r="1599" spans="1:5" x14ac:dyDescent="0.35">
      <c r="A1599" t="str">
        <f>"2016-05-11"</f>
        <v>2016-05-11</v>
      </c>
      <c r="B1599" s="1" t="str">
        <f t="shared" si="24"/>
        <v>05/11/2016</v>
      </c>
      <c r="C1599" t="str">
        <f>"54.7777"</f>
        <v>54.7777</v>
      </c>
      <c r="D1599" s="1" t="s">
        <v>1590</v>
      </c>
      <c r="E1599" t="s">
        <v>5707</v>
      </c>
    </row>
    <row r="1600" spans="1:5" x14ac:dyDescent="0.35">
      <c r="A1600" t="str">
        <f>"2016-05-12"</f>
        <v>2016-05-12</v>
      </c>
      <c r="B1600" s="1" t="str">
        <f t="shared" si="24"/>
        <v>05/12/2016</v>
      </c>
      <c r="C1600" t="str">
        <f>"53.1682"</f>
        <v>53.1682</v>
      </c>
      <c r="D1600" s="1" t="s">
        <v>1591</v>
      </c>
      <c r="E1600" t="s">
        <v>5708</v>
      </c>
    </row>
    <row r="1601" spans="1:5" x14ac:dyDescent="0.35">
      <c r="A1601" t="str">
        <f>"2016-05-13"</f>
        <v>2016-05-13</v>
      </c>
      <c r="B1601" s="1" t="str">
        <f t="shared" si="24"/>
        <v>05/13/2016</v>
      </c>
      <c r="C1601" t="str">
        <f>"51.2767"</f>
        <v>51.2767</v>
      </c>
      <c r="D1601" s="1" t="s">
        <v>1592</v>
      </c>
      <c r="E1601" t="s">
        <v>5709</v>
      </c>
    </row>
    <row r="1602" spans="1:5" x14ac:dyDescent="0.35">
      <c r="A1602" t="str">
        <f>"2016-05-16"</f>
        <v>2016-05-16</v>
      </c>
      <c r="B1602" s="1" t="str">
        <f t="shared" si="24"/>
        <v>05/16/2016</v>
      </c>
      <c r="C1602" t="str">
        <f>"50.3894"</f>
        <v>50.3894</v>
      </c>
      <c r="D1602" s="1" t="s">
        <v>1593</v>
      </c>
      <c r="E1602" t="s">
        <v>5710</v>
      </c>
    </row>
    <row r="1603" spans="1:5" x14ac:dyDescent="0.35">
      <c r="A1603" t="str">
        <f>"2016-05-17"</f>
        <v>2016-05-17</v>
      </c>
      <c r="B1603" s="1" t="str">
        <f t="shared" ref="B1603:B1666" si="25">LEFT(RIGHT(A1603,5),2)&amp;"/"&amp;RIGHT(A1603,2)&amp;"/"&amp;LEFT(A1603,4)</f>
        <v>05/17/2016</v>
      </c>
      <c r="C1603" t="str">
        <f>"51.1386"</f>
        <v>51.1386</v>
      </c>
      <c r="D1603" s="1" t="s">
        <v>1594</v>
      </c>
      <c r="E1603" t="s">
        <v>5711</v>
      </c>
    </row>
    <row r="1604" spans="1:5" x14ac:dyDescent="0.35">
      <c r="A1604" t="str">
        <f>"2016-05-18"</f>
        <v>2016-05-18</v>
      </c>
      <c r="B1604" s="1" t="str">
        <f t="shared" si="25"/>
        <v>05/18/2016</v>
      </c>
      <c r="C1604" t="str">
        <f>"50.2814"</f>
        <v>50.2814</v>
      </c>
      <c r="D1604" s="1" t="s">
        <v>1595</v>
      </c>
      <c r="E1604" t="s">
        <v>5712</v>
      </c>
    </row>
    <row r="1605" spans="1:5" x14ac:dyDescent="0.35">
      <c r="A1605" t="str">
        <f>"2016-05-19"</f>
        <v>2016-05-19</v>
      </c>
      <c r="B1605" s="1" t="str">
        <f t="shared" si="25"/>
        <v>05/19/2016</v>
      </c>
      <c r="C1605" t="str">
        <f>"50.7395"</f>
        <v>50.7395</v>
      </c>
      <c r="D1605" s="1" t="s">
        <v>1596</v>
      </c>
      <c r="E1605" t="s">
        <v>5713</v>
      </c>
    </row>
    <row r="1606" spans="1:5" x14ac:dyDescent="0.35">
      <c r="A1606" t="str">
        <f>"2016-05-20"</f>
        <v>2016-05-20</v>
      </c>
      <c r="B1606" s="1" t="str">
        <f t="shared" si="25"/>
        <v>05/20/2016</v>
      </c>
      <c r="C1606" t="str">
        <f>"50.2003"</f>
        <v>50.2003</v>
      </c>
      <c r="D1606" s="1" t="s">
        <v>1597</v>
      </c>
      <c r="E1606" t="s">
        <v>5714</v>
      </c>
    </row>
    <row r="1607" spans="1:5" x14ac:dyDescent="0.35">
      <c r="A1607" t="str">
        <f>"2016-05-23"</f>
        <v>2016-05-23</v>
      </c>
      <c r="B1607" s="1" t="str">
        <f t="shared" si="25"/>
        <v>05/23/2016</v>
      </c>
      <c r="C1607" t="str">
        <f>"51.4018"</f>
        <v>51.4018</v>
      </c>
      <c r="D1607" s="1" t="s">
        <v>1598</v>
      </c>
      <c r="E1607" t="s">
        <v>5715</v>
      </c>
    </row>
    <row r="1608" spans="1:5" x14ac:dyDescent="0.35">
      <c r="A1608" t="str">
        <f>"2016-05-24"</f>
        <v>2016-05-24</v>
      </c>
      <c r="B1608" s="1" t="str">
        <f t="shared" si="25"/>
        <v>05/24/2016</v>
      </c>
      <c r="C1608" t="str">
        <f>"52.897"</f>
        <v>52.897</v>
      </c>
      <c r="D1608" s="1" t="s">
        <v>1599</v>
      </c>
      <c r="E1608" t="s">
        <v>5716</v>
      </c>
    </row>
    <row r="1609" spans="1:5" x14ac:dyDescent="0.35">
      <c r="A1609" t="str">
        <f>"2016-05-25"</f>
        <v>2016-05-25</v>
      </c>
      <c r="B1609" s="1" t="str">
        <f t="shared" si="25"/>
        <v>05/25/2016</v>
      </c>
      <c r="C1609" t="str">
        <f>"53.7179"</f>
        <v>53.7179</v>
      </c>
      <c r="D1609" s="1" t="s">
        <v>1600</v>
      </c>
      <c r="E1609" t="s">
        <v>5717</v>
      </c>
    </row>
    <row r="1610" spans="1:5" x14ac:dyDescent="0.35">
      <c r="A1610" t="str">
        <f>"2016-05-26"</f>
        <v>2016-05-26</v>
      </c>
      <c r="B1610" s="1" t="str">
        <f t="shared" si="25"/>
        <v>05/26/2016</v>
      </c>
      <c r="C1610" t="str">
        <f>"53.8627"</f>
        <v>53.8627</v>
      </c>
      <c r="D1610" s="1" t="s">
        <v>1601</v>
      </c>
      <c r="E1610" t="s">
        <v>5718</v>
      </c>
    </row>
    <row r="1611" spans="1:5" x14ac:dyDescent="0.35">
      <c r="A1611" t="str">
        <f>"2016-05-27"</f>
        <v>2016-05-27</v>
      </c>
      <c r="B1611" s="1" t="str">
        <f t="shared" si="25"/>
        <v>05/27/2016</v>
      </c>
      <c r="C1611" t="str">
        <f>"53.8204"</f>
        <v>53.8204</v>
      </c>
      <c r="D1611" s="1" t="s">
        <v>1602</v>
      </c>
      <c r="E1611" t="s">
        <v>5719</v>
      </c>
    </row>
    <row r="1612" spans="1:5" x14ac:dyDescent="0.35">
      <c r="A1612" t="str">
        <f>"2016-05-31"</f>
        <v>2016-05-31</v>
      </c>
      <c r="B1612" s="1" t="str">
        <f t="shared" si="25"/>
        <v>05/31/2016</v>
      </c>
      <c r="C1612" t="str">
        <f>"53.9252"</f>
        <v>53.9252</v>
      </c>
      <c r="D1612" s="1" t="s">
        <v>1603</v>
      </c>
      <c r="E1612" t="s">
        <v>5720</v>
      </c>
    </row>
    <row r="1613" spans="1:5" x14ac:dyDescent="0.35">
      <c r="A1613" t="str">
        <f>"2016-06-01"</f>
        <v>2016-06-01</v>
      </c>
      <c r="B1613" s="1" t="str">
        <f t="shared" si="25"/>
        <v>06/01/2016</v>
      </c>
      <c r="C1613" t="str">
        <f>"53.3909"</f>
        <v>53.3909</v>
      </c>
      <c r="D1613" s="1" t="s">
        <v>1604</v>
      </c>
      <c r="E1613" t="s">
        <v>5721</v>
      </c>
    </row>
    <row r="1614" spans="1:5" x14ac:dyDescent="0.35">
      <c r="A1614" t="str">
        <f>"2016-06-02"</f>
        <v>2016-06-02</v>
      </c>
      <c r="B1614" s="1" t="str">
        <f t="shared" si="25"/>
        <v>06/02/2016</v>
      </c>
      <c r="C1614" t="str">
        <f>"53.4732"</f>
        <v>53.4732</v>
      </c>
      <c r="D1614" s="1" t="s">
        <v>1605</v>
      </c>
      <c r="E1614" t="s">
        <v>5722</v>
      </c>
    </row>
    <row r="1615" spans="1:5" x14ac:dyDescent="0.35">
      <c r="A1615" t="str">
        <f>"2016-06-03"</f>
        <v>2016-06-03</v>
      </c>
      <c r="B1615" s="1" t="str">
        <f t="shared" si="25"/>
        <v>06/03/2016</v>
      </c>
      <c r="C1615" t="str">
        <f>"52.9162"</f>
        <v>52.9162</v>
      </c>
      <c r="D1615" s="1" t="s">
        <v>1606</v>
      </c>
      <c r="E1615" t="s">
        <v>5723</v>
      </c>
    </row>
    <row r="1616" spans="1:5" x14ac:dyDescent="0.35">
      <c r="A1616" t="str">
        <f>"2016-06-06"</f>
        <v>2016-06-06</v>
      </c>
      <c r="B1616" s="1" t="str">
        <f t="shared" si="25"/>
        <v>06/06/2016</v>
      </c>
      <c r="C1616" t="str">
        <f>"53.4735"</f>
        <v>53.4735</v>
      </c>
      <c r="D1616" s="1" t="s">
        <v>1607</v>
      </c>
      <c r="E1616" t="s">
        <v>5724</v>
      </c>
    </row>
    <row r="1617" spans="1:5" x14ac:dyDescent="0.35">
      <c r="A1617" t="str">
        <f>"2016-06-07"</f>
        <v>2016-06-07</v>
      </c>
      <c r="B1617" s="1" t="str">
        <f t="shared" si="25"/>
        <v>06/07/2016</v>
      </c>
      <c r="C1617" t="str">
        <f>"52.4789"</f>
        <v>52.4789</v>
      </c>
      <c r="D1617" s="1" t="s">
        <v>1608</v>
      </c>
      <c r="E1617" t="s">
        <v>5725</v>
      </c>
    </row>
    <row r="1618" spans="1:5" x14ac:dyDescent="0.35">
      <c r="A1618" t="str">
        <f>"2016-06-08"</f>
        <v>2016-06-08</v>
      </c>
      <c r="B1618" s="1" t="str">
        <f t="shared" si="25"/>
        <v>06/08/2016</v>
      </c>
      <c r="C1618" t="str">
        <f>"51.9161"</f>
        <v>51.9161</v>
      </c>
      <c r="D1618" s="1" t="s">
        <v>1609</v>
      </c>
      <c r="E1618" t="s">
        <v>5726</v>
      </c>
    </row>
    <row r="1619" spans="1:5" x14ac:dyDescent="0.35">
      <c r="A1619" t="str">
        <f>"2016-06-09"</f>
        <v>2016-06-09</v>
      </c>
      <c r="B1619" s="1" t="str">
        <f t="shared" si="25"/>
        <v>06/09/2016</v>
      </c>
      <c r="C1619" t="str">
        <f>"51.3239"</f>
        <v>51.3239</v>
      </c>
      <c r="D1619" s="1" t="s">
        <v>1610</v>
      </c>
      <c r="E1619" t="s">
        <v>5727</v>
      </c>
    </row>
    <row r="1620" spans="1:5" x14ac:dyDescent="0.35">
      <c r="A1620" t="str">
        <f>"2016-06-10"</f>
        <v>2016-06-10</v>
      </c>
      <c r="B1620" s="1" t="str">
        <f t="shared" si="25"/>
        <v>06/10/2016</v>
      </c>
      <c r="C1620" t="str">
        <f>"49.7856"</f>
        <v>49.7856</v>
      </c>
      <c r="D1620" s="1" t="s">
        <v>1611</v>
      </c>
      <c r="E1620" t="s">
        <v>5728</v>
      </c>
    </row>
    <row r="1621" spans="1:5" x14ac:dyDescent="0.35">
      <c r="A1621" t="str">
        <f>"2016-06-13"</f>
        <v>2016-06-13</v>
      </c>
      <c r="B1621" s="1" t="str">
        <f t="shared" si="25"/>
        <v>06/13/2016</v>
      </c>
      <c r="C1621" t="str">
        <f>"47.6985"</f>
        <v>47.6985</v>
      </c>
      <c r="D1621" s="1" t="s">
        <v>1612</v>
      </c>
      <c r="E1621" t="s">
        <v>5729</v>
      </c>
    </row>
    <row r="1622" spans="1:5" x14ac:dyDescent="0.35">
      <c r="A1622" t="str">
        <f>"2016-06-14"</f>
        <v>2016-06-14</v>
      </c>
      <c r="B1622" s="1" t="str">
        <f t="shared" si="25"/>
        <v>06/14/2016</v>
      </c>
      <c r="C1622" t="str">
        <f>"48.4375"</f>
        <v>48.4375</v>
      </c>
      <c r="D1622" s="1" t="s">
        <v>1613</v>
      </c>
      <c r="E1622" t="s">
        <v>5730</v>
      </c>
    </row>
    <row r="1623" spans="1:5" x14ac:dyDescent="0.35">
      <c r="A1623" t="str">
        <f>"2016-06-15"</f>
        <v>2016-06-15</v>
      </c>
      <c r="B1623" s="1" t="str">
        <f t="shared" si="25"/>
        <v>06/15/2016</v>
      </c>
      <c r="C1623" t="str">
        <f>"47.9764"</f>
        <v>47.9764</v>
      </c>
      <c r="D1623" s="1" t="s">
        <v>1614</v>
      </c>
      <c r="E1623" t="s">
        <v>5731</v>
      </c>
    </row>
    <row r="1624" spans="1:5" x14ac:dyDescent="0.35">
      <c r="A1624" t="str">
        <f>"2016-06-16"</f>
        <v>2016-06-16</v>
      </c>
      <c r="B1624" s="1" t="str">
        <f t="shared" si="25"/>
        <v>06/16/2016</v>
      </c>
      <c r="C1624" t="str">
        <f>"47.1283"</f>
        <v>47.1283</v>
      </c>
      <c r="D1624" s="1" t="s">
        <v>1615</v>
      </c>
      <c r="E1624" t="s">
        <v>5732</v>
      </c>
    </row>
    <row r="1625" spans="1:5" x14ac:dyDescent="0.35">
      <c r="A1625" t="str">
        <f>"2016-06-17"</f>
        <v>2016-06-17</v>
      </c>
      <c r="B1625" s="1" t="str">
        <f t="shared" si="25"/>
        <v>06/17/2016</v>
      </c>
      <c r="C1625" t="str">
        <f>"46.9855"</f>
        <v>46.9855</v>
      </c>
      <c r="D1625" s="1" t="s">
        <v>1616</v>
      </c>
      <c r="E1625" t="s">
        <v>5733</v>
      </c>
    </row>
    <row r="1626" spans="1:5" x14ac:dyDescent="0.35">
      <c r="A1626" t="str">
        <f>"2016-06-20"</f>
        <v>2016-06-20</v>
      </c>
      <c r="B1626" s="1" t="str">
        <f t="shared" si="25"/>
        <v>06/20/2016</v>
      </c>
      <c r="C1626" t="str">
        <f>"47.7869"</f>
        <v>47.7869</v>
      </c>
      <c r="D1626" s="1" t="s">
        <v>1617</v>
      </c>
      <c r="E1626" t="s">
        <v>5734</v>
      </c>
    </row>
    <row r="1627" spans="1:5" x14ac:dyDescent="0.35">
      <c r="A1627" t="str">
        <f>"2016-06-21"</f>
        <v>2016-06-21</v>
      </c>
      <c r="B1627" s="1" t="str">
        <f t="shared" si="25"/>
        <v>06/21/2016</v>
      </c>
      <c r="C1627" t="str">
        <f>"49.9529"</f>
        <v>49.9529</v>
      </c>
      <c r="D1627" s="1" t="s">
        <v>1618</v>
      </c>
      <c r="E1627" t="s">
        <v>5735</v>
      </c>
    </row>
    <row r="1628" spans="1:5" x14ac:dyDescent="0.35">
      <c r="A1628" t="str">
        <f>"2016-06-22"</f>
        <v>2016-06-22</v>
      </c>
      <c r="B1628" s="1" t="str">
        <f t="shared" si="25"/>
        <v>06/22/2016</v>
      </c>
      <c r="C1628" t="str">
        <f>"48.9496"</f>
        <v>48.9496</v>
      </c>
      <c r="D1628" s="1" t="s">
        <v>1619</v>
      </c>
      <c r="E1628" t="s">
        <v>5736</v>
      </c>
    </row>
    <row r="1629" spans="1:5" x14ac:dyDescent="0.35">
      <c r="A1629" t="str">
        <f>"2016-06-23"</f>
        <v>2016-06-23</v>
      </c>
      <c r="B1629" s="1" t="str">
        <f t="shared" si="25"/>
        <v>06/23/2016</v>
      </c>
      <c r="C1629" t="str">
        <f>"49.7624"</f>
        <v>49.7624</v>
      </c>
      <c r="D1629" s="1" t="s">
        <v>1620</v>
      </c>
      <c r="E1629" t="s">
        <v>5737</v>
      </c>
    </row>
    <row r="1630" spans="1:5" x14ac:dyDescent="0.35">
      <c r="A1630" t="str">
        <f>"2016-06-24"</f>
        <v>2016-06-24</v>
      </c>
      <c r="B1630" s="1" t="str">
        <f t="shared" si="25"/>
        <v>06/24/2016</v>
      </c>
      <c r="C1630" t="str">
        <f>"46.6466"</f>
        <v>46.6466</v>
      </c>
      <c r="D1630" s="1" t="s">
        <v>1621</v>
      </c>
      <c r="E1630" t="s">
        <v>5738</v>
      </c>
    </row>
    <row r="1631" spans="1:5" x14ac:dyDescent="0.35">
      <c r="A1631" t="str">
        <f>"2016-06-27"</f>
        <v>2016-06-27</v>
      </c>
      <c r="B1631" s="1" t="str">
        <f t="shared" si="25"/>
        <v>06/27/2016</v>
      </c>
      <c r="C1631" t="str">
        <f>"47.0993"</f>
        <v>47.0993</v>
      </c>
      <c r="D1631" s="1" t="s">
        <v>1622</v>
      </c>
      <c r="E1631" t="s">
        <v>5739</v>
      </c>
    </row>
    <row r="1632" spans="1:5" x14ac:dyDescent="0.35">
      <c r="A1632" t="str">
        <f>"2016-06-28"</f>
        <v>2016-06-28</v>
      </c>
      <c r="B1632" s="1" t="str">
        <f t="shared" si="25"/>
        <v>06/28/2016</v>
      </c>
      <c r="C1632" t="str">
        <f>"48.0769"</f>
        <v>48.0769</v>
      </c>
      <c r="D1632" s="1" t="s">
        <v>1623</v>
      </c>
      <c r="E1632" t="s">
        <v>5740</v>
      </c>
    </row>
    <row r="1633" spans="1:5" x14ac:dyDescent="0.35">
      <c r="A1633" t="str">
        <f>"2016-06-29"</f>
        <v>2016-06-29</v>
      </c>
      <c r="B1633" s="1" t="str">
        <f t="shared" si="25"/>
        <v>06/29/2016</v>
      </c>
      <c r="C1633" t="str">
        <f>"46.9697"</f>
        <v>46.9697</v>
      </c>
      <c r="D1633" s="1" t="s">
        <v>1624</v>
      </c>
      <c r="E1633" t="s">
        <v>5741</v>
      </c>
    </row>
    <row r="1634" spans="1:5" x14ac:dyDescent="0.35">
      <c r="A1634" t="str">
        <f>"2016-06-30"</f>
        <v>2016-06-30</v>
      </c>
      <c r="B1634" s="1" t="str">
        <f t="shared" si="25"/>
        <v>06/30/2016</v>
      </c>
      <c r="C1634" t="str">
        <f>"46.7285"</f>
        <v>46.7285</v>
      </c>
      <c r="D1634" s="1" t="s">
        <v>1625</v>
      </c>
      <c r="E1634" t="s">
        <v>5742</v>
      </c>
    </row>
    <row r="1635" spans="1:5" x14ac:dyDescent="0.35">
      <c r="A1635" t="str">
        <f>"2016-07-01"</f>
        <v>2016-07-01</v>
      </c>
      <c r="B1635" s="1" t="str">
        <f t="shared" si="25"/>
        <v>07/01/2016</v>
      </c>
      <c r="C1635" t="str">
        <f>"46.2668"</f>
        <v>46.2668</v>
      </c>
      <c r="D1635" s="1" t="s">
        <v>1626</v>
      </c>
      <c r="E1635" t="s">
        <v>5743</v>
      </c>
    </row>
    <row r="1636" spans="1:5" x14ac:dyDescent="0.35">
      <c r="A1636" t="str">
        <f>"2016-07-05"</f>
        <v>2016-07-05</v>
      </c>
      <c r="B1636" s="1" t="str">
        <f t="shared" si="25"/>
        <v>07/05/2016</v>
      </c>
      <c r="C1636" t="str">
        <f>"45.2324"</f>
        <v>45.2324</v>
      </c>
      <c r="D1636" s="1" t="s">
        <v>1627</v>
      </c>
      <c r="E1636" t="s">
        <v>5744</v>
      </c>
    </row>
    <row r="1637" spans="1:5" x14ac:dyDescent="0.35">
      <c r="A1637" t="str">
        <f>"2016-07-06"</f>
        <v>2016-07-06</v>
      </c>
      <c r="B1637" s="1" t="str">
        <f t="shared" si="25"/>
        <v>07/06/2016</v>
      </c>
      <c r="C1637" t="str">
        <f>"44.6433"</f>
        <v>44.6433</v>
      </c>
      <c r="D1637" s="1" t="s">
        <v>1628</v>
      </c>
      <c r="E1637" t="s">
        <v>5745</v>
      </c>
    </row>
    <row r="1638" spans="1:5" x14ac:dyDescent="0.35">
      <c r="A1638" t="str">
        <f>"2016-07-07"</f>
        <v>2016-07-07</v>
      </c>
      <c r="B1638" s="1" t="str">
        <f t="shared" si="25"/>
        <v>07/07/2016</v>
      </c>
      <c r="C1638" t="str">
        <f>"44.6131"</f>
        <v>44.6131</v>
      </c>
      <c r="D1638" s="1" t="s">
        <v>1629</v>
      </c>
      <c r="E1638" t="s">
        <v>5746</v>
      </c>
    </row>
    <row r="1639" spans="1:5" x14ac:dyDescent="0.35">
      <c r="A1639" t="str">
        <f>"2016-07-08"</f>
        <v>2016-07-08</v>
      </c>
      <c r="B1639" s="1" t="str">
        <f t="shared" si="25"/>
        <v>07/08/2016</v>
      </c>
      <c r="C1639" t="str">
        <f>"43.9333"</f>
        <v>43.9333</v>
      </c>
      <c r="D1639" s="1" t="s">
        <v>1630</v>
      </c>
      <c r="E1639" t="s">
        <v>5747</v>
      </c>
    </row>
    <row r="1640" spans="1:5" x14ac:dyDescent="0.35">
      <c r="A1640" t="str">
        <f>"2016-07-11"</f>
        <v>2016-07-11</v>
      </c>
      <c r="B1640" s="1" t="str">
        <f t="shared" si="25"/>
        <v>07/11/2016</v>
      </c>
      <c r="C1640" t="str">
        <f>"46.1217"</f>
        <v>46.1217</v>
      </c>
      <c r="D1640" s="1" t="s">
        <v>1631</v>
      </c>
      <c r="E1640" t="s">
        <v>5748</v>
      </c>
    </row>
    <row r="1641" spans="1:5" x14ac:dyDescent="0.35">
      <c r="A1641" t="str">
        <f>"2016-07-12"</f>
        <v>2016-07-12</v>
      </c>
      <c r="B1641" s="1" t="str">
        <f t="shared" si="25"/>
        <v>07/12/2016</v>
      </c>
      <c r="C1641" t="str">
        <f>"47.6176"</f>
        <v>47.6176</v>
      </c>
      <c r="D1641" s="1" t="s">
        <v>1632</v>
      </c>
      <c r="E1641" t="s">
        <v>5749</v>
      </c>
    </row>
    <row r="1642" spans="1:5" x14ac:dyDescent="0.35">
      <c r="A1642" t="str">
        <f>"2016-07-13"</f>
        <v>2016-07-13</v>
      </c>
      <c r="B1642" s="1" t="str">
        <f t="shared" si="25"/>
        <v>07/13/2016</v>
      </c>
      <c r="C1642" t="str">
        <f>"48.1559"</f>
        <v>48.1559</v>
      </c>
      <c r="D1642" s="1" t="s">
        <v>1633</v>
      </c>
      <c r="E1642" t="s">
        <v>5750</v>
      </c>
    </row>
    <row r="1643" spans="1:5" x14ac:dyDescent="0.35">
      <c r="A1643" t="str">
        <f>"2016-07-14"</f>
        <v>2016-07-14</v>
      </c>
      <c r="B1643" s="1" t="str">
        <f t="shared" si="25"/>
        <v>07/14/2016</v>
      </c>
      <c r="C1643" t="str">
        <f>"48.5979"</f>
        <v>48.5979</v>
      </c>
      <c r="D1643" s="1" t="s">
        <v>1634</v>
      </c>
      <c r="E1643" t="s">
        <v>5751</v>
      </c>
    </row>
    <row r="1644" spans="1:5" x14ac:dyDescent="0.35">
      <c r="A1644" t="str">
        <f>"2016-07-15"</f>
        <v>2016-07-15</v>
      </c>
      <c r="B1644" s="1" t="str">
        <f t="shared" si="25"/>
        <v>07/15/2016</v>
      </c>
      <c r="C1644" t="str">
        <f>"48.4606"</f>
        <v>48.4606</v>
      </c>
      <c r="D1644" s="1" t="s">
        <v>1635</v>
      </c>
      <c r="E1644" t="s">
        <v>5752</v>
      </c>
    </row>
    <row r="1645" spans="1:5" x14ac:dyDescent="0.35">
      <c r="A1645" t="str">
        <f>"2016-07-18"</f>
        <v>2016-07-18</v>
      </c>
      <c r="B1645" s="1" t="str">
        <f t="shared" si="25"/>
        <v>07/18/2016</v>
      </c>
      <c r="C1645" t="str">
        <f>"41.1253"</f>
        <v>41.1253</v>
      </c>
      <c r="D1645" s="1" t="s">
        <v>1636</v>
      </c>
      <c r="E1645" t="s">
        <v>5753</v>
      </c>
    </row>
    <row r="1646" spans="1:5" x14ac:dyDescent="0.35">
      <c r="A1646" t="str">
        <f>"2016-07-19"</f>
        <v>2016-07-19</v>
      </c>
      <c r="B1646" s="1" t="str">
        <f t="shared" si="25"/>
        <v>07/19/2016</v>
      </c>
      <c r="C1646" t="str">
        <f>"40.1307"</f>
        <v>40.1307</v>
      </c>
      <c r="D1646" s="1" t="s">
        <v>1637</v>
      </c>
      <c r="E1646" t="s">
        <v>5754</v>
      </c>
    </row>
    <row r="1647" spans="1:5" x14ac:dyDescent="0.35">
      <c r="A1647" t="str">
        <f>"2016-07-20"</f>
        <v>2016-07-20</v>
      </c>
      <c r="B1647" s="1" t="str">
        <f t="shared" si="25"/>
        <v>07/20/2016</v>
      </c>
      <c r="C1647" t="str">
        <f>"39.1285"</f>
        <v>39.1285</v>
      </c>
      <c r="D1647" s="1" t="s">
        <v>1638</v>
      </c>
      <c r="E1647" t="s">
        <v>5755</v>
      </c>
    </row>
    <row r="1648" spans="1:5" x14ac:dyDescent="0.35">
      <c r="A1648" t="str">
        <f>"2016-07-21"</f>
        <v>2016-07-21</v>
      </c>
      <c r="B1648" s="1" t="str">
        <f t="shared" si="25"/>
        <v>07/21/2016</v>
      </c>
      <c r="C1648" t="str">
        <f>"36.9406"</f>
        <v>36.9406</v>
      </c>
      <c r="D1648" s="1" t="s">
        <v>1639</v>
      </c>
      <c r="E1648" t="s">
        <v>5756</v>
      </c>
    </row>
    <row r="1649" spans="1:5" x14ac:dyDescent="0.35">
      <c r="A1649" t="str">
        <f>"2016-07-22"</f>
        <v>2016-07-22</v>
      </c>
      <c r="B1649" s="1" t="str">
        <f t="shared" si="25"/>
        <v>07/22/2016</v>
      </c>
      <c r="C1649" t="str">
        <f>"37.976"</f>
        <v>37.976</v>
      </c>
      <c r="D1649" s="1" t="s">
        <v>1640</v>
      </c>
      <c r="E1649" t="s">
        <v>5757</v>
      </c>
    </row>
    <row r="1650" spans="1:5" x14ac:dyDescent="0.35">
      <c r="A1650" t="str">
        <f>"2016-07-25"</f>
        <v>2016-07-25</v>
      </c>
      <c r="B1650" s="1" t="str">
        <f t="shared" si="25"/>
        <v>07/25/2016</v>
      </c>
      <c r="C1650" t="str">
        <f>"39.7164"</f>
        <v>39.7164</v>
      </c>
      <c r="D1650" s="1" t="s">
        <v>1641</v>
      </c>
      <c r="E1650" t="s">
        <v>5758</v>
      </c>
    </row>
    <row r="1651" spans="1:5" x14ac:dyDescent="0.35">
      <c r="A1651" t="str">
        <f>"2016-07-26"</f>
        <v>2016-07-26</v>
      </c>
      <c r="B1651" s="1" t="str">
        <f t="shared" si="25"/>
        <v>07/26/2016</v>
      </c>
      <c r="C1651" t="str">
        <f>"39.4163"</f>
        <v>39.4163</v>
      </c>
      <c r="D1651" s="1" t="s">
        <v>1642</v>
      </c>
      <c r="E1651" t="s">
        <v>5759</v>
      </c>
    </row>
    <row r="1652" spans="1:5" x14ac:dyDescent="0.35">
      <c r="A1652" t="str">
        <f>"2016-07-27"</f>
        <v>2016-07-27</v>
      </c>
      <c r="B1652" s="1" t="str">
        <f t="shared" si="25"/>
        <v>07/27/2016</v>
      </c>
      <c r="C1652" t="str">
        <f>"39.7186"</f>
        <v>39.7186</v>
      </c>
      <c r="D1652" s="1" t="s">
        <v>1643</v>
      </c>
      <c r="E1652" t="s">
        <v>5760</v>
      </c>
    </row>
    <row r="1653" spans="1:5" x14ac:dyDescent="0.35">
      <c r="A1653" t="str">
        <f>"2016-07-28"</f>
        <v>2016-07-28</v>
      </c>
      <c r="B1653" s="1" t="str">
        <f t="shared" si="25"/>
        <v>07/28/2016</v>
      </c>
      <c r="C1653" t="str">
        <f>"39.8942"</f>
        <v>39.8942</v>
      </c>
      <c r="D1653" s="1" t="s">
        <v>1644</v>
      </c>
      <c r="E1653" t="s">
        <v>5761</v>
      </c>
    </row>
    <row r="1654" spans="1:5" x14ac:dyDescent="0.35">
      <c r="A1654" t="str">
        <f>"2016-07-29"</f>
        <v>2016-07-29</v>
      </c>
      <c r="B1654" s="1" t="str">
        <f t="shared" si="25"/>
        <v>07/29/2016</v>
      </c>
      <c r="C1654" t="str">
        <f>"39.5977"</f>
        <v>39.5977</v>
      </c>
      <c r="D1654" s="1" t="s">
        <v>1645</v>
      </c>
      <c r="E1654" t="s">
        <v>5762</v>
      </c>
    </row>
    <row r="1655" spans="1:5" x14ac:dyDescent="0.35">
      <c r="A1655" t="str">
        <f>"2016-08-01"</f>
        <v>2016-08-01</v>
      </c>
      <c r="B1655" s="1" t="str">
        <f t="shared" si="25"/>
        <v>08/01/2016</v>
      </c>
      <c r="C1655" t="str">
        <f>"40.2299"</f>
        <v>40.2299</v>
      </c>
      <c r="D1655" s="1" t="s">
        <v>1646</v>
      </c>
      <c r="E1655" t="s">
        <v>5763</v>
      </c>
    </row>
    <row r="1656" spans="1:5" x14ac:dyDescent="0.35">
      <c r="A1656" t="str">
        <f>"2016-08-02"</f>
        <v>2016-08-02</v>
      </c>
      <c r="B1656" s="1" t="str">
        <f t="shared" si="25"/>
        <v>08/02/2016</v>
      </c>
      <c r="C1656" t="str">
        <f>"39.6626"</f>
        <v>39.6626</v>
      </c>
      <c r="D1656" s="1" t="s">
        <v>1647</v>
      </c>
      <c r="E1656" t="s">
        <v>5764</v>
      </c>
    </row>
    <row r="1657" spans="1:5" x14ac:dyDescent="0.35">
      <c r="A1657" t="str">
        <f>"2016-08-03"</f>
        <v>2016-08-03</v>
      </c>
      <c r="B1657" s="1" t="str">
        <f t="shared" si="25"/>
        <v>08/03/2016</v>
      </c>
      <c r="C1657" t="str">
        <f>"39.1043"</f>
        <v>39.1043</v>
      </c>
      <c r="D1657" s="1" t="s">
        <v>1648</v>
      </c>
      <c r="E1657" t="s">
        <v>5765</v>
      </c>
    </row>
    <row r="1658" spans="1:5" x14ac:dyDescent="0.35">
      <c r="A1658" t="str">
        <f>"2016-08-04"</f>
        <v>2016-08-04</v>
      </c>
      <c r="B1658" s="1" t="str">
        <f t="shared" si="25"/>
        <v>08/04/2016</v>
      </c>
      <c r="C1658" t="str">
        <f>"39.1371"</f>
        <v>39.1371</v>
      </c>
      <c r="D1658" s="1" t="s">
        <v>1649</v>
      </c>
      <c r="E1658" t="s">
        <v>5766</v>
      </c>
    </row>
    <row r="1659" spans="1:5" x14ac:dyDescent="0.35">
      <c r="A1659" t="str">
        <f>"2016-08-05"</f>
        <v>2016-08-05</v>
      </c>
      <c r="B1659" s="1" t="str">
        <f t="shared" si="25"/>
        <v>08/05/2016</v>
      </c>
      <c r="C1659" t="str">
        <f>"39.8256"</f>
        <v>39.8256</v>
      </c>
      <c r="D1659" s="1" t="s">
        <v>1650</v>
      </c>
      <c r="E1659" t="s">
        <v>5767</v>
      </c>
    </row>
    <row r="1660" spans="1:5" x14ac:dyDescent="0.35">
      <c r="A1660" t="str">
        <f>"2016-08-08"</f>
        <v>2016-08-08</v>
      </c>
      <c r="B1660" s="1" t="str">
        <f t="shared" si="25"/>
        <v>08/08/2016</v>
      </c>
      <c r="C1660" t="str">
        <f>"42.5189"</f>
        <v>42.5189</v>
      </c>
      <c r="D1660" s="1" t="s">
        <v>1651</v>
      </c>
      <c r="E1660" t="s">
        <v>5768</v>
      </c>
    </row>
    <row r="1661" spans="1:5" x14ac:dyDescent="0.35">
      <c r="A1661" t="str">
        <f>"2016-08-09"</f>
        <v>2016-08-09</v>
      </c>
      <c r="B1661" s="1" t="str">
        <f t="shared" si="25"/>
        <v>08/09/2016</v>
      </c>
      <c r="C1661" t="str">
        <f>"44.6582"</f>
        <v>44.6582</v>
      </c>
      <c r="D1661" s="1" t="s">
        <v>1652</v>
      </c>
      <c r="E1661" t="s">
        <v>5769</v>
      </c>
    </row>
    <row r="1662" spans="1:5" x14ac:dyDescent="0.35">
      <c r="A1662" t="str">
        <f>"2016-08-10"</f>
        <v>2016-08-10</v>
      </c>
      <c r="B1662" s="1" t="str">
        <f t="shared" si="25"/>
        <v>08/10/2016</v>
      </c>
      <c r="C1662" t="str">
        <f>"43.7328"</f>
        <v>43.7328</v>
      </c>
      <c r="D1662" s="1" t="s">
        <v>1653</v>
      </c>
      <c r="E1662" t="s">
        <v>5770</v>
      </c>
    </row>
    <row r="1663" spans="1:5" x14ac:dyDescent="0.35">
      <c r="A1663" t="str">
        <f>"2016-08-11"</f>
        <v>2016-08-11</v>
      </c>
      <c r="B1663" s="1" t="str">
        <f t="shared" si="25"/>
        <v>08/11/2016</v>
      </c>
      <c r="C1663" t="str">
        <f>"44.763"</f>
        <v>44.763</v>
      </c>
      <c r="D1663" s="1" t="s">
        <v>1654</v>
      </c>
      <c r="E1663" t="s">
        <v>5771</v>
      </c>
    </row>
    <row r="1664" spans="1:5" x14ac:dyDescent="0.35">
      <c r="A1664" t="str">
        <f>"2016-08-12"</f>
        <v>2016-08-12</v>
      </c>
      <c r="B1664" s="1" t="str">
        <f t="shared" si="25"/>
        <v>08/12/2016</v>
      </c>
      <c r="C1664" t="str">
        <f>"44.2166"</f>
        <v>44.2166</v>
      </c>
      <c r="D1664" s="1" t="s">
        <v>1655</v>
      </c>
      <c r="E1664" t="s">
        <v>5772</v>
      </c>
    </row>
    <row r="1665" spans="1:5" x14ac:dyDescent="0.35">
      <c r="A1665" t="str">
        <f>"2016-08-15"</f>
        <v>2016-08-15</v>
      </c>
      <c r="B1665" s="1" t="str">
        <f t="shared" si="25"/>
        <v>08/15/2016</v>
      </c>
      <c r="C1665" t="str">
        <f>"43.83"</f>
        <v>43.83</v>
      </c>
      <c r="D1665" s="1" t="s">
        <v>1656</v>
      </c>
      <c r="E1665" t="s">
        <v>5773</v>
      </c>
    </row>
    <row r="1666" spans="1:5" x14ac:dyDescent="0.35">
      <c r="A1666" t="str">
        <f>"2016-08-16"</f>
        <v>2016-08-16</v>
      </c>
      <c r="B1666" s="1" t="str">
        <f t="shared" si="25"/>
        <v>08/16/2016</v>
      </c>
      <c r="C1666" t="str">
        <f>"41.6518"</f>
        <v>41.6518</v>
      </c>
      <c r="D1666" s="1" t="s">
        <v>1657</v>
      </c>
      <c r="E1666" t="s">
        <v>5774</v>
      </c>
    </row>
    <row r="1667" spans="1:5" x14ac:dyDescent="0.35">
      <c r="A1667" t="str">
        <f>"2016-08-17"</f>
        <v>2016-08-17</v>
      </c>
      <c r="B1667" s="1" t="str">
        <f t="shared" ref="B1667:B1730" si="26">LEFT(RIGHT(A1667,5),2)&amp;"/"&amp;RIGHT(A1667,2)&amp;"/"&amp;LEFT(A1667,4)</f>
        <v>08/17/2016</v>
      </c>
      <c r="C1667" t="str">
        <f>"42.4129"</f>
        <v>42.4129</v>
      </c>
      <c r="D1667" s="1" t="s">
        <v>1658</v>
      </c>
      <c r="E1667" t="s">
        <v>5775</v>
      </c>
    </row>
    <row r="1668" spans="1:5" x14ac:dyDescent="0.35">
      <c r="A1668" t="str">
        <f>"2016-08-18"</f>
        <v>2016-08-18</v>
      </c>
      <c r="B1668" s="1" t="str">
        <f t="shared" si="26"/>
        <v>08/18/2016</v>
      </c>
      <c r="C1668" t="str">
        <f>"41.9721"</f>
        <v>41.9721</v>
      </c>
      <c r="D1668" s="1" t="s">
        <v>1659</v>
      </c>
      <c r="E1668" t="s">
        <v>5776</v>
      </c>
    </row>
    <row r="1669" spans="1:5" x14ac:dyDescent="0.35">
      <c r="A1669" t="str">
        <f>"2016-08-19"</f>
        <v>2016-08-19</v>
      </c>
      <c r="B1669" s="1" t="str">
        <f t="shared" si="26"/>
        <v>08/19/2016</v>
      </c>
      <c r="C1669" t="str">
        <f>"42.8937"</f>
        <v>42.8937</v>
      </c>
      <c r="D1669" s="1" t="s">
        <v>1660</v>
      </c>
      <c r="E1669" t="s">
        <v>5777</v>
      </c>
    </row>
    <row r="1670" spans="1:5" x14ac:dyDescent="0.35">
      <c r="A1670" t="str">
        <f>"2016-08-22"</f>
        <v>2016-08-22</v>
      </c>
      <c r="B1670" s="1" t="str">
        <f t="shared" si="26"/>
        <v>08/22/2016</v>
      </c>
      <c r="C1670" t="str">
        <f>"41.8703"</f>
        <v>41.8703</v>
      </c>
      <c r="D1670" s="1" t="s">
        <v>1661</v>
      </c>
      <c r="E1670" t="s">
        <v>5778</v>
      </c>
    </row>
    <row r="1671" spans="1:5" x14ac:dyDescent="0.35">
      <c r="A1671" t="str">
        <f>"2016-08-23"</f>
        <v>2016-08-23</v>
      </c>
      <c r="B1671" s="1" t="str">
        <f t="shared" si="26"/>
        <v>08/23/2016</v>
      </c>
      <c r="C1671" t="str">
        <f>"41.5065"</f>
        <v>41.5065</v>
      </c>
      <c r="D1671" s="1" t="s">
        <v>1662</v>
      </c>
      <c r="E1671" t="s">
        <v>5779</v>
      </c>
    </row>
    <row r="1672" spans="1:5" x14ac:dyDescent="0.35">
      <c r="A1672" t="str">
        <f>"2016-08-24"</f>
        <v>2016-08-24</v>
      </c>
      <c r="B1672" s="1" t="str">
        <f t="shared" si="26"/>
        <v>08/24/2016</v>
      </c>
      <c r="C1672" t="str">
        <f>"40.9362"</f>
        <v>40.9362</v>
      </c>
      <c r="D1672" s="1" t="s">
        <v>1663</v>
      </c>
      <c r="E1672" t="s">
        <v>5780</v>
      </c>
    </row>
    <row r="1673" spans="1:5" x14ac:dyDescent="0.35">
      <c r="A1673" t="str">
        <f>"2016-08-25"</f>
        <v>2016-08-25</v>
      </c>
      <c r="B1673" s="1" t="str">
        <f t="shared" si="26"/>
        <v>08/25/2016</v>
      </c>
      <c r="C1673" t="str">
        <f>"40.9633"</f>
        <v>40.9633</v>
      </c>
      <c r="D1673" s="1" t="s">
        <v>1664</v>
      </c>
      <c r="E1673" t="s">
        <v>5781</v>
      </c>
    </row>
    <row r="1674" spans="1:5" x14ac:dyDescent="0.35">
      <c r="A1674" t="str">
        <f>"2016-08-26"</f>
        <v>2016-08-26</v>
      </c>
      <c r="B1674" s="1" t="str">
        <f t="shared" si="26"/>
        <v>08/26/2016</v>
      </c>
      <c r="C1674" t="str">
        <f>"41.3225"</f>
        <v>41.3225</v>
      </c>
      <c r="D1674" s="1" t="s">
        <v>1665</v>
      </c>
      <c r="E1674" t="s">
        <v>5782</v>
      </c>
    </row>
    <row r="1675" spans="1:5" x14ac:dyDescent="0.35">
      <c r="A1675" t="str">
        <f>"2016-08-29"</f>
        <v>2016-08-29</v>
      </c>
      <c r="B1675" s="1" t="str">
        <f t="shared" si="26"/>
        <v>08/29/2016</v>
      </c>
      <c r="C1675" t="str">
        <f>"41.0772"</f>
        <v>41.0772</v>
      </c>
      <c r="D1675" s="1" t="s">
        <v>1666</v>
      </c>
      <c r="E1675" t="s">
        <v>5783</v>
      </c>
    </row>
    <row r="1676" spans="1:5" x14ac:dyDescent="0.35">
      <c r="A1676" t="str">
        <f>"2016-08-30"</f>
        <v>2016-08-30</v>
      </c>
      <c r="B1676" s="1" t="str">
        <f t="shared" si="26"/>
        <v>08/30/2016</v>
      </c>
      <c r="C1676" t="str">
        <f>"41.466"</f>
        <v>41.466</v>
      </c>
      <c r="D1676" s="1" t="s">
        <v>1667</v>
      </c>
      <c r="E1676" t="s">
        <v>5784</v>
      </c>
    </row>
    <row r="1677" spans="1:5" x14ac:dyDescent="0.35">
      <c r="A1677" t="str">
        <f>"2016-08-31"</f>
        <v>2016-08-31</v>
      </c>
      <c r="B1677" s="1" t="str">
        <f t="shared" si="26"/>
        <v>08/31/2016</v>
      </c>
      <c r="C1677" t="str">
        <f>"41.442"</f>
        <v>41.442</v>
      </c>
      <c r="D1677" s="1" t="s">
        <v>1668</v>
      </c>
      <c r="E1677" t="s">
        <v>5785</v>
      </c>
    </row>
    <row r="1678" spans="1:5" x14ac:dyDescent="0.35">
      <c r="A1678" t="str">
        <f>"2016-09-01"</f>
        <v>2016-09-01</v>
      </c>
      <c r="B1678" s="1" t="str">
        <f t="shared" si="26"/>
        <v>09/01/2016</v>
      </c>
      <c r="C1678" t="str">
        <f>"41.2814"</f>
        <v>41.2814</v>
      </c>
      <c r="D1678" s="1" t="s">
        <v>1669</v>
      </c>
      <c r="E1678" t="s">
        <v>5786</v>
      </c>
    </row>
    <row r="1679" spans="1:5" x14ac:dyDescent="0.35">
      <c r="A1679" t="str">
        <f>"2016-09-02"</f>
        <v>2016-09-02</v>
      </c>
      <c r="B1679" s="1" t="str">
        <f t="shared" si="26"/>
        <v>09/02/2016</v>
      </c>
      <c r="C1679" t="str">
        <f>"41.1559"</f>
        <v>41.1559</v>
      </c>
      <c r="D1679" s="1" t="s">
        <v>1670</v>
      </c>
      <c r="E1679" t="s">
        <v>5787</v>
      </c>
    </row>
    <row r="1680" spans="1:5" x14ac:dyDescent="0.35">
      <c r="A1680" t="str">
        <f>"2016-09-06"</f>
        <v>2016-09-06</v>
      </c>
      <c r="B1680" s="1" t="str">
        <f t="shared" si="26"/>
        <v>09/06/2016</v>
      </c>
      <c r="C1680" t="str">
        <f>"40.5358"</f>
        <v>40.5358</v>
      </c>
      <c r="D1680" s="1" t="s">
        <v>1671</v>
      </c>
      <c r="E1680" t="s">
        <v>5788</v>
      </c>
    </row>
    <row r="1681" spans="1:5" x14ac:dyDescent="0.35">
      <c r="A1681" t="str">
        <f>"2016-09-07"</f>
        <v>2016-09-07</v>
      </c>
      <c r="B1681" s="1" t="str">
        <f t="shared" si="26"/>
        <v>09/07/2016</v>
      </c>
      <c r="C1681" t="str">
        <f>"40.7015"</f>
        <v>40.7015</v>
      </c>
      <c r="D1681" s="1" t="s">
        <v>1672</v>
      </c>
      <c r="E1681" t="s">
        <v>5789</v>
      </c>
    </row>
    <row r="1682" spans="1:5" x14ac:dyDescent="0.35">
      <c r="A1682" t="str">
        <f>"2016-09-08"</f>
        <v>2016-09-08</v>
      </c>
      <c r="B1682" s="1" t="str">
        <f t="shared" si="26"/>
        <v>09/08/2016</v>
      </c>
      <c r="C1682" t="str">
        <f>"41.0018"</f>
        <v>41.0018</v>
      </c>
      <c r="D1682" s="1" t="s">
        <v>1673</v>
      </c>
      <c r="E1682" t="s">
        <v>5790</v>
      </c>
    </row>
    <row r="1683" spans="1:5" x14ac:dyDescent="0.35">
      <c r="A1683" t="str">
        <f>"2016-09-09"</f>
        <v>2016-09-09</v>
      </c>
      <c r="B1683" s="1" t="str">
        <f t="shared" si="26"/>
        <v>09/09/2016</v>
      </c>
      <c r="C1683" t="str">
        <f>"41.8101"</f>
        <v>41.8101</v>
      </c>
      <c r="D1683" s="1" t="s">
        <v>1674</v>
      </c>
      <c r="E1683" t="s">
        <v>5791</v>
      </c>
    </row>
    <row r="1684" spans="1:5" x14ac:dyDescent="0.35">
      <c r="A1684" t="str">
        <f>"2016-09-12"</f>
        <v>2016-09-12</v>
      </c>
      <c r="B1684" s="1" t="str">
        <f t="shared" si="26"/>
        <v>09/12/2016</v>
      </c>
      <c r="C1684" t="str">
        <f>"41.8825"</f>
        <v>41.8825</v>
      </c>
      <c r="D1684" s="1" t="s">
        <v>1675</v>
      </c>
      <c r="E1684" t="s">
        <v>5792</v>
      </c>
    </row>
    <row r="1685" spans="1:5" x14ac:dyDescent="0.35">
      <c r="A1685" t="str">
        <f>"2016-09-13"</f>
        <v>2016-09-13</v>
      </c>
      <c r="B1685" s="1" t="str">
        <f t="shared" si="26"/>
        <v>09/13/2016</v>
      </c>
      <c r="C1685" t="str">
        <f>"41.9291"</f>
        <v>41.9291</v>
      </c>
      <c r="D1685" s="1" t="s">
        <v>1676</v>
      </c>
      <c r="E1685" t="s">
        <v>5793</v>
      </c>
    </row>
    <row r="1686" spans="1:5" x14ac:dyDescent="0.35">
      <c r="A1686" t="str">
        <f>"2016-09-14"</f>
        <v>2016-09-14</v>
      </c>
      <c r="B1686" s="1" t="str">
        <f t="shared" si="26"/>
        <v>09/14/2016</v>
      </c>
      <c r="C1686" t="str">
        <f>"41.6806"</f>
        <v>41.6806</v>
      </c>
      <c r="D1686" s="1" t="s">
        <v>1677</v>
      </c>
      <c r="E1686" t="s">
        <v>5794</v>
      </c>
    </row>
    <row r="1687" spans="1:5" x14ac:dyDescent="0.35">
      <c r="A1687" t="str">
        <f>"2016-09-15"</f>
        <v>2016-09-15</v>
      </c>
      <c r="B1687" s="1" t="str">
        <f t="shared" si="26"/>
        <v>09/15/2016</v>
      </c>
      <c r="C1687" t="str">
        <f>"41.9661"</f>
        <v>41.9661</v>
      </c>
      <c r="D1687" s="1" t="s">
        <v>1678</v>
      </c>
      <c r="E1687" t="s">
        <v>5795</v>
      </c>
    </row>
    <row r="1688" spans="1:5" x14ac:dyDescent="0.35">
      <c r="A1688" t="str">
        <f>"2016-09-16"</f>
        <v>2016-09-16</v>
      </c>
      <c r="B1688" s="1" t="str">
        <f t="shared" si="26"/>
        <v>09/16/2016</v>
      </c>
      <c r="C1688" t="str">
        <f>"41.1967"</f>
        <v>41.1967</v>
      </c>
      <c r="D1688" s="1" t="s">
        <v>1679</v>
      </c>
      <c r="E1688" t="s">
        <v>5796</v>
      </c>
    </row>
    <row r="1689" spans="1:5" x14ac:dyDescent="0.35">
      <c r="A1689" t="str">
        <f>"2016-09-19"</f>
        <v>2016-09-19</v>
      </c>
      <c r="B1689" s="1" t="str">
        <f t="shared" si="26"/>
        <v>09/19/2016</v>
      </c>
      <c r="C1689" t="str">
        <f>"41.1125"</f>
        <v>41.1125</v>
      </c>
      <c r="D1689" s="1" t="s">
        <v>1680</v>
      </c>
      <c r="E1689" t="s">
        <v>5797</v>
      </c>
    </row>
    <row r="1690" spans="1:5" x14ac:dyDescent="0.35">
      <c r="A1690" t="str">
        <f>"2016-09-20"</f>
        <v>2016-09-20</v>
      </c>
      <c r="B1690" s="1" t="str">
        <f t="shared" si="26"/>
        <v>09/20/2016</v>
      </c>
      <c r="C1690" t="str">
        <f>"41.219"</f>
        <v>41.219</v>
      </c>
      <c r="D1690" s="1" t="s">
        <v>1681</v>
      </c>
      <c r="E1690" t="s">
        <v>5798</v>
      </c>
    </row>
    <row r="1691" spans="1:5" x14ac:dyDescent="0.35">
      <c r="A1691" t="str">
        <f>"2016-09-21"</f>
        <v>2016-09-21</v>
      </c>
      <c r="B1691" s="1" t="str">
        <f t="shared" si="26"/>
        <v>09/21/2016</v>
      </c>
      <c r="C1691" t="str">
        <f>"40.9533"</f>
        <v>40.9533</v>
      </c>
      <c r="D1691" s="1" t="s">
        <v>1682</v>
      </c>
      <c r="E1691" t="s">
        <v>5799</v>
      </c>
    </row>
    <row r="1692" spans="1:5" x14ac:dyDescent="0.35">
      <c r="A1692" t="str">
        <f>"2016-09-22"</f>
        <v>2016-09-22</v>
      </c>
      <c r="B1692" s="1" t="str">
        <f t="shared" si="26"/>
        <v>09/22/2016</v>
      </c>
      <c r="C1692" t="str">
        <f>"41.7889"</f>
        <v>41.7889</v>
      </c>
      <c r="D1692" s="1" t="s">
        <v>1683</v>
      </c>
      <c r="E1692" t="s">
        <v>5800</v>
      </c>
    </row>
    <row r="1693" spans="1:5" x14ac:dyDescent="0.35">
      <c r="A1693" t="str">
        <f>"2016-09-23"</f>
        <v>2016-09-23</v>
      </c>
      <c r="B1693" s="1" t="str">
        <f t="shared" si="26"/>
        <v>09/23/2016</v>
      </c>
      <c r="C1693" t="str">
        <f>"42.2219"</f>
        <v>42.2219</v>
      </c>
      <c r="D1693" s="1" t="s">
        <v>1684</v>
      </c>
      <c r="E1693" t="s">
        <v>5801</v>
      </c>
    </row>
    <row r="1694" spans="1:5" x14ac:dyDescent="0.35">
      <c r="A1694" t="str">
        <f>"2016-09-26"</f>
        <v>2016-09-26</v>
      </c>
      <c r="B1694" s="1" t="str">
        <f t="shared" si="26"/>
        <v>09/26/2016</v>
      </c>
      <c r="C1694" t="str">
        <f>"39.7771"</f>
        <v>39.7771</v>
      </c>
      <c r="D1694" s="1" t="s">
        <v>1685</v>
      </c>
      <c r="E1694" t="s">
        <v>5802</v>
      </c>
    </row>
    <row r="1695" spans="1:5" x14ac:dyDescent="0.35">
      <c r="A1695" t="str">
        <f>"2016-09-27"</f>
        <v>2016-09-27</v>
      </c>
      <c r="B1695" s="1" t="str">
        <f t="shared" si="26"/>
        <v>09/27/2016</v>
      </c>
      <c r="C1695" t="str">
        <f>"40.3796"</f>
        <v>40.3796</v>
      </c>
      <c r="D1695" s="1" t="s">
        <v>1686</v>
      </c>
      <c r="E1695" t="s">
        <v>5803</v>
      </c>
    </row>
    <row r="1696" spans="1:5" x14ac:dyDescent="0.35">
      <c r="A1696" t="str">
        <f>"2016-09-28"</f>
        <v>2016-09-28</v>
      </c>
      <c r="B1696" s="1" t="str">
        <f t="shared" si="26"/>
        <v>09/28/2016</v>
      </c>
      <c r="C1696" t="str">
        <f>"40.9123"</f>
        <v>40.9123</v>
      </c>
      <c r="D1696" s="1" t="s">
        <v>1687</v>
      </c>
      <c r="E1696" t="s">
        <v>5804</v>
      </c>
    </row>
    <row r="1697" spans="1:5" x14ac:dyDescent="0.35">
      <c r="A1697" t="str">
        <f>"2016-09-29"</f>
        <v>2016-09-29</v>
      </c>
      <c r="B1697" s="1" t="str">
        <f t="shared" si="26"/>
        <v>09/29/2016</v>
      </c>
      <c r="C1697" t="str">
        <f>"40.7757"</f>
        <v>40.7757</v>
      </c>
      <c r="D1697" s="1" t="s">
        <v>1688</v>
      </c>
      <c r="E1697" t="s">
        <v>5805</v>
      </c>
    </row>
    <row r="1698" spans="1:5" x14ac:dyDescent="0.35">
      <c r="A1698" t="str">
        <f>"2016-09-30"</f>
        <v>2016-09-30</v>
      </c>
      <c r="B1698" s="1" t="str">
        <f t="shared" si="26"/>
        <v>09/30/2016</v>
      </c>
      <c r="C1698" t="str">
        <f>"40.6172"</f>
        <v>40.6172</v>
      </c>
      <c r="D1698" s="1" t="s">
        <v>1689</v>
      </c>
      <c r="E1698" t="s">
        <v>5806</v>
      </c>
    </row>
    <row r="1699" spans="1:5" x14ac:dyDescent="0.35">
      <c r="A1699" t="str">
        <f>"2016-10-03"</f>
        <v>2016-10-03</v>
      </c>
      <c r="B1699" s="1" t="str">
        <f t="shared" si="26"/>
        <v>10/03/2016</v>
      </c>
      <c r="C1699" t="str">
        <f>"40.7688"</f>
        <v>40.7688</v>
      </c>
      <c r="D1699" s="1" t="s">
        <v>1690</v>
      </c>
      <c r="E1699" t="s">
        <v>5807</v>
      </c>
    </row>
    <row r="1700" spans="1:5" x14ac:dyDescent="0.35">
      <c r="A1700" t="str">
        <f>"2016-10-04"</f>
        <v>2016-10-04</v>
      </c>
      <c r="B1700" s="1" t="str">
        <f t="shared" si="26"/>
        <v>10/04/2016</v>
      </c>
      <c r="C1700" t="str">
        <f>"41.8106"</f>
        <v>41.8106</v>
      </c>
      <c r="D1700" s="1" t="s">
        <v>1691</v>
      </c>
      <c r="E1700" t="s">
        <v>5808</v>
      </c>
    </row>
    <row r="1701" spans="1:5" x14ac:dyDescent="0.35">
      <c r="A1701" t="str">
        <f>"2016-10-05"</f>
        <v>2016-10-05</v>
      </c>
      <c r="B1701" s="1" t="str">
        <f t="shared" si="26"/>
        <v>10/05/2016</v>
      </c>
      <c r="C1701" t="str">
        <f>"43.0087"</f>
        <v>43.0087</v>
      </c>
      <c r="D1701" s="1" t="s">
        <v>1692</v>
      </c>
      <c r="E1701" t="s">
        <v>5809</v>
      </c>
    </row>
    <row r="1702" spans="1:5" x14ac:dyDescent="0.35">
      <c r="A1702" t="str">
        <f>"2016-10-06"</f>
        <v>2016-10-06</v>
      </c>
      <c r="B1702" s="1" t="str">
        <f t="shared" si="26"/>
        <v>10/06/2016</v>
      </c>
      <c r="C1702" t="str">
        <f>"43.3045"</f>
        <v>43.3045</v>
      </c>
      <c r="D1702" s="1" t="s">
        <v>1693</v>
      </c>
      <c r="E1702" t="s">
        <v>5810</v>
      </c>
    </row>
    <row r="1703" spans="1:5" x14ac:dyDescent="0.35">
      <c r="A1703" t="str">
        <f>"2016-10-07"</f>
        <v>2016-10-07</v>
      </c>
      <c r="B1703" s="1" t="str">
        <f t="shared" si="26"/>
        <v>10/07/2016</v>
      </c>
      <c r="C1703" t="str">
        <f>"43.1426"</f>
        <v>43.1426</v>
      </c>
      <c r="D1703" s="1" t="s">
        <v>1694</v>
      </c>
      <c r="E1703" t="s">
        <v>5811</v>
      </c>
    </row>
    <row r="1704" spans="1:5" x14ac:dyDescent="0.35">
      <c r="A1704" t="str">
        <f>"2016-10-11"</f>
        <v>2016-10-11</v>
      </c>
      <c r="B1704" s="1" t="str">
        <f t="shared" si="26"/>
        <v>10/11/2016</v>
      </c>
      <c r="C1704" t="str">
        <f>"43.3483"</f>
        <v>43.3483</v>
      </c>
      <c r="D1704" s="1" t="s">
        <v>1695</v>
      </c>
      <c r="E1704" t="s">
        <v>5812</v>
      </c>
    </row>
    <row r="1705" spans="1:5" x14ac:dyDescent="0.35">
      <c r="A1705" t="str">
        <f>"2016-10-12"</f>
        <v>2016-10-12</v>
      </c>
      <c r="B1705" s="1" t="str">
        <f t="shared" si="26"/>
        <v>10/12/2016</v>
      </c>
      <c r="C1705" t="str">
        <f>"43.8918"</f>
        <v>43.8918</v>
      </c>
      <c r="D1705" s="1" t="s">
        <v>1696</v>
      </c>
      <c r="E1705" t="s">
        <v>5813</v>
      </c>
    </row>
    <row r="1706" spans="1:5" x14ac:dyDescent="0.35">
      <c r="A1706" t="str">
        <f>"2016-10-13"</f>
        <v>2016-10-13</v>
      </c>
      <c r="B1706" s="1" t="str">
        <f t="shared" si="26"/>
        <v>10/13/2016</v>
      </c>
      <c r="C1706" t="str">
        <f>"43.6168"</f>
        <v>43.6168</v>
      </c>
      <c r="D1706" s="1" t="s">
        <v>1697</v>
      </c>
      <c r="E1706" t="s">
        <v>5814</v>
      </c>
    </row>
    <row r="1707" spans="1:5" x14ac:dyDescent="0.35">
      <c r="A1707" t="str">
        <f>"2016-10-14"</f>
        <v>2016-10-14</v>
      </c>
      <c r="B1707" s="1" t="str">
        <f t="shared" si="26"/>
        <v>10/14/2016</v>
      </c>
      <c r="C1707" t="str">
        <f>"43.6516"</f>
        <v>43.6516</v>
      </c>
      <c r="D1707" s="1" t="s">
        <v>1698</v>
      </c>
      <c r="E1707" t="s">
        <v>5815</v>
      </c>
    </row>
    <row r="1708" spans="1:5" x14ac:dyDescent="0.35">
      <c r="A1708" t="str">
        <f>"2016-10-17"</f>
        <v>2016-10-17</v>
      </c>
      <c r="B1708" s="1" t="str">
        <f t="shared" si="26"/>
        <v>10/17/2016</v>
      </c>
      <c r="C1708" t="str">
        <f>"44.1846"</f>
        <v>44.1846</v>
      </c>
      <c r="D1708" s="1" t="s">
        <v>1699</v>
      </c>
      <c r="E1708" t="s">
        <v>5816</v>
      </c>
    </row>
    <row r="1709" spans="1:5" x14ac:dyDescent="0.35">
      <c r="A1709" t="str">
        <f>"2016-10-18"</f>
        <v>2016-10-18</v>
      </c>
      <c r="B1709" s="1" t="str">
        <f t="shared" si="26"/>
        <v>10/18/2016</v>
      </c>
      <c r="C1709" t="str">
        <f>"44.2337"</f>
        <v>44.2337</v>
      </c>
      <c r="D1709" s="1" t="s">
        <v>1700</v>
      </c>
      <c r="E1709" t="s">
        <v>5817</v>
      </c>
    </row>
    <row r="1710" spans="1:5" x14ac:dyDescent="0.35">
      <c r="A1710" t="str">
        <f>"2016-10-19"</f>
        <v>2016-10-19</v>
      </c>
      <c r="B1710" s="1" t="str">
        <f t="shared" si="26"/>
        <v>10/19/2016</v>
      </c>
      <c r="C1710" t="str">
        <f>"44.3145"</f>
        <v>44.3145</v>
      </c>
      <c r="D1710" s="1" t="s">
        <v>1701</v>
      </c>
      <c r="E1710" t="s">
        <v>5818</v>
      </c>
    </row>
    <row r="1711" spans="1:5" x14ac:dyDescent="0.35">
      <c r="A1711" t="str">
        <f>"2016-10-20"</f>
        <v>2016-10-20</v>
      </c>
      <c r="B1711" s="1" t="str">
        <f t="shared" si="26"/>
        <v>10/20/2016</v>
      </c>
      <c r="C1711" t="str">
        <f>"45.3045"</f>
        <v>45.3045</v>
      </c>
      <c r="D1711" s="1" t="s">
        <v>1702</v>
      </c>
      <c r="E1711" t="s">
        <v>5819</v>
      </c>
    </row>
    <row r="1712" spans="1:5" x14ac:dyDescent="0.35">
      <c r="A1712" t="str">
        <f>"2016-10-21"</f>
        <v>2016-10-21</v>
      </c>
      <c r="B1712" s="1" t="str">
        <f t="shared" si="26"/>
        <v>10/21/2016</v>
      </c>
      <c r="C1712" t="str">
        <f>"44.809"</f>
        <v>44.809</v>
      </c>
      <c r="D1712" s="1" t="s">
        <v>1703</v>
      </c>
      <c r="E1712" t="s">
        <v>5820</v>
      </c>
    </row>
    <row r="1713" spans="1:5" x14ac:dyDescent="0.35">
      <c r="A1713" t="str">
        <f>"2016-10-24"</f>
        <v>2016-10-24</v>
      </c>
      <c r="B1713" s="1" t="str">
        <f t="shared" si="26"/>
        <v>10/24/2016</v>
      </c>
      <c r="C1713" t="str">
        <f>"45.6919"</f>
        <v>45.6919</v>
      </c>
      <c r="D1713" s="1" t="s">
        <v>1704</v>
      </c>
      <c r="E1713" t="s">
        <v>5821</v>
      </c>
    </row>
    <row r="1714" spans="1:5" x14ac:dyDescent="0.35">
      <c r="A1714" t="str">
        <f>"2016-10-25"</f>
        <v>2016-10-25</v>
      </c>
      <c r="B1714" s="1" t="str">
        <f t="shared" si="26"/>
        <v>10/25/2016</v>
      </c>
      <c r="C1714" t="str">
        <f>"44.5955"</f>
        <v>44.5955</v>
      </c>
      <c r="D1714" s="1" t="s">
        <v>1705</v>
      </c>
      <c r="E1714" t="s">
        <v>5822</v>
      </c>
    </row>
    <row r="1715" spans="1:5" x14ac:dyDescent="0.35">
      <c r="A1715" t="str">
        <f>"2016-10-26"</f>
        <v>2016-10-26</v>
      </c>
      <c r="B1715" s="1" t="str">
        <f t="shared" si="26"/>
        <v>10/26/2016</v>
      </c>
      <c r="C1715" t="str">
        <f>"44.7747"</f>
        <v>44.7747</v>
      </c>
      <c r="D1715" s="1" t="s">
        <v>1706</v>
      </c>
      <c r="E1715" t="s">
        <v>5823</v>
      </c>
    </row>
    <row r="1716" spans="1:5" x14ac:dyDescent="0.35">
      <c r="A1716" t="str">
        <f>"2016-10-27"</f>
        <v>2016-10-27</v>
      </c>
      <c r="B1716" s="1" t="str">
        <f t="shared" si="26"/>
        <v>10/27/2016</v>
      </c>
      <c r="C1716" t="str">
        <f>"43.8816"</f>
        <v>43.8816</v>
      </c>
      <c r="D1716" s="1" t="s">
        <v>1707</v>
      </c>
      <c r="E1716" t="s">
        <v>5824</v>
      </c>
    </row>
    <row r="1717" spans="1:5" x14ac:dyDescent="0.35">
      <c r="A1717" t="str">
        <f>"2016-10-28"</f>
        <v>2016-10-28</v>
      </c>
      <c r="B1717" s="1" t="str">
        <f t="shared" si="26"/>
        <v>10/28/2016</v>
      </c>
      <c r="C1717" t="str">
        <f>"42.872"</f>
        <v>42.872</v>
      </c>
      <c r="D1717" s="1" t="s">
        <v>1708</v>
      </c>
      <c r="E1717" t="s">
        <v>5825</v>
      </c>
    </row>
    <row r="1718" spans="1:5" x14ac:dyDescent="0.35">
      <c r="A1718" t="str">
        <f>"2016-10-31"</f>
        <v>2016-10-31</v>
      </c>
      <c r="B1718" s="1" t="str">
        <f t="shared" si="26"/>
        <v>10/31/2016</v>
      </c>
      <c r="C1718" t="str">
        <f>"42.8398"</f>
        <v>42.8398</v>
      </c>
      <c r="D1718" s="1" t="s">
        <v>1709</v>
      </c>
      <c r="E1718" t="s">
        <v>5826</v>
      </c>
    </row>
    <row r="1719" spans="1:5" x14ac:dyDescent="0.35">
      <c r="A1719" t="str">
        <f>"2016-11-01"</f>
        <v>2016-11-01</v>
      </c>
      <c r="B1719" s="1" t="str">
        <f t="shared" si="26"/>
        <v>11/01/2016</v>
      </c>
      <c r="C1719" t="str">
        <f>"41.9707"</f>
        <v>41.9707</v>
      </c>
      <c r="D1719" s="1" t="s">
        <v>1710</v>
      </c>
      <c r="E1719" t="s">
        <v>5827</v>
      </c>
    </row>
    <row r="1720" spans="1:5" x14ac:dyDescent="0.35">
      <c r="A1720" t="str">
        <f>"2016-11-02"</f>
        <v>2016-11-02</v>
      </c>
      <c r="B1720" s="1" t="str">
        <f t="shared" si="26"/>
        <v>11/02/2016</v>
      </c>
      <c r="C1720" t="str">
        <f>"41.2832"</f>
        <v>41.2832</v>
      </c>
      <c r="D1720" s="1" t="s">
        <v>1711</v>
      </c>
      <c r="E1720" t="s">
        <v>5828</v>
      </c>
    </row>
    <row r="1721" spans="1:5" x14ac:dyDescent="0.35">
      <c r="A1721" t="str">
        <f>"2016-11-03"</f>
        <v>2016-11-03</v>
      </c>
      <c r="B1721" s="1" t="str">
        <f t="shared" si="26"/>
        <v>11/03/2016</v>
      </c>
      <c r="C1721" t="str">
        <f>"40.9742"</f>
        <v>40.9742</v>
      </c>
      <c r="D1721" s="1" t="s">
        <v>1712</v>
      </c>
      <c r="E1721" t="s">
        <v>5829</v>
      </c>
    </row>
    <row r="1722" spans="1:5" x14ac:dyDescent="0.35">
      <c r="A1722" t="str">
        <f>"2016-11-04"</f>
        <v>2016-11-04</v>
      </c>
      <c r="B1722" s="1" t="str">
        <f t="shared" si="26"/>
        <v>11/04/2016</v>
      </c>
      <c r="C1722" t="str">
        <f>"38.9185"</f>
        <v>38.9185</v>
      </c>
      <c r="D1722" s="1" t="s">
        <v>1713</v>
      </c>
      <c r="E1722" t="s">
        <v>5830</v>
      </c>
    </row>
    <row r="1723" spans="1:5" x14ac:dyDescent="0.35">
      <c r="A1723" t="str">
        <f>"2016-11-07"</f>
        <v>2016-11-07</v>
      </c>
      <c r="B1723" s="1" t="str">
        <f t="shared" si="26"/>
        <v>11/07/2016</v>
      </c>
      <c r="C1723" t="str">
        <f>"40.9296"</f>
        <v>40.9296</v>
      </c>
      <c r="D1723" s="1" t="s">
        <v>1714</v>
      </c>
      <c r="E1723" t="s">
        <v>5831</v>
      </c>
    </row>
    <row r="1724" spans="1:5" x14ac:dyDescent="0.35">
      <c r="A1724" t="str">
        <f>"2016-11-08"</f>
        <v>2016-11-08</v>
      </c>
      <c r="B1724" s="1" t="str">
        <f t="shared" si="26"/>
        <v>11/08/2016</v>
      </c>
      <c r="C1724" t="str">
        <f>"40.7144"</f>
        <v>40.7144</v>
      </c>
      <c r="D1724" s="1" t="s">
        <v>1715</v>
      </c>
      <c r="E1724" t="s">
        <v>5832</v>
      </c>
    </row>
    <row r="1725" spans="1:5" x14ac:dyDescent="0.35">
      <c r="A1725" t="str">
        <f>"2016-11-09"</f>
        <v>2016-11-09</v>
      </c>
      <c r="B1725" s="1" t="str">
        <f t="shared" si="26"/>
        <v>11/09/2016</v>
      </c>
      <c r="C1725" t="str">
        <f>"41.348"</f>
        <v>41.348</v>
      </c>
      <c r="D1725" s="1" t="s">
        <v>1716</v>
      </c>
      <c r="E1725" t="s">
        <v>5833</v>
      </c>
    </row>
    <row r="1726" spans="1:5" x14ac:dyDescent="0.35">
      <c r="A1726" t="str">
        <f>"2016-11-10"</f>
        <v>2016-11-10</v>
      </c>
      <c r="B1726" s="1" t="str">
        <f t="shared" si="26"/>
        <v>11/10/2016</v>
      </c>
      <c r="C1726" t="str">
        <f>"40.209"</f>
        <v>40.209</v>
      </c>
      <c r="D1726" s="1" t="s">
        <v>1717</v>
      </c>
      <c r="E1726" t="s">
        <v>5834</v>
      </c>
    </row>
    <row r="1727" spans="1:5" x14ac:dyDescent="0.35">
      <c r="A1727" t="str">
        <f>"2016-11-14"</f>
        <v>2016-11-14</v>
      </c>
      <c r="B1727" s="1" t="str">
        <f t="shared" si="26"/>
        <v>11/14/2016</v>
      </c>
      <c r="C1727" t="str">
        <f>"40.7732"</f>
        <v>40.7732</v>
      </c>
      <c r="D1727" s="1" t="s">
        <v>1718</v>
      </c>
      <c r="E1727" t="s">
        <v>5835</v>
      </c>
    </row>
    <row r="1728" spans="1:5" x14ac:dyDescent="0.35">
      <c r="A1728" t="str">
        <f>"2016-11-15"</f>
        <v>2016-11-15</v>
      </c>
      <c r="B1728" s="1" t="str">
        <f t="shared" si="26"/>
        <v>11/15/2016</v>
      </c>
      <c r="C1728" t="str">
        <f>"40.4005"</f>
        <v>40.4005</v>
      </c>
      <c r="D1728" s="1" t="s">
        <v>1719</v>
      </c>
      <c r="E1728" t="s">
        <v>5836</v>
      </c>
    </row>
    <row r="1729" spans="1:5" x14ac:dyDescent="0.35">
      <c r="A1729" t="str">
        <f>"2016-11-16"</f>
        <v>2016-11-16</v>
      </c>
      <c r="B1729" s="1" t="str">
        <f t="shared" si="26"/>
        <v>11/16/2016</v>
      </c>
      <c r="C1729" t="str">
        <f>"39.9918"</f>
        <v>39.9918</v>
      </c>
      <c r="D1729" s="1" t="s">
        <v>1720</v>
      </c>
      <c r="E1729" t="s">
        <v>5837</v>
      </c>
    </row>
    <row r="1730" spans="1:5" x14ac:dyDescent="0.35">
      <c r="A1730" t="str">
        <f>"2016-11-17"</f>
        <v>2016-11-17</v>
      </c>
      <c r="B1730" s="1" t="str">
        <f t="shared" si="26"/>
        <v>11/17/2016</v>
      </c>
      <c r="C1730" t="str">
        <f>"39.597"</f>
        <v>39.597</v>
      </c>
      <c r="D1730" s="1" t="s">
        <v>1721</v>
      </c>
      <c r="E1730" t="s">
        <v>5838</v>
      </c>
    </row>
    <row r="1731" spans="1:5" x14ac:dyDescent="0.35">
      <c r="A1731" t="str">
        <f>"2016-11-18"</f>
        <v>2016-11-18</v>
      </c>
      <c r="B1731" s="1" t="str">
        <f t="shared" ref="B1731:B1794" si="27">LEFT(RIGHT(A1731,5),2)&amp;"/"&amp;RIGHT(A1731,2)&amp;"/"&amp;LEFT(A1731,4)</f>
        <v>11/18/2016</v>
      </c>
      <c r="C1731" t="str">
        <f>"39.3487"</f>
        <v>39.3487</v>
      </c>
      <c r="D1731" s="1" t="s">
        <v>1722</v>
      </c>
      <c r="E1731" t="s">
        <v>5839</v>
      </c>
    </row>
    <row r="1732" spans="1:5" x14ac:dyDescent="0.35">
      <c r="A1732" t="str">
        <f>"2016-11-21"</f>
        <v>2016-11-21</v>
      </c>
      <c r="B1732" s="1" t="str">
        <f t="shared" si="27"/>
        <v>11/21/2016</v>
      </c>
      <c r="C1732" t="str">
        <f>"40.0652"</f>
        <v>40.0652</v>
      </c>
      <c r="D1732" s="1" t="s">
        <v>1723</v>
      </c>
      <c r="E1732" t="s">
        <v>5840</v>
      </c>
    </row>
    <row r="1733" spans="1:5" x14ac:dyDescent="0.35">
      <c r="A1733" t="str">
        <f>"2016-11-22"</f>
        <v>2016-11-22</v>
      </c>
      <c r="B1733" s="1" t="str">
        <f t="shared" si="27"/>
        <v>11/22/2016</v>
      </c>
      <c r="C1733" t="str">
        <f>"39.9395"</f>
        <v>39.9395</v>
      </c>
      <c r="D1733" s="1" t="s">
        <v>1724</v>
      </c>
      <c r="E1733" t="s">
        <v>5841</v>
      </c>
    </row>
    <row r="1734" spans="1:5" x14ac:dyDescent="0.35">
      <c r="A1734" t="str">
        <f>"2016-11-23"</f>
        <v>2016-11-23</v>
      </c>
      <c r="B1734" s="1" t="str">
        <f t="shared" si="27"/>
        <v>11/23/2016</v>
      </c>
      <c r="C1734" t="str">
        <f>"39.6289"</f>
        <v>39.6289</v>
      </c>
      <c r="D1734" s="1" t="s">
        <v>1725</v>
      </c>
      <c r="E1734" t="s">
        <v>5842</v>
      </c>
    </row>
    <row r="1735" spans="1:5" x14ac:dyDescent="0.35">
      <c r="A1735" t="str">
        <f>"2016-11-25"</f>
        <v>2016-11-25</v>
      </c>
      <c r="B1735" s="1" t="str">
        <f t="shared" si="27"/>
        <v>11/25/2016</v>
      </c>
      <c r="C1735" t="str">
        <f>"38.4099"</f>
        <v>38.4099</v>
      </c>
      <c r="D1735" s="1" t="s">
        <v>1726</v>
      </c>
      <c r="E1735" t="s">
        <v>5843</v>
      </c>
    </row>
    <row r="1736" spans="1:5" x14ac:dyDescent="0.35">
      <c r="A1736" t="str">
        <f>"2016-11-28"</f>
        <v>2016-11-28</v>
      </c>
      <c r="B1736" s="1" t="str">
        <f t="shared" si="27"/>
        <v>11/28/2016</v>
      </c>
      <c r="C1736" t="str">
        <f>"38.1995"</f>
        <v>38.1995</v>
      </c>
      <c r="D1736" s="1" t="s">
        <v>1727</v>
      </c>
      <c r="E1736" t="s">
        <v>5844</v>
      </c>
    </row>
    <row r="1737" spans="1:5" x14ac:dyDescent="0.35">
      <c r="A1737" t="str">
        <f>"2016-11-29"</f>
        <v>2016-11-29</v>
      </c>
      <c r="B1737" s="1" t="str">
        <f t="shared" si="27"/>
        <v>11/29/2016</v>
      </c>
      <c r="C1737" t="str">
        <f>"38.0763"</f>
        <v>38.0763</v>
      </c>
      <c r="D1737" s="1" t="s">
        <v>1728</v>
      </c>
      <c r="E1737" t="s">
        <v>5845</v>
      </c>
    </row>
    <row r="1738" spans="1:5" x14ac:dyDescent="0.35">
      <c r="A1738" t="str">
        <f>"2016-11-30"</f>
        <v>2016-11-30</v>
      </c>
      <c r="B1738" s="1" t="str">
        <f t="shared" si="27"/>
        <v>11/30/2016</v>
      </c>
      <c r="C1738" t="str">
        <f>"37.4795"</f>
        <v>37.4795</v>
      </c>
      <c r="D1738" s="1" t="s">
        <v>1729</v>
      </c>
      <c r="E1738" t="s">
        <v>5846</v>
      </c>
    </row>
    <row r="1739" spans="1:5" x14ac:dyDescent="0.35">
      <c r="A1739" t="str">
        <f>"2016-12-01"</f>
        <v>2016-12-01</v>
      </c>
      <c r="B1739" s="1" t="str">
        <f t="shared" si="27"/>
        <v>12/01/2016</v>
      </c>
      <c r="C1739" t="str">
        <f>"35.925"</f>
        <v>35.925</v>
      </c>
      <c r="D1739" s="1" t="s">
        <v>1730</v>
      </c>
      <c r="E1739" t="s">
        <v>5847</v>
      </c>
    </row>
    <row r="1740" spans="1:5" x14ac:dyDescent="0.35">
      <c r="A1740" t="str">
        <f>"2016-12-02"</f>
        <v>2016-12-02</v>
      </c>
      <c r="B1740" s="1" t="str">
        <f t="shared" si="27"/>
        <v>12/02/2016</v>
      </c>
      <c r="C1740" t="str">
        <f>"36.252"</f>
        <v>36.252</v>
      </c>
      <c r="D1740" s="1" t="s">
        <v>1731</v>
      </c>
      <c r="E1740" t="s">
        <v>5848</v>
      </c>
    </row>
    <row r="1741" spans="1:5" x14ac:dyDescent="0.35">
      <c r="A1741" t="str">
        <f>"2016-12-05"</f>
        <v>2016-12-05</v>
      </c>
      <c r="B1741" s="1" t="str">
        <f t="shared" si="27"/>
        <v>12/05/2016</v>
      </c>
      <c r="C1741" t="str">
        <f>"35.2266"</f>
        <v>35.2266</v>
      </c>
      <c r="D1741" s="1" t="s">
        <v>1732</v>
      </c>
      <c r="E1741" t="s">
        <v>5849</v>
      </c>
    </row>
    <row r="1742" spans="1:5" x14ac:dyDescent="0.35">
      <c r="A1742" t="str">
        <f>"2016-12-06"</f>
        <v>2016-12-06</v>
      </c>
      <c r="B1742" s="1" t="str">
        <f t="shared" si="27"/>
        <v>12/06/2016</v>
      </c>
      <c r="C1742" t="str">
        <f>"36.5672"</f>
        <v>36.5672</v>
      </c>
      <c r="D1742" s="1" t="s">
        <v>1733</v>
      </c>
      <c r="E1742" t="s">
        <v>5850</v>
      </c>
    </row>
    <row r="1743" spans="1:5" x14ac:dyDescent="0.35">
      <c r="A1743" t="str">
        <f>"2016-12-07"</f>
        <v>2016-12-07</v>
      </c>
      <c r="B1743" s="1" t="str">
        <f t="shared" si="27"/>
        <v>12/07/2016</v>
      </c>
      <c r="C1743" t="str">
        <f>"37.4035"</f>
        <v>37.4035</v>
      </c>
      <c r="D1743" s="1" t="s">
        <v>1734</v>
      </c>
      <c r="E1743" t="s">
        <v>5851</v>
      </c>
    </row>
    <row r="1744" spans="1:5" x14ac:dyDescent="0.35">
      <c r="A1744" t="str">
        <f>"2016-12-08"</f>
        <v>2016-12-08</v>
      </c>
      <c r="B1744" s="1" t="str">
        <f t="shared" si="27"/>
        <v>12/08/2016</v>
      </c>
      <c r="C1744" t="str">
        <f>"37.9772"</f>
        <v>37.9772</v>
      </c>
      <c r="D1744" s="1" t="s">
        <v>1735</v>
      </c>
      <c r="E1744" t="s">
        <v>5852</v>
      </c>
    </row>
    <row r="1745" spans="1:5" x14ac:dyDescent="0.35">
      <c r="A1745" t="str">
        <f>"2016-12-09"</f>
        <v>2016-12-09</v>
      </c>
      <c r="B1745" s="1" t="str">
        <f t="shared" si="27"/>
        <v>12/09/2016</v>
      </c>
      <c r="C1745" t="str">
        <f>"37.1661"</f>
        <v>37.1661</v>
      </c>
      <c r="D1745" s="1" t="s">
        <v>1736</v>
      </c>
      <c r="E1745" t="s">
        <v>5853</v>
      </c>
    </row>
    <row r="1746" spans="1:5" x14ac:dyDescent="0.35">
      <c r="A1746" t="str">
        <f>"2016-12-12"</f>
        <v>2016-12-12</v>
      </c>
      <c r="B1746" s="1" t="str">
        <f t="shared" si="27"/>
        <v>12/12/2016</v>
      </c>
      <c r="C1746" t="str">
        <f>"36.3177"</f>
        <v>36.3177</v>
      </c>
      <c r="D1746" s="1" t="s">
        <v>1737</v>
      </c>
      <c r="E1746" t="s">
        <v>5854</v>
      </c>
    </row>
    <row r="1747" spans="1:5" x14ac:dyDescent="0.35">
      <c r="A1747" t="str">
        <f>"2016-12-13"</f>
        <v>2016-12-13</v>
      </c>
      <c r="B1747" s="1" t="str">
        <f t="shared" si="27"/>
        <v>12/13/2016</v>
      </c>
      <c r="C1747" t="str">
        <f>"37.2918"</f>
        <v>37.2918</v>
      </c>
      <c r="D1747" s="1" t="s">
        <v>1738</v>
      </c>
      <c r="E1747" t="s">
        <v>5855</v>
      </c>
    </row>
    <row r="1748" spans="1:5" x14ac:dyDescent="0.35">
      <c r="A1748" t="str">
        <f>"2016-12-14"</f>
        <v>2016-12-14</v>
      </c>
      <c r="B1748" s="1" t="str">
        <f t="shared" si="27"/>
        <v>12/14/2016</v>
      </c>
      <c r="C1748" t="str">
        <f>"36.8813"</f>
        <v>36.8813</v>
      </c>
      <c r="D1748" s="1" t="s">
        <v>1739</v>
      </c>
      <c r="E1748" t="s">
        <v>5856</v>
      </c>
    </row>
    <row r="1749" spans="1:5" x14ac:dyDescent="0.35">
      <c r="A1749" t="str">
        <f>"2016-12-15"</f>
        <v>2016-12-15</v>
      </c>
      <c r="B1749" s="1" t="str">
        <f t="shared" si="27"/>
        <v>12/15/2016</v>
      </c>
      <c r="C1749" t="str">
        <f>"38.7346"</f>
        <v>38.7346</v>
      </c>
      <c r="D1749" s="1" t="s">
        <v>1740</v>
      </c>
      <c r="E1749" t="s">
        <v>5857</v>
      </c>
    </row>
    <row r="1750" spans="1:5" x14ac:dyDescent="0.35">
      <c r="A1750" t="str">
        <f>"2016-12-16"</f>
        <v>2016-12-16</v>
      </c>
      <c r="B1750" s="1" t="str">
        <f t="shared" si="27"/>
        <v>12/16/2016</v>
      </c>
      <c r="C1750" t="str">
        <f>"38.5836"</f>
        <v>38.5836</v>
      </c>
      <c r="D1750" s="1" t="s">
        <v>1741</v>
      </c>
      <c r="E1750" t="s">
        <v>5858</v>
      </c>
    </row>
    <row r="1751" spans="1:5" x14ac:dyDescent="0.35">
      <c r="A1751" t="str">
        <f>"2016-12-19"</f>
        <v>2016-12-19</v>
      </c>
      <c r="B1751" s="1" t="str">
        <f t="shared" si="27"/>
        <v>12/19/2016</v>
      </c>
      <c r="C1751" t="str">
        <f>"39.1413"</f>
        <v>39.1413</v>
      </c>
      <c r="D1751" s="1" t="s">
        <v>1742</v>
      </c>
      <c r="E1751" t="s">
        <v>5859</v>
      </c>
    </row>
    <row r="1752" spans="1:5" x14ac:dyDescent="0.35">
      <c r="A1752" t="str">
        <f>"2016-12-20"</f>
        <v>2016-12-20</v>
      </c>
      <c r="B1752" s="1" t="str">
        <f t="shared" si="27"/>
        <v>12/20/2016</v>
      </c>
      <c r="C1752" t="str">
        <f>"39.3719"</f>
        <v>39.3719</v>
      </c>
      <c r="D1752" s="1" t="s">
        <v>1743</v>
      </c>
      <c r="E1752" t="s">
        <v>5860</v>
      </c>
    </row>
    <row r="1753" spans="1:5" x14ac:dyDescent="0.35">
      <c r="A1753" t="str">
        <f>"2016-12-21"</f>
        <v>2016-12-21</v>
      </c>
      <c r="B1753" s="1" t="str">
        <f t="shared" si="27"/>
        <v>12/21/2016</v>
      </c>
      <c r="C1753" t="str">
        <f>"39.4319"</f>
        <v>39.4319</v>
      </c>
      <c r="D1753" s="1" t="s">
        <v>1744</v>
      </c>
      <c r="E1753" t="s">
        <v>5861</v>
      </c>
    </row>
    <row r="1754" spans="1:5" x14ac:dyDescent="0.35">
      <c r="A1754" t="str">
        <f>"2016-12-22"</f>
        <v>2016-12-22</v>
      </c>
      <c r="B1754" s="1" t="str">
        <f t="shared" si="27"/>
        <v>12/22/2016</v>
      </c>
      <c r="C1754" t="str">
        <f>"39.1927"</f>
        <v>39.1927</v>
      </c>
      <c r="D1754" s="1" t="s">
        <v>1745</v>
      </c>
      <c r="E1754" t="s">
        <v>5862</v>
      </c>
    </row>
    <row r="1755" spans="1:5" x14ac:dyDescent="0.35">
      <c r="A1755" t="str">
        <f>"2016-12-23"</f>
        <v>2016-12-23</v>
      </c>
      <c r="B1755" s="1" t="str">
        <f t="shared" si="27"/>
        <v>12/23/2016</v>
      </c>
      <c r="C1755" t="str">
        <f>"38.7141"</f>
        <v>38.7141</v>
      </c>
      <c r="D1755" s="1" t="s">
        <v>1746</v>
      </c>
      <c r="E1755" t="s">
        <v>5863</v>
      </c>
    </row>
    <row r="1756" spans="1:5" x14ac:dyDescent="0.35">
      <c r="A1756" t="str">
        <f>"2016-12-27"</f>
        <v>2016-12-27</v>
      </c>
      <c r="B1756" s="1" t="str">
        <f t="shared" si="27"/>
        <v>12/27/2016</v>
      </c>
      <c r="C1756" t="str">
        <f>"38.5569"</f>
        <v>38.5569</v>
      </c>
      <c r="D1756" s="1" t="s">
        <v>1747</v>
      </c>
      <c r="E1756" t="s">
        <v>5864</v>
      </c>
    </row>
    <row r="1757" spans="1:5" x14ac:dyDescent="0.35">
      <c r="A1757" t="str">
        <f>"2016-12-28"</f>
        <v>2016-12-28</v>
      </c>
      <c r="B1757" s="1" t="str">
        <f t="shared" si="27"/>
        <v>12/28/2016</v>
      </c>
      <c r="C1757" t="str">
        <f>"39.066"</f>
        <v>39.066</v>
      </c>
      <c r="D1757" s="1" t="s">
        <v>1748</v>
      </c>
      <c r="E1757" t="s">
        <v>5865</v>
      </c>
    </row>
    <row r="1758" spans="1:5" x14ac:dyDescent="0.35">
      <c r="A1758" t="str">
        <f>"2016-12-29"</f>
        <v>2016-12-29</v>
      </c>
      <c r="B1758" s="1" t="str">
        <f t="shared" si="27"/>
        <v>12/29/2016</v>
      </c>
      <c r="C1758" t="str">
        <f>"38.2683"</f>
        <v>38.2683</v>
      </c>
      <c r="D1758" s="1" t="s">
        <v>1749</v>
      </c>
      <c r="E1758" t="s">
        <v>5866</v>
      </c>
    </row>
    <row r="1759" spans="1:5" x14ac:dyDescent="0.35">
      <c r="A1759" t="str">
        <f>"2016-12-30"</f>
        <v>2016-12-30</v>
      </c>
      <c r="B1759" s="1" t="str">
        <f t="shared" si="27"/>
        <v>12/30/2016</v>
      </c>
      <c r="C1759" t="str">
        <f>"38.5215"</f>
        <v>38.5215</v>
      </c>
      <c r="D1759" s="1" t="s">
        <v>1750</v>
      </c>
      <c r="E1759" t="s">
        <v>5867</v>
      </c>
    </row>
    <row r="1760" spans="1:5" x14ac:dyDescent="0.35">
      <c r="A1760" t="str">
        <f>"2017-01-03"</f>
        <v>2017-01-03</v>
      </c>
      <c r="B1760" s="1" t="str">
        <f t="shared" si="27"/>
        <v>01/03/2017</v>
      </c>
      <c r="C1760" t="str">
        <f>"36.9305"</f>
        <v>36.9305</v>
      </c>
      <c r="D1760" s="1" t="s">
        <v>1751</v>
      </c>
      <c r="E1760" t="s">
        <v>5868</v>
      </c>
    </row>
    <row r="1761" spans="1:5" x14ac:dyDescent="0.35">
      <c r="A1761" t="str">
        <f>"2017-01-04"</f>
        <v>2017-01-04</v>
      </c>
      <c r="B1761" s="1" t="str">
        <f t="shared" si="27"/>
        <v>01/04/2017</v>
      </c>
      <c r="C1761" t="str">
        <f>"35.8596"</f>
        <v>35.8596</v>
      </c>
      <c r="D1761" s="1" t="s">
        <v>1752</v>
      </c>
      <c r="E1761" t="s">
        <v>5869</v>
      </c>
    </row>
    <row r="1762" spans="1:5" x14ac:dyDescent="0.35">
      <c r="A1762" t="str">
        <f>"2017-01-05"</f>
        <v>2017-01-05</v>
      </c>
      <c r="B1762" s="1" t="str">
        <f t="shared" si="27"/>
        <v>01/05/2017</v>
      </c>
      <c r="C1762" t="str">
        <f>"36.6377"</f>
        <v>36.6377</v>
      </c>
      <c r="D1762" s="1" t="s">
        <v>1753</v>
      </c>
      <c r="E1762" t="s">
        <v>5870</v>
      </c>
    </row>
    <row r="1763" spans="1:5" x14ac:dyDescent="0.35">
      <c r="A1763" t="str">
        <f>"2017-01-06"</f>
        <v>2017-01-06</v>
      </c>
      <c r="B1763" s="1" t="str">
        <f t="shared" si="27"/>
        <v>01/06/2017</v>
      </c>
      <c r="C1763" t="str">
        <f>"36.5023"</f>
        <v>36.5023</v>
      </c>
      <c r="D1763" s="1" t="s">
        <v>1754</v>
      </c>
      <c r="E1763" t="s">
        <v>5871</v>
      </c>
    </row>
    <row r="1764" spans="1:5" x14ac:dyDescent="0.35">
      <c r="A1764" t="str">
        <f>"2017-01-09"</f>
        <v>2017-01-09</v>
      </c>
      <c r="B1764" s="1" t="str">
        <f t="shared" si="27"/>
        <v>01/09/2017</v>
      </c>
      <c r="C1764" t="str">
        <f>"35.2354"</f>
        <v>35.2354</v>
      </c>
      <c r="D1764" s="1" t="s">
        <v>1755</v>
      </c>
      <c r="E1764" t="s">
        <v>5872</v>
      </c>
    </row>
    <row r="1765" spans="1:5" x14ac:dyDescent="0.35">
      <c r="A1765" t="str">
        <f>"2017-01-10"</f>
        <v>2017-01-10</v>
      </c>
      <c r="B1765" s="1" t="str">
        <f t="shared" si="27"/>
        <v>01/10/2017</v>
      </c>
      <c r="C1765" t="str">
        <f>"34.2085"</f>
        <v>34.2085</v>
      </c>
      <c r="D1765" s="1" t="s">
        <v>1756</v>
      </c>
      <c r="E1765" t="s">
        <v>5873</v>
      </c>
    </row>
    <row r="1766" spans="1:5" x14ac:dyDescent="0.35">
      <c r="A1766" t="str">
        <f>"2017-01-11"</f>
        <v>2017-01-11</v>
      </c>
      <c r="B1766" s="1" t="str">
        <f t="shared" si="27"/>
        <v>01/11/2017</v>
      </c>
      <c r="C1766" t="str">
        <f>"33.0131"</f>
        <v>33.0131</v>
      </c>
      <c r="D1766" s="1" t="s">
        <v>1757</v>
      </c>
      <c r="E1766" t="s">
        <v>5874</v>
      </c>
    </row>
    <row r="1767" spans="1:5" x14ac:dyDescent="0.35">
      <c r="A1767" t="str">
        <f>"2017-01-12"</f>
        <v>2017-01-12</v>
      </c>
      <c r="B1767" s="1" t="str">
        <f t="shared" si="27"/>
        <v>01/12/2017</v>
      </c>
      <c r="C1767" t="str">
        <f>"33.2822"</f>
        <v>33.2822</v>
      </c>
      <c r="D1767" s="1" t="s">
        <v>1758</v>
      </c>
      <c r="E1767" t="s">
        <v>5875</v>
      </c>
    </row>
    <row r="1768" spans="1:5" x14ac:dyDescent="0.35">
      <c r="A1768" t="str">
        <f>"2017-01-13"</f>
        <v>2017-01-13</v>
      </c>
      <c r="B1768" s="1" t="str">
        <f t="shared" si="27"/>
        <v>01/13/2017</v>
      </c>
      <c r="C1768" t="str">
        <f>"34.6408"</f>
        <v>34.6408</v>
      </c>
      <c r="D1768" s="1" t="s">
        <v>1759</v>
      </c>
      <c r="E1768" t="s">
        <v>5876</v>
      </c>
    </row>
    <row r="1769" spans="1:5" x14ac:dyDescent="0.35">
      <c r="A1769" t="str">
        <f>"2017-01-17"</f>
        <v>2017-01-17</v>
      </c>
      <c r="B1769" s="1" t="str">
        <f t="shared" si="27"/>
        <v>01/17/2017</v>
      </c>
      <c r="C1769" t="str">
        <f>"34.8598"</f>
        <v>34.8598</v>
      </c>
      <c r="D1769" s="1" t="s">
        <v>1760</v>
      </c>
      <c r="E1769" t="s">
        <v>5877</v>
      </c>
    </row>
    <row r="1770" spans="1:5" x14ac:dyDescent="0.35">
      <c r="A1770" t="str">
        <f>"2017-01-18"</f>
        <v>2017-01-18</v>
      </c>
      <c r="B1770" s="1" t="str">
        <f t="shared" si="27"/>
        <v>01/18/2017</v>
      </c>
      <c r="C1770" t="str">
        <f>"35.6408"</f>
        <v>35.6408</v>
      </c>
      <c r="D1770" s="1" t="s">
        <v>1761</v>
      </c>
      <c r="E1770" t="s">
        <v>5878</v>
      </c>
    </row>
    <row r="1771" spans="1:5" x14ac:dyDescent="0.35">
      <c r="A1771" t="str">
        <f>"2017-01-19"</f>
        <v>2017-01-19</v>
      </c>
      <c r="B1771" s="1" t="str">
        <f t="shared" si="27"/>
        <v>01/19/2017</v>
      </c>
      <c r="C1771" t="str">
        <f>"35.0409"</f>
        <v>35.0409</v>
      </c>
      <c r="D1771" s="1" t="s">
        <v>1762</v>
      </c>
      <c r="E1771" t="s">
        <v>5879</v>
      </c>
    </row>
    <row r="1772" spans="1:5" x14ac:dyDescent="0.35">
      <c r="A1772" t="str">
        <f>"2017-01-20"</f>
        <v>2017-01-20</v>
      </c>
      <c r="B1772" s="1" t="str">
        <f t="shared" si="27"/>
        <v>01/20/2017</v>
      </c>
      <c r="C1772" t="str">
        <f>"35.0254"</f>
        <v>35.0254</v>
      </c>
      <c r="D1772" s="1" t="s">
        <v>1763</v>
      </c>
      <c r="E1772" t="s">
        <v>5880</v>
      </c>
    </row>
    <row r="1773" spans="1:5" x14ac:dyDescent="0.35">
      <c r="A1773" t="str">
        <f>"2017-01-23"</f>
        <v>2017-01-23</v>
      </c>
      <c r="B1773" s="1" t="str">
        <f t="shared" si="27"/>
        <v>01/23/2017</v>
      </c>
      <c r="C1773" t="str">
        <f>"35.3526"</f>
        <v>35.3526</v>
      </c>
      <c r="D1773" s="1" t="s">
        <v>1764</v>
      </c>
      <c r="E1773" t="s">
        <v>5881</v>
      </c>
    </row>
    <row r="1774" spans="1:5" x14ac:dyDescent="0.35">
      <c r="A1774" t="str">
        <f>"2017-01-24"</f>
        <v>2017-01-24</v>
      </c>
      <c r="B1774" s="1" t="str">
        <f t="shared" si="27"/>
        <v>01/24/2017</v>
      </c>
      <c r="C1774" t="str">
        <f>"37.6467"</f>
        <v>37.6467</v>
      </c>
      <c r="D1774" s="1" t="s">
        <v>1765</v>
      </c>
      <c r="E1774" t="s">
        <v>5882</v>
      </c>
    </row>
    <row r="1775" spans="1:5" x14ac:dyDescent="0.35">
      <c r="A1775" t="str">
        <f>"2017-01-25"</f>
        <v>2017-01-25</v>
      </c>
      <c r="B1775" s="1" t="str">
        <f t="shared" si="27"/>
        <v>01/25/2017</v>
      </c>
      <c r="C1775" t="str">
        <f>"36.818"</f>
        <v>36.818</v>
      </c>
      <c r="D1775" s="1" t="s">
        <v>1766</v>
      </c>
      <c r="E1775" t="s">
        <v>5883</v>
      </c>
    </row>
    <row r="1776" spans="1:5" x14ac:dyDescent="0.35">
      <c r="A1776" t="str">
        <f>"2017-01-26"</f>
        <v>2017-01-26</v>
      </c>
      <c r="B1776" s="1" t="str">
        <f t="shared" si="27"/>
        <v>01/26/2017</v>
      </c>
      <c r="C1776" t="str">
        <f>"37.312"</f>
        <v>37.312</v>
      </c>
      <c r="D1776" s="1" t="s">
        <v>1767</v>
      </c>
      <c r="E1776" t="s">
        <v>5884</v>
      </c>
    </row>
    <row r="1777" spans="1:5" x14ac:dyDescent="0.35">
      <c r="A1777" t="str">
        <f>"2017-01-27"</f>
        <v>2017-01-27</v>
      </c>
      <c r="B1777" s="1" t="str">
        <f t="shared" si="27"/>
        <v>01/27/2017</v>
      </c>
      <c r="C1777" t="str">
        <f>"36.2865"</f>
        <v>36.2865</v>
      </c>
      <c r="D1777" s="1" t="s">
        <v>1768</v>
      </c>
      <c r="E1777" t="s">
        <v>5885</v>
      </c>
    </row>
    <row r="1778" spans="1:5" x14ac:dyDescent="0.35">
      <c r="A1778" t="str">
        <f>"2017-01-30"</f>
        <v>2017-01-30</v>
      </c>
      <c r="B1778" s="1" t="str">
        <f t="shared" si="27"/>
        <v>01/30/2017</v>
      </c>
      <c r="C1778" t="str">
        <f>"37.7396"</f>
        <v>37.7396</v>
      </c>
      <c r="D1778" s="1" t="s">
        <v>1769</v>
      </c>
      <c r="E1778" t="s">
        <v>5886</v>
      </c>
    </row>
    <row r="1779" spans="1:5" x14ac:dyDescent="0.35">
      <c r="A1779" t="str">
        <f>"2017-01-31"</f>
        <v>2017-01-31</v>
      </c>
      <c r="B1779" s="1" t="str">
        <f t="shared" si="27"/>
        <v>01/31/2017</v>
      </c>
      <c r="C1779" t="str">
        <f>"37.7557"</f>
        <v>37.7557</v>
      </c>
      <c r="D1779" s="1" t="s">
        <v>1770</v>
      </c>
      <c r="E1779" t="s">
        <v>5887</v>
      </c>
    </row>
    <row r="1780" spans="1:5" x14ac:dyDescent="0.35">
      <c r="A1780" t="str">
        <f>"2017-02-01"</f>
        <v>2017-02-01</v>
      </c>
      <c r="B1780" s="1" t="str">
        <f t="shared" si="27"/>
        <v>02/01/2017</v>
      </c>
      <c r="C1780" t="str">
        <f>"38.6389"</f>
        <v>38.6389</v>
      </c>
      <c r="D1780" s="1" t="s">
        <v>1771</v>
      </c>
      <c r="E1780" t="s">
        <v>5888</v>
      </c>
    </row>
    <row r="1781" spans="1:5" x14ac:dyDescent="0.35">
      <c r="A1781" t="str">
        <f>"2017-02-02"</f>
        <v>2017-02-02</v>
      </c>
      <c r="B1781" s="1" t="str">
        <f t="shared" si="27"/>
        <v>02/02/2017</v>
      </c>
      <c r="C1781" t="str">
        <f>"38.4993"</f>
        <v>38.4993</v>
      </c>
      <c r="D1781" s="1" t="s">
        <v>1772</v>
      </c>
      <c r="E1781" t="s">
        <v>5889</v>
      </c>
    </row>
    <row r="1782" spans="1:5" x14ac:dyDescent="0.35">
      <c r="A1782" t="str">
        <f>"2017-02-03"</f>
        <v>2017-02-03</v>
      </c>
      <c r="B1782" s="1" t="str">
        <f t="shared" si="27"/>
        <v>02/03/2017</v>
      </c>
      <c r="C1782" t="str">
        <f>"38.8238"</f>
        <v>38.8238</v>
      </c>
      <c r="D1782" s="1" t="s">
        <v>1773</v>
      </c>
      <c r="E1782" t="s">
        <v>5890</v>
      </c>
    </row>
    <row r="1783" spans="1:5" x14ac:dyDescent="0.35">
      <c r="A1783" t="str">
        <f>"2017-02-06"</f>
        <v>2017-02-06</v>
      </c>
      <c r="B1783" s="1" t="str">
        <f t="shared" si="27"/>
        <v>02/06/2017</v>
      </c>
      <c r="C1783" t="str">
        <f>"38.2642"</f>
        <v>38.2642</v>
      </c>
      <c r="D1783" s="1" t="s">
        <v>1774</v>
      </c>
      <c r="E1783" t="s">
        <v>5891</v>
      </c>
    </row>
    <row r="1784" spans="1:5" x14ac:dyDescent="0.35">
      <c r="A1784" t="str">
        <f>"2017-02-07"</f>
        <v>2017-02-07</v>
      </c>
      <c r="B1784" s="1" t="str">
        <f t="shared" si="27"/>
        <v>02/07/2017</v>
      </c>
      <c r="C1784" t="str">
        <f>"38.0037"</f>
        <v>38.0037</v>
      </c>
      <c r="D1784" s="1" t="s">
        <v>1775</v>
      </c>
      <c r="E1784" t="s">
        <v>5892</v>
      </c>
    </row>
    <row r="1785" spans="1:5" x14ac:dyDescent="0.35">
      <c r="A1785" t="str">
        <f>"2017-02-08"</f>
        <v>2017-02-08</v>
      </c>
      <c r="B1785" s="1" t="str">
        <f t="shared" si="27"/>
        <v>02/08/2017</v>
      </c>
      <c r="C1785" t="str">
        <f>"38.6318"</f>
        <v>38.6318</v>
      </c>
      <c r="D1785" s="1" t="s">
        <v>1776</v>
      </c>
      <c r="E1785" t="s">
        <v>5893</v>
      </c>
    </row>
    <row r="1786" spans="1:5" x14ac:dyDescent="0.35">
      <c r="A1786" t="str">
        <f>"2017-02-09"</f>
        <v>2017-02-09</v>
      </c>
      <c r="B1786" s="1" t="str">
        <f t="shared" si="27"/>
        <v>02/09/2017</v>
      </c>
      <c r="C1786" t="str">
        <f>"39.025"</f>
        <v>39.025</v>
      </c>
      <c r="D1786" s="1" t="s">
        <v>1777</v>
      </c>
      <c r="E1786" t="s">
        <v>5894</v>
      </c>
    </row>
    <row r="1787" spans="1:5" x14ac:dyDescent="0.35">
      <c r="A1787" t="str">
        <f>"2017-02-10"</f>
        <v>2017-02-10</v>
      </c>
      <c r="B1787" s="1" t="str">
        <f t="shared" si="27"/>
        <v>02/10/2017</v>
      </c>
      <c r="C1787" t="str">
        <f>"38.1632"</f>
        <v>38.1632</v>
      </c>
      <c r="D1787" s="1" t="s">
        <v>1778</v>
      </c>
      <c r="E1787" t="s">
        <v>5895</v>
      </c>
    </row>
    <row r="1788" spans="1:5" x14ac:dyDescent="0.35">
      <c r="A1788" t="str">
        <f>"2017-02-13"</f>
        <v>2017-02-13</v>
      </c>
      <c r="B1788" s="1" t="str">
        <f t="shared" si="27"/>
        <v>02/13/2017</v>
      </c>
      <c r="C1788" t="str">
        <f>"39.4207"</f>
        <v>39.4207</v>
      </c>
      <c r="D1788" s="1" t="s">
        <v>1779</v>
      </c>
      <c r="E1788" t="s">
        <v>5896</v>
      </c>
    </row>
    <row r="1789" spans="1:5" x14ac:dyDescent="0.35">
      <c r="A1789" t="str">
        <f>"2017-02-14"</f>
        <v>2017-02-14</v>
      </c>
      <c r="B1789" s="1" t="str">
        <f t="shared" si="27"/>
        <v>02/14/2017</v>
      </c>
      <c r="C1789" t="str">
        <f>"39.7399"</f>
        <v>39.7399</v>
      </c>
      <c r="D1789" s="1" t="s">
        <v>1780</v>
      </c>
      <c r="E1789" t="s">
        <v>5897</v>
      </c>
    </row>
    <row r="1790" spans="1:5" x14ac:dyDescent="0.35">
      <c r="A1790" t="str">
        <f>"2017-02-15"</f>
        <v>2017-02-15</v>
      </c>
      <c r="B1790" s="1" t="str">
        <f t="shared" si="27"/>
        <v>02/15/2017</v>
      </c>
      <c r="C1790" t="str">
        <f>"39"</f>
        <v>39</v>
      </c>
      <c r="D1790" s="1" t="s">
        <v>1781</v>
      </c>
      <c r="E1790" t="s">
        <v>5898</v>
      </c>
    </row>
    <row r="1791" spans="1:5" x14ac:dyDescent="0.35">
      <c r="A1791" t="str">
        <f>"2017-02-16"</f>
        <v>2017-02-16</v>
      </c>
      <c r="B1791" s="1" t="str">
        <f t="shared" si="27"/>
        <v>02/16/2017</v>
      </c>
      <c r="C1791" t="str">
        <f>"38.9712"</f>
        <v>38.9712</v>
      </c>
      <c r="D1791" s="1" t="s">
        <v>1782</v>
      </c>
      <c r="E1791" t="s">
        <v>5899</v>
      </c>
    </row>
    <row r="1792" spans="1:5" x14ac:dyDescent="0.35">
      <c r="A1792" t="str">
        <f>"2017-02-17"</f>
        <v>2017-02-17</v>
      </c>
      <c r="B1792" s="1" t="str">
        <f t="shared" si="27"/>
        <v>02/17/2017</v>
      </c>
      <c r="C1792" t="str">
        <f>"39.1297"</f>
        <v>39.1297</v>
      </c>
      <c r="D1792" s="1" t="s">
        <v>1783</v>
      </c>
      <c r="E1792" t="s">
        <v>5900</v>
      </c>
    </row>
    <row r="1793" spans="1:5" x14ac:dyDescent="0.35">
      <c r="A1793" t="str">
        <f>"2017-02-21"</f>
        <v>2017-02-21</v>
      </c>
      <c r="B1793" s="1" t="str">
        <f t="shared" si="27"/>
        <v>02/21/2017</v>
      </c>
      <c r="C1793" t="str">
        <f>"39.677"</f>
        <v>39.677</v>
      </c>
      <c r="D1793" s="1" t="s">
        <v>1784</v>
      </c>
      <c r="E1793" t="s">
        <v>5901</v>
      </c>
    </row>
    <row r="1794" spans="1:5" x14ac:dyDescent="0.35">
      <c r="A1794" t="str">
        <f>"2017-02-22"</f>
        <v>2017-02-22</v>
      </c>
      <c r="B1794" s="1" t="str">
        <f t="shared" si="27"/>
        <v>02/22/2017</v>
      </c>
      <c r="C1794" t="str">
        <f>"39.7648"</f>
        <v>39.7648</v>
      </c>
      <c r="D1794" s="1" t="s">
        <v>1785</v>
      </c>
      <c r="E1794" t="s">
        <v>5902</v>
      </c>
    </row>
    <row r="1795" spans="1:5" x14ac:dyDescent="0.35">
      <c r="A1795" t="str">
        <f>"2017-02-23"</f>
        <v>2017-02-23</v>
      </c>
      <c r="B1795" s="1" t="str">
        <f t="shared" ref="B1795:B1858" si="28">LEFT(RIGHT(A1795,5),2)&amp;"/"&amp;RIGHT(A1795,2)&amp;"/"&amp;LEFT(A1795,4)</f>
        <v>02/23/2017</v>
      </c>
      <c r="C1795" t="str">
        <f>"39.8617"</f>
        <v>39.8617</v>
      </c>
      <c r="D1795" s="1" t="s">
        <v>1786</v>
      </c>
      <c r="E1795" t="s">
        <v>5903</v>
      </c>
    </row>
    <row r="1796" spans="1:5" x14ac:dyDescent="0.35">
      <c r="A1796" t="str">
        <f>"2017-02-24"</f>
        <v>2017-02-24</v>
      </c>
      <c r="B1796" s="1" t="str">
        <f t="shared" si="28"/>
        <v>02/24/2017</v>
      </c>
      <c r="C1796" t="str">
        <f>"39.1828"</f>
        <v>39.1828</v>
      </c>
      <c r="D1796" s="1" t="s">
        <v>1787</v>
      </c>
      <c r="E1796" t="s">
        <v>5904</v>
      </c>
    </row>
    <row r="1797" spans="1:5" x14ac:dyDescent="0.35">
      <c r="A1797" t="str">
        <f>"2017-02-27"</f>
        <v>2017-02-27</v>
      </c>
      <c r="B1797" s="1" t="str">
        <f t="shared" si="28"/>
        <v>02/27/2017</v>
      </c>
      <c r="C1797" t="str">
        <f>"38.0772"</f>
        <v>38.0772</v>
      </c>
      <c r="D1797" s="1" t="s">
        <v>1788</v>
      </c>
      <c r="E1797" t="s">
        <v>5905</v>
      </c>
    </row>
    <row r="1798" spans="1:5" x14ac:dyDescent="0.35">
      <c r="A1798" t="str">
        <f>"2017-02-28"</f>
        <v>2017-02-28</v>
      </c>
      <c r="B1798" s="1" t="str">
        <f t="shared" si="28"/>
        <v>02/28/2017</v>
      </c>
      <c r="C1798" t="str">
        <f>"37.5885"</f>
        <v>37.5885</v>
      </c>
      <c r="D1798" s="1" t="s">
        <v>1789</v>
      </c>
      <c r="E1798" t="s">
        <v>5906</v>
      </c>
    </row>
    <row r="1799" spans="1:5" x14ac:dyDescent="0.35">
      <c r="A1799" t="str">
        <f>"2017-03-01"</f>
        <v>2017-03-01</v>
      </c>
      <c r="B1799" s="1" t="str">
        <f t="shared" si="28"/>
        <v>03/01/2017</v>
      </c>
      <c r="C1799" t="str">
        <f>"38.8388"</f>
        <v>38.8388</v>
      </c>
      <c r="D1799" s="1" t="s">
        <v>1790</v>
      </c>
      <c r="E1799" t="s">
        <v>5907</v>
      </c>
    </row>
    <row r="1800" spans="1:5" x14ac:dyDescent="0.35">
      <c r="A1800" t="str">
        <f>"2017-03-02"</f>
        <v>2017-03-02</v>
      </c>
      <c r="B1800" s="1" t="str">
        <f t="shared" si="28"/>
        <v>03/02/2017</v>
      </c>
      <c r="C1800" t="str">
        <f>"39.4928"</f>
        <v>39.4928</v>
      </c>
      <c r="D1800" s="1" t="s">
        <v>1791</v>
      </c>
      <c r="E1800" t="s">
        <v>5908</v>
      </c>
    </row>
    <row r="1801" spans="1:5" x14ac:dyDescent="0.35">
      <c r="A1801" t="str">
        <f>"2017-03-03"</f>
        <v>2017-03-03</v>
      </c>
      <c r="B1801" s="1" t="str">
        <f t="shared" si="28"/>
        <v>03/03/2017</v>
      </c>
      <c r="C1801" t="str">
        <f>"38.8186"</f>
        <v>38.8186</v>
      </c>
      <c r="D1801" s="1" t="s">
        <v>1792</v>
      </c>
      <c r="E1801" t="s">
        <v>5909</v>
      </c>
    </row>
    <row r="1802" spans="1:5" x14ac:dyDescent="0.35">
      <c r="A1802" t="str">
        <f>"2017-03-06"</f>
        <v>2017-03-06</v>
      </c>
      <c r="B1802" s="1" t="str">
        <f t="shared" si="28"/>
        <v>03/06/2017</v>
      </c>
      <c r="C1802" t="str">
        <f>"39.0281"</f>
        <v>39.0281</v>
      </c>
      <c r="D1802" s="1" t="s">
        <v>1793</v>
      </c>
      <c r="E1802" t="s">
        <v>5910</v>
      </c>
    </row>
    <row r="1803" spans="1:5" x14ac:dyDescent="0.35">
      <c r="A1803" t="str">
        <f>"2017-03-07"</f>
        <v>2017-03-07</v>
      </c>
      <c r="B1803" s="1" t="str">
        <f t="shared" si="28"/>
        <v>03/07/2017</v>
      </c>
      <c r="C1803" t="str">
        <f>"39.0167"</f>
        <v>39.0167</v>
      </c>
      <c r="D1803" s="1" t="s">
        <v>1794</v>
      </c>
      <c r="E1803" t="s">
        <v>5911</v>
      </c>
    </row>
    <row r="1804" spans="1:5" x14ac:dyDescent="0.35">
      <c r="A1804" t="str">
        <f>"2017-03-08"</f>
        <v>2017-03-08</v>
      </c>
      <c r="B1804" s="1" t="str">
        <f t="shared" si="28"/>
        <v>03/08/2017</v>
      </c>
      <c r="C1804" t="str">
        <f>"38.9704"</f>
        <v>38.9704</v>
      </c>
      <c r="D1804" s="1" t="s">
        <v>1795</v>
      </c>
      <c r="E1804" t="s">
        <v>5912</v>
      </c>
    </row>
    <row r="1805" spans="1:5" x14ac:dyDescent="0.35">
      <c r="A1805" t="str">
        <f>"2017-03-09"</f>
        <v>2017-03-09</v>
      </c>
      <c r="B1805" s="1" t="str">
        <f t="shared" si="28"/>
        <v>03/09/2017</v>
      </c>
      <c r="C1805" t="str">
        <f>"38.0687"</f>
        <v>38.0687</v>
      </c>
      <c r="D1805" s="1" t="s">
        <v>1796</v>
      </c>
      <c r="E1805" t="s">
        <v>5913</v>
      </c>
    </row>
    <row r="1806" spans="1:5" x14ac:dyDescent="0.35">
      <c r="A1806" t="str">
        <f>"2017-03-10"</f>
        <v>2017-03-10</v>
      </c>
      <c r="B1806" s="1" t="str">
        <f t="shared" si="28"/>
        <v>03/10/2017</v>
      </c>
      <c r="C1806" t="str">
        <f>"38.5142"</f>
        <v>38.5142</v>
      </c>
      <c r="D1806" s="1" t="s">
        <v>1797</v>
      </c>
      <c r="E1806" t="s">
        <v>5914</v>
      </c>
    </row>
    <row r="1807" spans="1:5" x14ac:dyDescent="0.35">
      <c r="A1807" t="str">
        <f>"2017-03-13"</f>
        <v>2017-03-13</v>
      </c>
      <c r="B1807" s="1" t="str">
        <f t="shared" si="28"/>
        <v>03/13/2017</v>
      </c>
      <c r="C1807" t="str">
        <f>"39.0807"</f>
        <v>39.0807</v>
      </c>
      <c r="D1807" s="1" t="s">
        <v>1798</v>
      </c>
      <c r="E1807" t="s">
        <v>5915</v>
      </c>
    </row>
    <row r="1808" spans="1:5" x14ac:dyDescent="0.35">
      <c r="A1808" t="str">
        <f>"2017-03-14"</f>
        <v>2017-03-14</v>
      </c>
      <c r="B1808" s="1" t="str">
        <f t="shared" si="28"/>
        <v>03/14/2017</v>
      </c>
      <c r="C1808" t="str">
        <f>"40.191"</f>
        <v>40.191</v>
      </c>
      <c r="D1808" s="1" t="s">
        <v>1799</v>
      </c>
      <c r="E1808" t="s">
        <v>5916</v>
      </c>
    </row>
    <row r="1809" spans="1:5" x14ac:dyDescent="0.35">
      <c r="A1809" t="str">
        <f>"2017-03-15"</f>
        <v>2017-03-15</v>
      </c>
      <c r="B1809" s="1" t="str">
        <f t="shared" si="28"/>
        <v>03/15/2017</v>
      </c>
      <c r="C1809" t="str">
        <f>"40.6021"</f>
        <v>40.6021</v>
      </c>
      <c r="D1809" s="1" t="s">
        <v>1800</v>
      </c>
      <c r="E1809" t="s">
        <v>5917</v>
      </c>
    </row>
    <row r="1810" spans="1:5" x14ac:dyDescent="0.35">
      <c r="A1810" t="str">
        <f>"2017-03-16"</f>
        <v>2017-03-16</v>
      </c>
      <c r="B1810" s="1" t="str">
        <f t="shared" si="28"/>
        <v>03/16/2017</v>
      </c>
      <c r="C1810" t="str">
        <f>"40.8627"</f>
        <v>40.8627</v>
      </c>
      <c r="D1810" s="1" t="s">
        <v>1801</v>
      </c>
      <c r="E1810" t="s">
        <v>5918</v>
      </c>
    </row>
    <row r="1811" spans="1:5" x14ac:dyDescent="0.35">
      <c r="A1811" t="str">
        <f>"2017-03-17"</f>
        <v>2017-03-17</v>
      </c>
      <c r="B1811" s="1" t="str">
        <f t="shared" si="28"/>
        <v>03/17/2017</v>
      </c>
      <c r="C1811" t="str">
        <f>"41.0592"</f>
        <v>41.0592</v>
      </c>
      <c r="D1811" s="1" t="s">
        <v>1802</v>
      </c>
      <c r="E1811" t="s">
        <v>5919</v>
      </c>
    </row>
    <row r="1812" spans="1:5" x14ac:dyDescent="0.35">
      <c r="A1812" t="str">
        <f>"2017-03-20"</f>
        <v>2017-03-20</v>
      </c>
      <c r="B1812" s="1" t="str">
        <f t="shared" si="28"/>
        <v>03/20/2017</v>
      </c>
      <c r="C1812" t="str">
        <f>"41.0655"</f>
        <v>41.0655</v>
      </c>
      <c r="D1812" s="1" t="s">
        <v>1803</v>
      </c>
      <c r="E1812" t="s">
        <v>5920</v>
      </c>
    </row>
    <row r="1813" spans="1:5" x14ac:dyDescent="0.35">
      <c r="A1813" t="str">
        <f>"2017-03-21"</f>
        <v>2017-03-21</v>
      </c>
      <c r="B1813" s="1" t="str">
        <f t="shared" si="28"/>
        <v>03/21/2017</v>
      </c>
      <c r="C1813" t="str">
        <f>"39.5425"</f>
        <v>39.5425</v>
      </c>
      <c r="D1813" s="1" t="s">
        <v>1804</v>
      </c>
      <c r="E1813" t="s">
        <v>5921</v>
      </c>
    </row>
    <row r="1814" spans="1:5" x14ac:dyDescent="0.35">
      <c r="A1814" t="str">
        <f>"2017-03-22"</f>
        <v>2017-03-22</v>
      </c>
      <c r="B1814" s="1" t="str">
        <f t="shared" si="28"/>
        <v>03/22/2017</v>
      </c>
      <c r="C1814" t="str">
        <f>"37.6974"</f>
        <v>37.6974</v>
      </c>
      <c r="D1814" s="1" t="s">
        <v>1805</v>
      </c>
      <c r="E1814" t="s">
        <v>5922</v>
      </c>
    </row>
    <row r="1815" spans="1:5" x14ac:dyDescent="0.35">
      <c r="A1815" t="str">
        <f>"2017-03-23"</f>
        <v>2017-03-23</v>
      </c>
      <c r="B1815" s="1" t="str">
        <f t="shared" si="28"/>
        <v>03/23/2017</v>
      </c>
      <c r="C1815" t="str">
        <f>"37.8754"</f>
        <v>37.8754</v>
      </c>
      <c r="D1815" s="1" t="s">
        <v>1806</v>
      </c>
      <c r="E1815" t="s">
        <v>5923</v>
      </c>
    </row>
    <row r="1816" spans="1:5" x14ac:dyDescent="0.35">
      <c r="A1816" t="str">
        <f>"2017-03-24"</f>
        <v>2017-03-24</v>
      </c>
      <c r="B1816" s="1" t="str">
        <f t="shared" si="28"/>
        <v>03/24/2017</v>
      </c>
      <c r="C1816" t="str">
        <f>"37.9312"</f>
        <v>37.9312</v>
      </c>
      <c r="D1816" s="1" t="s">
        <v>1807</v>
      </c>
      <c r="E1816" t="s">
        <v>5924</v>
      </c>
    </row>
    <row r="1817" spans="1:5" x14ac:dyDescent="0.35">
      <c r="A1817" t="str">
        <f>"2017-03-27"</f>
        <v>2017-03-27</v>
      </c>
      <c r="B1817" s="1" t="str">
        <f t="shared" si="28"/>
        <v>03/27/2017</v>
      </c>
      <c r="C1817" t="str">
        <f>"38.1113"</f>
        <v>38.1113</v>
      </c>
      <c r="D1817" s="1" t="s">
        <v>1808</v>
      </c>
      <c r="E1817" t="s">
        <v>5925</v>
      </c>
    </row>
    <row r="1818" spans="1:5" x14ac:dyDescent="0.35">
      <c r="A1818" t="str">
        <f>"2017-03-28"</f>
        <v>2017-03-28</v>
      </c>
      <c r="B1818" s="1" t="str">
        <f t="shared" si="28"/>
        <v>03/28/2017</v>
      </c>
      <c r="C1818" t="str">
        <f>"38.0395"</f>
        <v>38.0395</v>
      </c>
      <c r="D1818" s="1" t="s">
        <v>1809</v>
      </c>
      <c r="E1818" t="s">
        <v>5926</v>
      </c>
    </row>
    <row r="1819" spans="1:5" x14ac:dyDescent="0.35">
      <c r="A1819" t="str">
        <f>"2017-03-29"</f>
        <v>2017-03-29</v>
      </c>
      <c r="B1819" s="1" t="str">
        <f t="shared" si="28"/>
        <v>03/29/2017</v>
      </c>
      <c r="C1819" t="str">
        <f>"37.0545"</f>
        <v>37.0545</v>
      </c>
      <c r="D1819" s="1" t="s">
        <v>1810</v>
      </c>
      <c r="E1819" t="s">
        <v>5927</v>
      </c>
    </row>
    <row r="1820" spans="1:5" x14ac:dyDescent="0.35">
      <c r="A1820" t="str">
        <f>"2017-03-30"</f>
        <v>2017-03-30</v>
      </c>
      <c r="B1820" s="1" t="str">
        <f t="shared" si="28"/>
        <v>03/30/2017</v>
      </c>
      <c r="C1820" t="str">
        <f>"37.5046"</f>
        <v>37.5046</v>
      </c>
      <c r="D1820" s="1" t="s">
        <v>1811</v>
      </c>
      <c r="E1820" t="s">
        <v>5928</v>
      </c>
    </row>
    <row r="1821" spans="1:5" x14ac:dyDescent="0.35">
      <c r="A1821" t="str">
        <f>"2017-03-31"</f>
        <v>2017-03-31</v>
      </c>
      <c r="B1821" s="1" t="str">
        <f t="shared" si="28"/>
        <v>03/31/2017</v>
      </c>
      <c r="C1821" t="str">
        <f>"37.3269"</f>
        <v>37.3269</v>
      </c>
      <c r="D1821" s="1" t="s">
        <v>1812</v>
      </c>
      <c r="E1821" t="s">
        <v>5929</v>
      </c>
    </row>
    <row r="1822" spans="1:5" x14ac:dyDescent="0.35">
      <c r="A1822" t="str">
        <f>"2017-04-03"</f>
        <v>2017-04-03</v>
      </c>
      <c r="B1822" s="1" t="str">
        <f t="shared" si="28"/>
        <v>04/03/2017</v>
      </c>
      <c r="C1822" t="str">
        <f>"37.0076"</f>
        <v>37.0076</v>
      </c>
      <c r="D1822" s="1" t="s">
        <v>1813</v>
      </c>
      <c r="E1822" t="s">
        <v>5930</v>
      </c>
    </row>
    <row r="1823" spans="1:5" x14ac:dyDescent="0.35">
      <c r="A1823" t="str">
        <f>"2017-04-04"</f>
        <v>2017-04-04</v>
      </c>
      <c r="B1823" s="1" t="str">
        <f t="shared" si="28"/>
        <v>04/04/2017</v>
      </c>
      <c r="C1823" t="str">
        <f>"37.4047"</f>
        <v>37.4047</v>
      </c>
      <c r="D1823" s="1" t="s">
        <v>1814</v>
      </c>
      <c r="E1823" t="s">
        <v>5931</v>
      </c>
    </row>
    <row r="1824" spans="1:5" x14ac:dyDescent="0.35">
      <c r="A1824" t="str">
        <f>"2017-04-05"</f>
        <v>2017-04-05</v>
      </c>
      <c r="B1824" s="1" t="str">
        <f t="shared" si="28"/>
        <v>04/05/2017</v>
      </c>
      <c r="C1824" t="str">
        <f>"37.2149"</f>
        <v>37.2149</v>
      </c>
      <c r="D1824" s="1" t="s">
        <v>1815</v>
      </c>
      <c r="E1824" t="s">
        <v>5932</v>
      </c>
    </row>
    <row r="1825" spans="1:5" x14ac:dyDescent="0.35">
      <c r="A1825" t="str">
        <f>"2017-04-06"</f>
        <v>2017-04-06</v>
      </c>
      <c r="B1825" s="1" t="str">
        <f t="shared" si="28"/>
        <v>04/06/2017</v>
      </c>
      <c r="C1825" t="str">
        <f>"36.6043"</f>
        <v>36.6043</v>
      </c>
      <c r="D1825" s="1" t="s">
        <v>1816</v>
      </c>
      <c r="E1825" t="s">
        <v>5933</v>
      </c>
    </row>
    <row r="1826" spans="1:5" x14ac:dyDescent="0.35">
      <c r="A1826" t="str">
        <f>"2017-04-07"</f>
        <v>2017-04-07</v>
      </c>
      <c r="B1826" s="1" t="str">
        <f t="shared" si="28"/>
        <v>04/07/2017</v>
      </c>
      <c r="C1826" t="str">
        <f>"36.3405"</f>
        <v>36.3405</v>
      </c>
      <c r="D1826" s="1" t="s">
        <v>1817</v>
      </c>
      <c r="E1826" t="s">
        <v>5934</v>
      </c>
    </row>
    <row r="1827" spans="1:5" x14ac:dyDescent="0.35">
      <c r="A1827" t="str">
        <f>"2017-04-10"</f>
        <v>2017-04-10</v>
      </c>
      <c r="B1827" s="1" t="str">
        <f t="shared" si="28"/>
        <v>04/10/2017</v>
      </c>
      <c r="C1827" t="str">
        <f>"37.278"</f>
        <v>37.278</v>
      </c>
      <c r="D1827" s="1" t="s">
        <v>1818</v>
      </c>
      <c r="E1827" t="s">
        <v>5935</v>
      </c>
    </row>
    <row r="1828" spans="1:5" x14ac:dyDescent="0.35">
      <c r="A1828" t="str">
        <f>"2017-04-11"</f>
        <v>2017-04-11</v>
      </c>
      <c r="B1828" s="1" t="str">
        <f t="shared" si="28"/>
        <v>04/11/2017</v>
      </c>
      <c r="C1828" t="str">
        <f>"36.4241"</f>
        <v>36.4241</v>
      </c>
      <c r="D1828" s="1" t="s">
        <v>1819</v>
      </c>
      <c r="E1828" t="s">
        <v>5936</v>
      </c>
    </row>
    <row r="1829" spans="1:5" x14ac:dyDescent="0.35">
      <c r="A1829" t="str">
        <f>"2017-04-12"</f>
        <v>2017-04-12</v>
      </c>
      <c r="B1829" s="1" t="str">
        <f t="shared" si="28"/>
        <v>04/12/2017</v>
      </c>
      <c r="C1829" t="str">
        <f>"36.7002"</f>
        <v>36.7002</v>
      </c>
      <c r="D1829" s="1" t="s">
        <v>1820</v>
      </c>
      <c r="E1829" t="s">
        <v>5937</v>
      </c>
    </row>
    <row r="1830" spans="1:5" x14ac:dyDescent="0.35">
      <c r="A1830" t="str">
        <f>"2017-04-13"</f>
        <v>2017-04-13</v>
      </c>
      <c r="B1830" s="1" t="str">
        <f t="shared" si="28"/>
        <v>04/13/2017</v>
      </c>
      <c r="C1830" t="str">
        <f>"36.1462"</f>
        <v>36.1462</v>
      </c>
      <c r="D1830" s="1" t="s">
        <v>1821</v>
      </c>
      <c r="E1830" t="s">
        <v>5938</v>
      </c>
    </row>
    <row r="1831" spans="1:5" x14ac:dyDescent="0.35">
      <c r="A1831" t="str">
        <f>"2017-04-17"</f>
        <v>2017-04-17</v>
      </c>
      <c r="B1831" s="1" t="str">
        <f t="shared" si="28"/>
        <v>04/17/2017</v>
      </c>
      <c r="C1831" t="str">
        <f>"36.6909"</f>
        <v>36.6909</v>
      </c>
      <c r="D1831" s="1" t="s">
        <v>1822</v>
      </c>
      <c r="E1831" t="s">
        <v>5939</v>
      </c>
    </row>
    <row r="1832" spans="1:5" x14ac:dyDescent="0.35">
      <c r="A1832" t="str">
        <f>"2017-04-18"</f>
        <v>2017-04-18</v>
      </c>
      <c r="B1832" s="1" t="str">
        <f t="shared" si="28"/>
        <v>04/18/2017</v>
      </c>
      <c r="C1832" t="str">
        <f>"36.1103"</f>
        <v>36.1103</v>
      </c>
      <c r="D1832" s="1" t="s">
        <v>1823</v>
      </c>
      <c r="E1832" t="s">
        <v>5940</v>
      </c>
    </row>
    <row r="1833" spans="1:5" x14ac:dyDescent="0.35">
      <c r="A1833" t="str">
        <f>"2017-04-19"</f>
        <v>2017-04-19</v>
      </c>
      <c r="B1833" s="1" t="str">
        <f t="shared" si="28"/>
        <v>04/19/2017</v>
      </c>
      <c r="C1833" t="str">
        <f>"36.5881"</f>
        <v>36.5881</v>
      </c>
      <c r="D1833" s="1" t="s">
        <v>1824</v>
      </c>
      <c r="E1833" t="s">
        <v>5941</v>
      </c>
    </row>
    <row r="1834" spans="1:5" x14ac:dyDescent="0.35">
      <c r="A1834" t="str">
        <f>"2017-04-20"</f>
        <v>2017-04-20</v>
      </c>
      <c r="B1834" s="1" t="str">
        <f t="shared" si="28"/>
        <v>04/20/2017</v>
      </c>
      <c r="C1834" t="str">
        <f>"36.9387"</f>
        <v>36.9387</v>
      </c>
      <c r="D1834" s="1" t="s">
        <v>1825</v>
      </c>
      <c r="E1834" t="s">
        <v>5942</v>
      </c>
    </row>
    <row r="1835" spans="1:5" x14ac:dyDescent="0.35">
      <c r="A1835" t="str">
        <f>"2017-04-21"</f>
        <v>2017-04-21</v>
      </c>
      <c r="B1835" s="1" t="str">
        <f t="shared" si="28"/>
        <v>04/21/2017</v>
      </c>
      <c r="C1835" t="str">
        <f>"37.6255"</f>
        <v>37.6255</v>
      </c>
      <c r="D1835" s="1" t="s">
        <v>1826</v>
      </c>
      <c r="E1835" t="s">
        <v>5943</v>
      </c>
    </row>
    <row r="1836" spans="1:5" x14ac:dyDescent="0.35">
      <c r="A1836" t="str">
        <f>"2017-04-24"</f>
        <v>2017-04-24</v>
      </c>
      <c r="B1836" s="1" t="str">
        <f t="shared" si="28"/>
        <v>04/24/2017</v>
      </c>
      <c r="C1836" t="str">
        <f>"39.95"</f>
        <v>39.95</v>
      </c>
      <c r="D1836" s="1" t="s">
        <v>1827</v>
      </c>
      <c r="E1836" t="s">
        <v>5944</v>
      </c>
    </row>
    <row r="1837" spans="1:5" x14ac:dyDescent="0.35">
      <c r="A1837" t="str">
        <f>"2017-04-25"</f>
        <v>2017-04-25</v>
      </c>
      <c r="B1837" s="1" t="str">
        <f t="shared" si="28"/>
        <v>04/25/2017</v>
      </c>
      <c r="C1837" t="str">
        <f>"40.6949"</f>
        <v>40.6949</v>
      </c>
      <c r="D1837" s="1" t="s">
        <v>1828</v>
      </c>
      <c r="E1837" t="s">
        <v>5945</v>
      </c>
    </row>
    <row r="1838" spans="1:5" x14ac:dyDescent="0.35">
      <c r="A1838" t="str">
        <f>"2017-04-26"</f>
        <v>2017-04-26</v>
      </c>
      <c r="B1838" s="1" t="str">
        <f t="shared" si="28"/>
        <v>04/26/2017</v>
      </c>
      <c r="C1838" t="str">
        <f>"42.0187"</f>
        <v>42.0187</v>
      </c>
      <c r="D1838" s="1" t="s">
        <v>1829</v>
      </c>
      <c r="E1838" t="s">
        <v>5946</v>
      </c>
    </row>
    <row r="1839" spans="1:5" x14ac:dyDescent="0.35">
      <c r="A1839" t="str">
        <f>"2017-04-27"</f>
        <v>2017-04-27</v>
      </c>
      <c r="B1839" s="1" t="str">
        <f t="shared" si="28"/>
        <v>04/27/2017</v>
      </c>
      <c r="C1839" t="str">
        <f>"41.7719"</f>
        <v>41.7719</v>
      </c>
      <c r="D1839" s="1" t="s">
        <v>1830</v>
      </c>
      <c r="E1839" t="s">
        <v>5947</v>
      </c>
    </row>
    <row r="1840" spans="1:5" x14ac:dyDescent="0.35">
      <c r="A1840" t="str">
        <f>"2017-04-28"</f>
        <v>2017-04-28</v>
      </c>
      <c r="B1840" s="1" t="str">
        <f t="shared" si="28"/>
        <v>04/28/2017</v>
      </c>
      <c r="C1840" t="str">
        <f>"41.7793"</f>
        <v>41.7793</v>
      </c>
      <c r="D1840" s="1" t="s">
        <v>1831</v>
      </c>
      <c r="E1840" t="s">
        <v>5948</v>
      </c>
    </row>
    <row r="1841" spans="1:5" x14ac:dyDescent="0.35">
      <c r="A1841" t="str">
        <f>"2017-05-01"</f>
        <v>2017-05-01</v>
      </c>
      <c r="B1841" s="1" t="str">
        <f t="shared" si="28"/>
        <v>05/01/2017</v>
      </c>
      <c r="C1841" t="str">
        <f>"42.3296"</f>
        <v>42.3296</v>
      </c>
      <c r="D1841" s="1" t="s">
        <v>1832</v>
      </c>
      <c r="E1841" t="s">
        <v>5949</v>
      </c>
    </row>
    <row r="1842" spans="1:5" x14ac:dyDescent="0.35">
      <c r="A1842" t="str">
        <f>"2017-05-02"</f>
        <v>2017-05-02</v>
      </c>
      <c r="B1842" s="1" t="str">
        <f t="shared" si="28"/>
        <v>05/02/2017</v>
      </c>
      <c r="C1842" t="str">
        <f>"42.335"</f>
        <v>42.335</v>
      </c>
      <c r="D1842" s="1" t="s">
        <v>1833</v>
      </c>
      <c r="E1842" t="s">
        <v>5950</v>
      </c>
    </row>
    <row r="1843" spans="1:5" x14ac:dyDescent="0.35">
      <c r="A1843" t="str">
        <f>"2017-05-03"</f>
        <v>2017-05-03</v>
      </c>
      <c r="B1843" s="1" t="str">
        <f t="shared" si="28"/>
        <v>05/03/2017</v>
      </c>
      <c r="C1843" t="str">
        <f>"43.2842"</f>
        <v>43.2842</v>
      </c>
      <c r="D1843" s="1" t="s">
        <v>1834</v>
      </c>
      <c r="E1843" t="s">
        <v>5951</v>
      </c>
    </row>
    <row r="1844" spans="1:5" x14ac:dyDescent="0.35">
      <c r="A1844" t="str">
        <f>"2017-05-04"</f>
        <v>2017-05-04</v>
      </c>
      <c r="B1844" s="1" t="str">
        <f t="shared" si="28"/>
        <v>05/04/2017</v>
      </c>
      <c r="C1844" t="str">
        <f>"44.0624"</f>
        <v>44.0624</v>
      </c>
      <c r="D1844" s="1" t="s">
        <v>1835</v>
      </c>
      <c r="E1844" t="s">
        <v>5952</v>
      </c>
    </row>
    <row r="1845" spans="1:5" x14ac:dyDescent="0.35">
      <c r="A1845" t="str">
        <f>"2017-05-05"</f>
        <v>2017-05-05</v>
      </c>
      <c r="B1845" s="1" t="str">
        <f t="shared" si="28"/>
        <v>05/05/2017</v>
      </c>
      <c r="C1845" t="str">
        <f>"43.8049"</f>
        <v>43.8049</v>
      </c>
      <c r="D1845" s="1" t="s">
        <v>1836</v>
      </c>
      <c r="E1845" t="s">
        <v>5953</v>
      </c>
    </row>
    <row r="1846" spans="1:5" x14ac:dyDescent="0.35">
      <c r="A1846" t="str">
        <f>"2017-05-08"</f>
        <v>2017-05-08</v>
      </c>
      <c r="B1846" s="1" t="str">
        <f t="shared" si="28"/>
        <v>05/08/2017</v>
      </c>
      <c r="C1846" t="str">
        <f>"46.1022"</f>
        <v>46.1022</v>
      </c>
      <c r="D1846" s="1" t="s">
        <v>1837</v>
      </c>
      <c r="E1846" t="s">
        <v>5954</v>
      </c>
    </row>
    <row r="1847" spans="1:5" x14ac:dyDescent="0.35">
      <c r="A1847" t="str">
        <f>"2017-05-09"</f>
        <v>2017-05-09</v>
      </c>
      <c r="B1847" s="1" t="str">
        <f t="shared" si="28"/>
        <v>05/09/2017</v>
      </c>
      <c r="C1847" t="str">
        <f>"46.0181"</f>
        <v>46.0181</v>
      </c>
      <c r="D1847" s="1" t="s">
        <v>1838</v>
      </c>
      <c r="E1847" t="s">
        <v>5955</v>
      </c>
    </row>
    <row r="1848" spans="1:5" x14ac:dyDescent="0.35">
      <c r="A1848" t="str">
        <f>"2017-05-10"</f>
        <v>2017-05-10</v>
      </c>
      <c r="B1848" s="1" t="str">
        <f t="shared" si="28"/>
        <v>05/10/2017</v>
      </c>
      <c r="C1848" t="str">
        <f>"46.9048"</f>
        <v>46.9048</v>
      </c>
      <c r="D1848" s="1" t="s">
        <v>1839</v>
      </c>
      <c r="E1848" t="s">
        <v>5956</v>
      </c>
    </row>
    <row r="1849" spans="1:5" x14ac:dyDescent="0.35">
      <c r="A1849" t="str">
        <f>"2017-05-11"</f>
        <v>2017-05-11</v>
      </c>
      <c r="B1849" s="1" t="str">
        <f t="shared" si="28"/>
        <v>05/11/2017</v>
      </c>
      <c r="C1849" t="str">
        <f>"46.1367"</f>
        <v>46.1367</v>
      </c>
      <c r="D1849" s="1" t="s">
        <v>1840</v>
      </c>
      <c r="E1849" t="s">
        <v>5957</v>
      </c>
    </row>
    <row r="1850" spans="1:5" x14ac:dyDescent="0.35">
      <c r="A1850" t="str">
        <f>"2017-05-12"</f>
        <v>2017-05-12</v>
      </c>
      <c r="B1850" s="1" t="str">
        <f t="shared" si="28"/>
        <v>05/12/2017</v>
      </c>
      <c r="C1850" t="str">
        <f>"46.0899"</f>
        <v>46.0899</v>
      </c>
      <c r="D1850" s="1" t="s">
        <v>1841</v>
      </c>
      <c r="E1850" t="s">
        <v>5958</v>
      </c>
    </row>
    <row r="1851" spans="1:5" x14ac:dyDescent="0.35">
      <c r="A1851" t="str">
        <f>"2017-05-15"</f>
        <v>2017-05-15</v>
      </c>
      <c r="B1851" s="1" t="str">
        <f t="shared" si="28"/>
        <v>05/15/2017</v>
      </c>
      <c r="C1851" t="str">
        <f>"47.1968"</f>
        <v>47.1968</v>
      </c>
      <c r="D1851" s="1" t="s">
        <v>1842</v>
      </c>
      <c r="E1851" t="s">
        <v>5959</v>
      </c>
    </row>
    <row r="1852" spans="1:5" x14ac:dyDescent="0.35">
      <c r="A1852" t="str">
        <f>"2017-05-16"</f>
        <v>2017-05-16</v>
      </c>
      <c r="B1852" s="1" t="str">
        <f t="shared" si="28"/>
        <v>05/16/2017</v>
      </c>
      <c r="C1852" t="str">
        <f>"47.7185"</f>
        <v>47.7185</v>
      </c>
      <c r="D1852" s="1" t="s">
        <v>1843</v>
      </c>
      <c r="E1852" t="s">
        <v>5960</v>
      </c>
    </row>
    <row r="1853" spans="1:5" x14ac:dyDescent="0.35">
      <c r="A1853" t="str">
        <f>"2017-05-17"</f>
        <v>2017-05-17</v>
      </c>
      <c r="B1853" s="1" t="str">
        <f t="shared" si="28"/>
        <v>05/17/2017</v>
      </c>
      <c r="C1853" t="str">
        <f>"47.2794"</f>
        <v>47.2794</v>
      </c>
      <c r="D1853" s="1" t="s">
        <v>1844</v>
      </c>
      <c r="E1853" t="s">
        <v>5961</v>
      </c>
    </row>
    <row r="1854" spans="1:5" x14ac:dyDescent="0.35">
      <c r="A1854" t="str">
        <f>"2017-05-18"</f>
        <v>2017-05-18</v>
      </c>
      <c r="B1854" s="1" t="str">
        <f t="shared" si="28"/>
        <v>05/18/2017</v>
      </c>
      <c r="C1854" t="str">
        <f>"46.3839"</f>
        <v>46.3839</v>
      </c>
      <c r="D1854" s="1" t="s">
        <v>1845</v>
      </c>
      <c r="E1854" t="s">
        <v>5962</v>
      </c>
    </row>
    <row r="1855" spans="1:5" x14ac:dyDescent="0.35">
      <c r="A1855" t="str">
        <f>"2017-05-19"</f>
        <v>2017-05-19</v>
      </c>
      <c r="B1855" s="1" t="str">
        <f t="shared" si="28"/>
        <v>05/19/2017</v>
      </c>
      <c r="C1855" t="str">
        <f>"45.8547"</f>
        <v>45.8547</v>
      </c>
      <c r="D1855" s="1" t="s">
        <v>1846</v>
      </c>
      <c r="E1855" t="s">
        <v>5963</v>
      </c>
    </row>
    <row r="1856" spans="1:5" x14ac:dyDescent="0.35">
      <c r="A1856" t="str">
        <f>"2017-05-22"</f>
        <v>2017-05-22</v>
      </c>
      <c r="B1856" s="1" t="str">
        <f t="shared" si="28"/>
        <v>05/22/2017</v>
      </c>
      <c r="C1856" t="str">
        <f>"47.2642"</f>
        <v>47.2642</v>
      </c>
      <c r="D1856" s="1" t="s">
        <v>1847</v>
      </c>
      <c r="E1856" t="s">
        <v>5964</v>
      </c>
    </row>
    <row r="1857" spans="1:5" x14ac:dyDescent="0.35">
      <c r="A1857" t="str">
        <f>"2017-05-23"</f>
        <v>2017-05-23</v>
      </c>
      <c r="B1857" s="1" t="str">
        <f t="shared" si="28"/>
        <v>05/23/2017</v>
      </c>
      <c r="C1857" t="str">
        <f>"49.2152"</f>
        <v>49.2152</v>
      </c>
      <c r="D1857" s="1" t="s">
        <v>1848</v>
      </c>
      <c r="E1857" t="s">
        <v>5965</v>
      </c>
    </row>
    <row r="1858" spans="1:5" x14ac:dyDescent="0.35">
      <c r="A1858" t="str">
        <f>"2017-05-24"</f>
        <v>2017-05-24</v>
      </c>
      <c r="B1858" s="1" t="str">
        <f t="shared" si="28"/>
        <v>05/24/2017</v>
      </c>
      <c r="C1858" t="str">
        <f>"49.6177"</f>
        <v>49.6177</v>
      </c>
      <c r="D1858" s="1" t="s">
        <v>1849</v>
      </c>
      <c r="E1858" t="s">
        <v>5966</v>
      </c>
    </row>
    <row r="1859" spans="1:5" x14ac:dyDescent="0.35">
      <c r="A1859" t="str">
        <f>"2017-05-25"</f>
        <v>2017-05-25</v>
      </c>
      <c r="B1859" s="1" t="str">
        <f t="shared" ref="B1859:B1922" si="29">LEFT(RIGHT(A1859,5),2)&amp;"/"&amp;RIGHT(A1859,2)&amp;"/"&amp;LEFT(A1859,4)</f>
        <v>05/25/2017</v>
      </c>
      <c r="C1859" t="str">
        <f>"50.7399"</f>
        <v>50.7399</v>
      </c>
      <c r="D1859" s="1" t="s">
        <v>1850</v>
      </c>
      <c r="E1859" t="s">
        <v>5967</v>
      </c>
    </row>
    <row r="1860" spans="1:5" x14ac:dyDescent="0.35">
      <c r="A1860" t="str">
        <f>"2017-05-26"</f>
        <v>2017-05-26</v>
      </c>
      <c r="B1860" s="1" t="str">
        <f t="shared" si="29"/>
        <v>05/26/2017</v>
      </c>
      <c r="C1860" t="str">
        <f>"50.0747"</f>
        <v>50.0747</v>
      </c>
      <c r="D1860" s="1" t="s">
        <v>1851</v>
      </c>
      <c r="E1860" t="s">
        <v>5968</v>
      </c>
    </row>
    <row r="1861" spans="1:5" x14ac:dyDescent="0.35">
      <c r="A1861" t="str">
        <f>"2017-05-30"</f>
        <v>2017-05-30</v>
      </c>
      <c r="B1861" s="1" t="str">
        <f t="shared" si="29"/>
        <v>05/30/2017</v>
      </c>
      <c r="C1861" t="str">
        <f>"49.8378"</f>
        <v>49.8378</v>
      </c>
      <c r="D1861" s="1" t="s">
        <v>1852</v>
      </c>
      <c r="E1861" t="s">
        <v>5969</v>
      </c>
    </row>
    <row r="1862" spans="1:5" x14ac:dyDescent="0.35">
      <c r="A1862" t="str">
        <f>"2017-05-31"</f>
        <v>2017-05-31</v>
      </c>
      <c r="B1862" s="1" t="str">
        <f t="shared" si="29"/>
        <v>05/31/2017</v>
      </c>
      <c r="C1862" t="str">
        <f>"49.8341"</f>
        <v>49.8341</v>
      </c>
      <c r="D1862" s="1" t="s">
        <v>1853</v>
      </c>
      <c r="E1862" t="s">
        <v>5970</v>
      </c>
    </row>
    <row r="1863" spans="1:5" x14ac:dyDescent="0.35">
      <c r="A1863" t="str">
        <f>"2017-06-01"</f>
        <v>2017-06-01</v>
      </c>
      <c r="B1863" s="1" t="str">
        <f t="shared" si="29"/>
        <v>06/01/2017</v>
      </c>
      <c r="C1863" t="str">
        <f>"49.7491"</f>
        <v>49.7491</v>
      </c>
      <c r="D1863" s="1" t="s">
        <v>1854</v>
      </c>
      <c r="E1863" t="s">
        <v>5971</v>
      </c>
    </row>
    <row r="1864" spans="1:5" x14ac:dyDescent="0.35">
      <c r="A1864" t="str">
        <f>"2017-06-02"</f>
        <v>2017-06-02</v>
      </c>
      <c r="B1864" s="1" t="str">
        <f t="shared" si="29"/>
        <v>06/02/2017</v>
      </c>
      <c r="C1864" t="str">
        <f>"50.1731"</f>
        <v>50.1731</v>
      </c>
      <c r="D1864" s="1" t="s">
        <v>1855</v>
      </c>
      <c r="E1864" t="s">
        <v>5972</v>
      </c>
    </row>
    <row r="1865" spans="1:5" x14ac:dyDescent="0.35">
      <c r="A1865" t="str">
        <f>"2017-06-05"</f>
        <v>2017-06-05</v>
      </c>
      <c r="B1865" s="1" t="str">
        <f t="shared" si="29"/>
        <v>06/05/2017</v>
      </c>
      <c r="C1865" t="str">
        <f>"51.4641"</f>
        <v>51.4641</v>
      </c>
      <c r="D1865" s="1" t="s">
        <v>1856</v>
      </c>
      <c r="E1865" t="s">
        <v>5973</v>
      </c>
    </row>
    <row r="1866" spans="1:5" x14ac:dyDescent="0.35">
      <c r="A1866" t="str">
        <f>"2017-06-06"</f>
        <v>2017-06-06</v>
      </c>
      <c r="B1866" s="1" t="str">
        <f t="shared" si="29"/>
        <v>06/06/2017</v>
      </c>
      <c r="C1866" t="str">
        <f>"51.0638"</f>
        <v>51.0638</v>
      </c>
      <c r="D1866" s="1" t="s">
        <v>1857</v>
      </c>
      <c r="E1866" t="s">
        <v>5974</v>
      </c>
    </row>
    <row r="1867" spans="1:5" x14ac:dyDescent="0.35">
      <c r="A1867" t="str">
        <f>"2017-06-07"</f>
        <v>2017-06-07</v>
      </c>
      <c r="B1867" s="1" t="str">
        <f t="shared" si="29"/>
        <v>06/07/2017</v>
      </c>
      <c r="C1867" t="str">
        <f>"50.914"</f>
        <v>50.914</v>
      </c>
      <c r="D1867" s="1" t="s">
        <v>1858</v>
      </c>
      <c r="E1867" t="s">
        <v>5975</v>
      </c>
    </row>
    <row r="1868" spans="1:5" x14ac:dyDescent="0.35">
      <c r="A1868" t="str">
        <f>"2017-06-08"</f>
        <v>2017-06-08</v>
      </c>
      <c r="B1868" s="1" t="str">
        <f t="shared" si="29"/>
        <v>06/08/2017</v>
      </c>
      <c r="C1868" t="str">
        <f>"50.3054"</f>
        <v>50.3054</v>
      </c>
      <c r="D1868" s="1" t="s">
        <v>1859</v>
      </c>
      <c r="E1868" t="s">
        <v>5976</v>
      </c>
    </row>
    <row r="1869" spans="1:5" x14ac:dyDescent="0.35">
      <c r="A1869" t="str">
        <f>"2017-06-09"</f>
        <v>2017-06-09</v>
      </c>
      <c r="B1869" s="1" t="str">
        <f t="shared" si="29"/>
        <v>06/09/2017</v>
      </c>
      <c r="C1869" t="str">
        <f>"51.3187"</f>
        <v>51.3187</v>
      </c>
      <c r="D1869" s="1" t="s">
        <v>1860</v>
      </c>
      <c r="E1869" t="s">
        <v>5977</v>
      </c>
    </row>
    <row r="1870" spans="1:5" x14ac:dyDescent="0.35">
      <c r="A1870" t="str">
        <f>"2017-06-12"</f>
        <v>2017-06-12</v>
      </c>
      <c r="B1870" s="1" t="str">
        <f t="shared" si="29"/>
        <v>06/12/2017</v>
      </c>
      <c r="C1870" t="str">
        <f>"51.2335"</f>
        <v>51.2335</v>
      </c>
      <c r="D1870" s="1" t="s">
        <v>1861</v>
      </c>
      <c r="E1870" t="s">
        <v>5978</v>
      </c>
    </row>
    <row r="1871" spans="1:5" x14ac:dyDescent="0.35">
      <c r="A1871" t="str">
        <f>"2017-06-13"</f>
        <v>2017-06-13</v>
      </c>
      <c r="B1871" s="1" t="str">
        <f t="shared" si="29"/>
        <v>06/13/2017</v>
      </c>
      <c r="C1871" t="str">
        <f>"51.0916"</f>
        <v>51.0916</v>
      </c>
      <c r="D1871" s="1" t="s">
        <v>1862</v>
      </c>
      <c r="E1871" t="s">
        <v>5979</v>
      </c>
    </row>
    <row r="1872" spans="1:5" x14ac:dyDescent="0.35">
      <c r="A1872" t="str">
        <f>"2017-06-14"</f>
        <v>2017-06-14</v>
      </c>
      <c r="B1872" s="1" t="str">
        <f t="shared" si="29"/>
        <v>06/14/2017</v>
      </c>
      <c r="C1872" t="str">
        <f>"51.6901"</f>
        <v>51.6901</v>
      </c>
      <c r="D1872" s="1" t="s">
        <v>1863</v>
      </c>
      <c r="E1872" t="s">
        <v>5980</v>
      </c>
    </row>
    <row r="1873" spans="1:5" x14ac:dyDescent="0.35">
      <c r="A1873" t="str">
        <f>"2017-06-15"</f>
        <v>2017-06-15</v>
      </c>
      <c r="B1873" s="1" t="str">
        <f t="shared" si="29"/>
        <v>06/15/2017</v>
      </c>
      <c r="C1873" t="str">
        <f>"52.403"</f>
        <v>52.403</v>
      </c>
      <c r="D1873" s="1" t="s">
        <v>1864</v>
      </c>
      <c r="E1873" t="s">
        <v>5981</v>
      </c>
    </row>
    <row r="1874" spans="1:5" x14ac:dyDescent="0.35">
      <c r="A1874" t="str">
        <f>"2017-06-16"</f>
        <v>2017-06-16</v>
      </c>
      <c r="B1874" s="1" t="str">
        <f t="shared" si="29"/>
        <v>06/16/2017</v>
      </c>
      <c r="C1874" t="str">
        <f>"51.3296"</f>
        <v>51.3296</v>
      </c>
      <c r="D1874" s="1" t="s">
        <v>1865</v>
      </c>
      <c r="E1874" t="s">
        <v>5982</v>
      </c>
    </row>
    <row r="1875" spans="1:5" x14ac:dyDescent="0.35">
      <c r="A1875" t="str">
        <f>"2017-06-19"</f>
        <v>2017-06-19</v>
      </c>
      <c r="B1875" s="1" t="str">
        <f t="shared" si="29"/>
        <v>06/19/2017</v>
      </c>
      <c r="C1875" t="str">
        <f>"53.2041"</f>
        <v>53.2041</v>
      </c>
      <c r="D1875" s="1" t="s">
        <v>1866</v>
      </c>
      <c r="E1875" t="s">
        <v>5983</v>
      </c>
    </row>
    <row r="1876" spans="1:5" x14ac:dyDescent="0.35">
      <c r="A1876" t="str">
        <f>"2017-06-20"</f>
        <v>2017-06-20</v>
      </c>
      <c r="B1876" s="1" t="str">
        <f t="shared" si="29"/>
        <v>06/20/2017</v>
      </c>
      <c r="C1876" t="str">
        <f>"52.728"</f>
        <v>52.728</v>
      </c>
      <c r="D1876" s="1" t="s">
        <v>1867</v>
      </c>
      <c r="E1876" t="s">
        <v>5984</v>
      </c>
    </row>
    <row r="1877" spans="1:5" x14ac:dyDescent="0.35">
      <c r="A1877" t="str">
        <f>"2017-06-21"</f>
        <v>2017-06-21</v>
      </c>
      <c r="B1877" s="1" t="str">
        <f t="shared" si="29"/>
        <v>06/21/2017</v>
      </c>
      <c r="C1877" t="str">
        <f>"52.5879"</f>
        <v>52.5879</v>
      </c>
      <c r="D1877" s="1" t="s">
        <v>1868</v>
      </c>
      <c r="E1877" t="s">
        <v>5985</v>
      </c>
    </row>
    <row r="1878" spans="1:5" x14ac:dyDescent="0.35">
      <c r="A1878" t="str">
        <f>"2017-06-22"</f>
        <v>2017-06-22</v>
      </c>
      <c r="B1878" s="1" t="str">
        <f t="shared" si="29"/>
        <v>06/22/2017</v>
      </c>
      <c r="C1878" t="str">
        <f>"53.666"</f>
        <v>53.666</v>
      </c>
      <c r="D1878" s="1" t="s">
        <v>1869</v>
      </c>
      <c r="E1878" t="s">
        <v>5986</v>
      </c>
    </row>
    <row r="1879" spans="1:5" x14ac:dyDescent="0.35">
      <c r="A1879" t="str">
        <f>"2017-06-23"</f>
        <v>2017-06-23</v>
      </c>
      <c r="B1879" s="1" t="str">
        <f t="shared" si="29"/>
        <v>06/23/2017</v>
      </c>
      <c r="C1879" t="str">
        <f>"54.7653"</f>
        <v>54.7653</v>
      </c>
      <c r="D1879" s="1" t="s">
        <v>1870</v>
      </c>
      <c r="E1879" t="s">
        <v>5987</v>
      </c>
    </row>
    <row r="1880" spans="1:5" x14ac:dyDescent="0.35">
      <c r="A1880" t="str">
        <f>"2017-06-26"</f>
        <v>2017-06-26</v>
      </c>
      <c r="B1880" s="1" t="str">
        <f t="shared" si="29"/>
        <v>06/26/2017</v>
      </c>
      <c r="C1880" t="str">
        <f>"55.3222"</f>
        <v>55.3222</v>
      </c>
      <c r="D1880" s="1" t="s">
        <v>1871</v>
      </c>
      <c r="E1880" t="s">
        <v>5988</v>
      </c>
    </row>
    <row r="1881" spans="1:5" x14ac:dyDescent="0.35">
      <c r="A1881" t="str">
        <f>"2017-06-27"</f>
        <v>2017-06-27</v>
      </c>
      <c r="B1881" s="1" t="str">
        <f t="shared" si="29"/>
        <v>06/27/2017</v>
      </c>
      <c r="C1881" t="str">
        <f>"55.3986"</f>
        <v>55.3986</v>
      </c>
      <c r="D1881" s="1" t="s">
        <v>1872</v>
      </c>
      <c r="E1881" t="s">
        <v>5989</v>
      </c>
    </row>
    <row r="1882" spans="1:5" x14ac:dyDescent="0.35">
      <c r="A1882" t="str">
        <f>"2017-06-28"</f>
        <v>2017-06-28</v>
      </c>
      <c r="B1882" s="1" t="str">
        <f t="shared" si="29"/>
        <v>06/28/2017</v>
      </c>
      <c r="C1882" t="str">
        <f>"56.5106"</f>
        <v>56.5106</v>
      </c>
      <c r="D1882" s="1" t="s">
        <v>1873</v>
      </c>
      <c r="E1882" t="s">
        <v>5990</v>
      </c>
    </row>
    <row r="1883" spans="1:5" x14ac:dyDescent="0.35">
      <c r="A1883" t="str">
        <f>"2017-06-29"</f>
        <v>2017-06-29</v>
      </c>
      <c r="B1883" s="1" t="str">
        <f t="shared" si="29"/>
        <v>06/29/2017</v>
      </c>
      <c r="C1883" t="str">
        <f>"55.5972"</f>
        <v>55.5972</v>
      </c>
      <c r="D1883" s="1" t="s">
        <v>1874</v>
      </c>
      <c r="E1883" t="s">
        <v>5991</v>
      </c>
    </row>
    <row r="1884" spans="1:5" x14ac:dyDescent="0.35">
      <c r="A1884" t="str">
        <f>"2017-06-30"</f>
        <v>2017-06-30</v>
      </c>
      <c r="B1884" s="1" t="str">
        <f t="shared" si="29"/>
        <v>06/30/2017</v>
      </c>
      <c r="C1884" t="str">
        <f>"57.263"</f>
        <v>57.263</v>
      </c>
      <c r="D1884" s="1" t="s">
        <v>1875</v>
      </c>
      <c r="E1884" t="s">
        <v>5992</v>
      </c>
    </row>
    <row r="1885" spans="1:5" x14ac:dyDescent="0.35">
      <c r="A1885" t="str">
        <f>"2017-07-03"</f>
        <v>2017-07-03</v>
      </c>
      <c r="B1885" s="1" t="str">
        <f t="shared" si="29"/>
        <v>07/03/2017</v>
      </c>
      <c r="C1885" t="str">
        <f>"58.4893"</f>
        <v>58.4893</v>
      </c>
      <c r="D1885" s="1" t="s">
        <v>1876</v>
      </c>
      <c r="E1885" t="s">
        <v>5993</v>
      </c>
    </row>
    <row r="1886" spans="1:5" x14ac:dyDescent="0.35">
      <c r="A1886" t="str">
        <f>"2017-07-05"</f>
        <v>2017-07-05</v>
      </c>
      <c r="B1886" s="1" t="str">
        <f t="shared" si="29"/>
        <v>07/05/2017</v>
      </c>
      <c r="C1886" t="str">
        <f>"58.9573"</f>
        <v>58.9573</v>
      </c>
      <c r="D1886" s="1" t="s">
        <v>1877</v>
      </c>
      <c r="E1886" t="s">
        <v>5994</v>
      </c>
    </row>
    <row r="1887" spans="1:5" x14ac:dyDescent="0.35">
      <c r="A1887" t="str">
        <f>"2017-07-06"</f>
        <v>2017-07-06</v>
      </c>
      <c r="B1887" s="1" t="str">
        <f t="shared" si="29"/>
        <v>07/06/2017</v>
      </c>
      <c r="C1887" t="str">
        <f>"58.6254"</f>
        <v>58.6254</v>
      </c>
      <c r="D1887" s="1" t="s">
        <v>1878</v>
      </c>
      <c r="E1887" t="s">
        <v>5995</v>
      </c>
    </row>
    <row r="1888" spans="1:5" x14ac:dyDescent="0.35">
      <c r="A1888" t="str">
        <f>"2017-07-07"</f>
        <v>2017-07-07</v>
      </c>
      <c r="B1888" s="1" t="str">
        <f t="shared" si="29"/>
        <v>07/07/2017</v>
      </c>
      <c r="C1888" t="str">
        <f>"59.5584"</f>
        <v>59.5584</v>
      </c>
      <c r="D1888" s="1" t="s">
        <v>1879</v>
      </c>
      <c r="E1888" t="s">
        <v>5996</v>
      </c>
    </row>
    <row r="1889" spans="1:5" x14ac:dyDescent="0.35">
      <c r="A1889" t="str">
        <f>"2017-07-10"</f>
        <v>2017-07-10</v>
      </c>
      <c r="B1889" s="1" t="str">
        <f t="shared" si="29"/>
        <v>07/10/2017</v>
      </c>
      <c r="C1889" t="str">
        <f>"61.4567"</f>
        <v>61.4567</v>
      </c>
      <c r="D1889" s="1" t="s">
        <v>1880</v>
      </c>
      <c r="E1889" t="s">
        <v>5997</v>
      </c>
    </row>
    <row r="1890" spans="1:5" x14ac:dyDescent="0.35">
      <c r="A1890" t="str">
        <f>"2017-07-12"</f>
        <v>2017-07-12</v>
      </c>
      <c r="B1890" s="1" t="str">
        <f t="shared" si="29"/>
        <v>07/12/2017</v>
      </c>
      <c r="C1890" t="str">
        <f>"60.7358"</f>
        <v>60.7358</v>
      </c>
      <c r="D1890" s="1" t="s">
        <v>1881</v>
      </c>
      <c r="E1890" t="s">
        <v>5998</v>
      </c>
    </row>
    <row r="1891" spans="1:5" x14ac:dyDescent="0.35">
      <c r="A1891" t="str">
        <f>"2017-07-13"</f>
        <v>2017-07-13</v>
      </c>
      <c r="B1891" s="1" t="str">
        <f t="shared" si="29"/>
        <v>07/13/2017</v>
      </c>
      <c r="C1891" t="str">
        <f>"62.7624"</f>
        <v>62.7624</v>
      </c>
      <c r="D1891" s="1" t="s">
        <v>1882</v>
      </c>
      <c r="E1891" t="s">
        <v>5999</v>
      </c>
    </row>
    <row r="1892" spans="1:5" x14ac:dyDescent="0.35">
      <c r="A1892" t="str">
        <f>"2017-07-14"</f>
        <v>2017-07-14</v>
      </c>
      <c r="B1892" s="1" t="str">
        <f t="shared" si="29"/>
        <v>07/14/2017</v>
      </c>
      <c r="C1892" t="str">
        <f>"62.7895"</f>
        <v>62.7895</v>
      </c>
      <c r="D1892" s="1" t="s">
        <v>1883</v>
      </c>
      <c r="E1892" t="s">
        <v>6000</v>
      </c>
    </row>
    <row r="1893" spans="1:5" x14ac:dyDescent="0.35">
      <c r="A1893" t="str">
        <f>"2017-07-17"</f>
        <v>2017-07-17</v>
      </c>
      <c r="B1893" s="1" t="str">
        <f t="shared" si="29"/>
        <v>07/17/2017</v>
      </c>
      <c r="C1893" t="str">
        <f>"63.8336"</f>
        <v>63.8336</v>
      </c>
      <c r="D1893" s="1" t="s">
        <v>1884</v>
      </c>
      <c r="E1893" t="s">
        <v>6001</v>
      </c>
    </row>
    <row r="1894" spans="1:5" x14ac:dyDescent="0.35">
      <c r="A1894" t="str">
        <f>"2017-07-18"</f>
        <v>2017-07-18</v>
      </c>
      <c r="B1894" s="1" t="str">
        <f t="shared" si="29"/>
        <v>07/18/2017</v>
      </c>
      <c r="C1894" t="str">
        <f>"62.923"</f>
        <v>62.923</v>
      </c>
      <c r="D1894" s="1" t="s">
        <v>1885</v>
      </c>
      <c r="E1894" t="s">
        <v>6002</v>
      </c>
    </row>
    <row r="1895" spans="1:5" x14ac:dyDescent="0.35">
      <c r="A1895" t="str">
        <f>"2017-07-19"</f>
        <v>2017-07-19</v>
      </c>
      <c r="B1895" s="1" t="str">
        <f t="shared" si="29"/>
        <v>07/19/2017</v>
      </c>
      <c r="C1895" t="str">
        <f>"63.7091"</f>
        <v>63.7091</v>
      </c>
      <c r="D1895" s="1" t="s">
        <v>1886</v>
      </c>
      <c r="E1895" t="s">
        <v>6003</v>
      </c>
    </row>
    <row r="1896" spans="1:5" x14ac:dyDescent="0.35">
      <c r="A1896" t="str">
        <f>"2017-07-20"</f>
        <v>2017-07-20</v>
      </c>
      <c r="B1896" s="1" t="str">
        <f t="shared" si="29"/>
        <v>07/20/2017</v>
      </c>
      <c r="C1896" t="str">
        <f>"62.0198"</f>
        <v>62.0198</v>
      </c>
      <c r="D1896" s="1" t="s">
        <v>1887</v>
      </c>
      <c r="E1896" t="s">
        <v>6004</v>
      </c>
    </row>
    <row r="1897" spans="1:5" x14ac:dyDescent="0.35">
      <c r="A1897" t="str">
        <f>"2017-07-21"</f>
        <v>2017-07-21</v>
      </c>
      <c r="B1897" s="1" t="str">
        <f t="shared" si="29"/>
        <v>07/21/2017</v>
      </c>
      <c r="C1897" t="str">
        <f>"62.1555"</f>
        <v>62.1555</v>
      </c>
      <c r="D1897" s="1" t="s">
        <v>1888</v>
      </c>
      <c r="E1897" t="s">
        <v>6005</v>
      </c>
    </row>
    <row r="1898" spans="1:5" x14ac:dyDescent="0.35">
      <c r="A1898" t="str">
        <f>"2017-07-24"</f>
        <v>2017-07-24</v>
      </c>
      <c r="B1898" s="1" t="str">
        <f t="shared" si="29"/>
        <v>07/24/2017</v>
      </c>
      <c r="C1898" t="str">
        <f>"62.0925"</f>
        <v>62.0925</v>
      </c>
      <c r="D1898" s="1" t="s">
        <v>1889</v>
      </c>
      <c r="E1898" t="s">
        <v>6006</v>
      </c>
    </row>
    <row r="1899" spans="1:5" x14ac:dyDescent="0.35">
      <c r="A1899" t="str">
        <f>"2017-07-25"</f>
        <v>2017-07-25</v>
      </c>
      <c r="B1899" s="1" t="str">
        <f t="shared" si="29"/>
        <v>07/25/2017</v>
      </c>
      <c r="C1899" t="str">
        <f>"61.4248"</f>
        <v>61.4248</v>
      </c>
      <c r="D1899" s="1" t="s">
        <v>1890</v>
      </c>
      <c r="E1899" t="s">
        <v>6007</v>
      </c>
    </row>
    <row r="1900" spans="1:5" x14ac:dyDescent="0.35">
      <c r="A1900" t="str">
        <f>"2017-07-26"</f>
        <v>2017-07-26</v>
      </c>
      <c r="B1900" s="1" t="str">
        <f t="shared" si="29"/>
        <v>07/26/2017</v>
      </c>
      <c r="C1900" t="str">
        <f>"60.5989"</f>
        <v>60.5989</v>
      </c>
      <c r="D1900" s="1" t="s">
        <v>1891</v>
      </c>
      <c r="E1900" t="s">
        <v>6008</v>
      </c>
    </row>
    <row r="1901" spans="1:5" x14ac:dyDescent="0.35">
      <c r="A1901" t="str">
        <f>"2017-07-27"</f>
        <v>2017-07-27</v>
      </c>
      <c r="B1901" s="1" t="str">
        <f t="shared" si="29"/>
        <v>07/27/2017</v>
      </c>
      <c r="C1901" t="str">
        <f>"61.3442"</f>
        <v>61.3442</v>
      </c>
      <c r="D1901" s="1" t="s">
        <v>1892</v>
      </c>
      <c r="E1901" t="s">
        <v>6009</v>
      </c>
    </row>
    <row r="1902" spans="1:5" x14ac:dyDescent="0.35">
      <c r="A1902" t="str">
        <f>"2017-07-28"</f>
        <v>2017-07-28</v>
      </c>
      <c r="B1902" s="1" t="str">
        <f t="shared" si="29"/>
        <v>07/28/2017</v>
      </c>
      <c r="C1902" t="str">
        <f>"60.0475"</f>
        <v>60.0475</v>
      </c>
      <c r="D1902" s="1" t="s">
        <v>1893</v>
      </c>
      <c r="E1902" t="s">
        <v>6010</v>
      </c>
    </row>
    <row r="1903" spans="1:5" x14ac:dyDescent="0.35">
      <c r="A1903" t="str">
        <f>"2017-07-31"</f>
        <v>2017-07-31</v>
      </c>
      <c r="B1903" s="1" t="str">
        <f t="shared" si="29"/>
        <v>07/31/2017</v>
      </c>
      <c r="C1903" t="str">
        <f>"61.3865"</f>
        <v>61.3865</v>
      </c>
      <c r="D1903" s="1" t="s">
        <v>1894</v>
      </c>
      <c r="E1903" t="s">
        <v>6011</v>
      </c>
    </row>
    <row r="1904" spans="1:5" x14ac:dyDescent="0.35">
      <c r="A1904" t="str">
        <f>"2017-08-01"</f>
        <v>2017-08-01</v>
      </c>
      <c r="B1904" s="1" t="str">
        <f t="shared" si="29"/>
        <v>08/01/2017</v>
      </c>
      <c r="C1904" t="str">
        <f>"60.0305"</f>
        <v>60.0305</v>
      </c>
      <c r="D1904" s="1" t="s">
        <v>1895</v>
      </c>
      <c r="E1904" t="s">
        <v>6012</v>
      </c>
    </row>
    <row r="1905" spans="1:5" x14ac:dyDescent="0.35">
      <c r="A1905" t="str">
        <f>"2017-08-02"</f>
        <v>2017-08-02</v>
      </c>
      <c r="B1905" s="1" t="str">
        <f t="shared" si="29"/>
        <v>08/02/2017</v>
      </c>
      <c r="C1905" t="str">
        <f>"60.0231"</f>
        <v>60.0231</v>
      </c>
      <c r="D1905" s="1" t="s">
        <v>1896</v>
      </c>
      <c r="E1905" t="s">
        <v>6013</v>
      </c>
    </row>
    <row r="1906" spans="1:5" x14ac:dyDescent="0.35">
      <c r="A1906" t="str">
        <f>"2017-08-03"</f>
        <v>2017-08-03</v>
      </c>
      <c r="B1906" s="1" t="str">
        <f t="shared" si="29"/>
        <v>08/03/2017</v>
      </c>
      <c r="C1906" t="str">
        <f>"60.1242"</f>
        <v>60.1242</v>
      </c>
      <c r="D1906" s="1" t="s">
        <v>1897</v>
      </c>
      <c r="E1906" t="s">
        <v>6014</v>
      </c>
    </row>
    <row r="1907" spans="1:5" x14ac:dyDescent="0.35">
      <c r="A1907" t="str">
        <f>"2017-08-04"</f>
        <v>2017-08-04</v>
      </c>
      <c r="B1907" s="1" t="str">
        <f t="shared" si="29"/>
        <v>08/04/2017</v>
      </c>
      <c r="C1907" t="str">
        <f>"61.9486"</f>
        <v>61.9486</v>
      </c>
      <c r="D1907" s="1" t="s">
        <v>1898</v>
      </c>
      <c r="E1907" t="s">
        <v>6015</v>
      </c>
    </row>
    <row r="1908" spans="1:5" x14ac:dyDescent="0.35">
      <c r="A1908" t="str">
        <f>"2017-08-07"</f>
        <v>2017-08-07</v>
      </c>
      <c r="B1908" s="1" t="str">
        <f t="shared" si="29"/>
        <v>08/07/2017</v>
      </c>
      <c r="C1908" t="str">
        <f>"63.4751"</f>
        <v>63.4751</v>
      </c>
      <c r="D1908" s="1" t="s">
        <v>1899</v>
      </c>
      <c r="E1908" t="s">
        <v>6016</v>
      </c>
    </row>
    <row r="1909" spans="1:5" x14ac:dyDescent="0.35">
      <c r="A1909" t="str">
        <f>"2017-08-08"</f>
        <v>2017-08-08</v>
      </c>
      <c r="B1909" s="1" t="str">
        <f t="shared" si="29"/>
        <v>08/08/2017</v>
      </c>
      <c r="C1909" t="str">
        <f>"63.4922"</f>
        <v>63.4922</v>
      </c>
      <c r="D1909" s="1" t="s">
        <v>1900</v>
      </c>
      <c r="E1909" t="s">
        <v>6017</v>
      </c>
    </row>
    <row r="1910" spans="1:5" x14ac:dyDescent="0.35">
      <c r="A1910" t="str">
        <f>"2017-08-09"</f>
        <v>2017-08-09</v>
      </c>
      <c r="B1910" s="1" t="str">
        <f t="shared" si="29"/>
        <v>08/09/2017</v>
      </c>
      <c r="C1910" t="str">
        <f>"61.7356"</f>
        <v>61.7356</v>
      </c>
      <c r="D1910" s="1" t="s">
        <v>1901</v>
      </c>
      <c r="E1910" t="s">
        <v>6018</v>
      </c>
    </row>
    <row r="1911" spans="1:5" x14ac:dyDescent="0.35">
      <c r="A1911" t="str">
        <f>"2017-08-10"</f>
        <v>2017-08-10</v>
      </c>
      <c r="B1911" s="1" t="str">
        <f t="shared" si="29"/>
        <v>08/10/2017</v>
      </c>
      <c r="C1911" t="str">
        <f>"60.5284"</f>
        <v>60.5284</v>
      </c>
      <c r="D1911" s="1" t="s">
        <v>1902</v>
      </c>
      <c r="E1911" t="s">
        <v>6019</v>
      </c>
    </row>
    <row r="1912" spans="1:5" x14ac:dyDescent="0.35">
      <c r="A1912" t="str">
        <f>"2017-08-11"</f>
        <v>2017-08-11</v>
      </c>
      <c r="B1912" s="1" t="str">
        <f t="shared" si="29"/>
        <v>08/11/2017</v>
      </c>
      <c r="C1912" t="str">
        <f>"61.3711"</f>
        <v>61.3711</v>
      </c>
      <c r="D1912" s="1" t="s">
        <v>1903</v>
      </c>
      <c r="E1912" t="s">
        <v>6020</v>
      </c>
    </row>
    <row r="1913" spans="1:5" x14ac:dyDescent="0.35">
      <c r="A1913" t="str">
        <f>"2017-08-14"</f>
        <v>2017-08-14</v>
      </c>
      <c r="B1913" s="1" t="str">
        <f t="shared" si="29"/>
        <v>08/14/2017</v>
      </c>
      <c r="C1913" t="str">
        <f>"65.1171"</f>
        <v>65.1171</v>
      </c>
      <c r="D1913" s="1" t="s">
        <v>1904</v>
      </c>
      <c r="E1913" t="s">
        <v>6021</v>
      </c>
    </row>
    <row r="1914" spans="1:5" x14ac:dyDescent="0.35">
      <c r="A1914" t="str">
        <f>"2017-08-15"</f>
        <v>2017-08-15</v>
      </c>
      <c r="B1914" s="1" t="str">
        <f t="shared" si="29"/>
        <v>08/15/2017</v>
      </c>
      <c r="C1914" t="str">
        <f>"64.2827"</f>
        <v>64.2827</v>
      </c>
      <c r="D1914" s="1" t="s">
        <v>1905</v>
      </c>
      <c r="E1914" t="s">
        <v>6022</v>
      </c>
    </row>
    <row r="1915" spans="1:5" x14ac:dyDescent="0.35">
      <c r="A1915" t="str">
        <f>"2017-08-16"</f>
        <v>2017-08-16</v>
      </c>
      <c r="B1915" s="1" t="str">
        <f t="shared" si="29"/>
        <v>08/16/2017</v>
      </c>
      <c r="C1915" t="str">
        <f>"64.0599"</f>
        <v>64.0599</v>
      </c>
      <c r="D1915" s="1" t="s">
        <v>1906</v>
      </c>
      <c r="E1915" t="s">
        <v>6023</v>
      </c>
    </row>
    <row r="1916" spans="1:5" x14ac:dyDescent="0.35">
      <c r="A1916" t="str">
        <f>"2017-08-17"</f>
        <v>2017-08-17</v>
      </c>
      <c r="B1916" s="1" t="str">
        <f t="shared" si="29"/>
        <v>08/17/2017</v>
      </c>
      <c r="C1916" t="str">
        <f>"63.9532"</f>
        <v>63.9532</v>
      </c>
      <c r="D1916" s="1" t="s">
        <v>1907</v>
      </c>
      <c r="E1916" t="s">
        <v>6024</v>
      </c>
    </row>
    <row r="1917" spans="1:5" x14ac:dyDescent="0.35">
      <c r="A1917" t="str">
        <f>"2017-08-18"</f>
        <v>2017-08-18</v>
      </c>
      <c r="B1917" s="1" t="str">
        <f t="shared" si="29"/>
        <v>08/18/2017</v>
      </c>
      <c r="C1917" t="str">
        <f>"63.4806"</f>
        <v>63.4806</v>
      </c>
      <c r="D1917" s="1" t="s">
        <v>1908</v>
      </c>
      <c r="E1917" t="s">
        <v>6025</v>
      </c>
    </row>
    <row r="1918" spans="1:5" x14ac:dyDescent="0.35">
      <c r="A1918" t="str">
        <f>"2017-08-21"</f>
        <v>2017-08-21</v>
      </c>
      <c r="B1918" s="1" t="str">
        <f t="shared" si="29"/>
        <v>08/21/2017</v>
      </c>
      <c r="C1918" t="str">
        <f>"64.3436"</f>
        <v>64.3436</v>
      </c>
      <c r="D1918" s="1" t="s">
        <v>1909</v>
      </c>
      <c r="E1918" t="s">
        <v>6026</v>
      </c>
    </row>
    <row r="1919" spans="1:5" x14ac:dyDescent="0.35">
      <c r="A1919" t="str">
        <f>"2017-08-22"</f>
        <v>2017-08-22</v>
      </c>
      <c r="B1919" s="1" t="str">
        <f t="shared" si="29"/>
        <v>08/22/2017</v>
      </c>
      <c r="C1919" t="str">
        <f>"66.1811"</f>
        <v>66.1811</v>
      </c>
      <c r="D1919" s="1" t="s">
        <v>1910</v>
      </c>
      <c r="E1919" t="s">
        <v>6027</v>
      </c>
    </row>
    <row r="1920" spans="1:5" x14ac:dyDescent="0.35">
      <c r="A1920" t="str">
        <f>"2017-08-23"</f>
        <v>2017-08-23</v>
      </c>
      <c r="B1920" s="1" t="str">
        <f t="shared" si="29"/>
        <v>08/23/2017</v>
      </c>
      <c r="C1920" t="str">
        <f>"65.3014"</f>
        <v>65.3014</v>
      </c>
      <c r="D1920" s="1" t="s">
        <v>1911</v>
      </c>
      <c r="E1920" t="s">
        <v>6028</v>
      </c>
    </row>
    <row r="1921" spans="1:5" x14ac:dyDescent="0.35">
      <c r="A1921" t="str">
        <f>"2017-08-24"</f>
        <v>2017-08-24</v>
      </c>
      <c r="B1921" s="1" t="str">
        <f t="shared" si="29"/>
        <v>08/24/2017</v>
      </c>
      <c r="C1921" t="str">
        <f>"66.1017"</f>
        <v>66.1017</v>
      </c>
      <c r="D1921" s="1" t="s">
        <v>1912</v>
      </c>
      <c r="E1921" t="s">
        <v>6029</v>
      </c>
    </row>
    <row r="1922" spans="1:5" x14ac:dyDescent="0.35">
      <c r="A1922" t="str">
        <f>"2017-08-25"</f>
        <v>2017-08-25</v>
      </c>
      <c r="B1922" s="1" t="str">
        <f t="shared" si="29"/>
        <v>08/25/2017</v>
      </c>
      <c r="C1922" t="str">
        <f>"66.6984"</f>
        <v>66.6984</v>
      </c>
      <c r="D1922" s="1" t="s">
        <v>1913</v>
      </c>
      <c r="E1922" t="s">
        <v>6030</v>
      </c>
    </row>
    <row r="1923" spans="1:5" x14ac:dyDescent="0.35">
      <c r="A1923" t="str">
        <f>"2017-08-28"</f>
        <v>2017-08-28</v>
      </c>
      <c r="B1923" s="1" t="str">
        <f t="shared" ref="B1923:B1986" si="30">LEFT(RIGHT(A1923,5),2)&amp;"/"&amp;RIGHT(A1923,2)&amp;"/"&amp;LEFT(A1923,4)</f>
        <v>08/28/2017</v>
      </c>
      <c r="C1923" t="str">
        <f>"68.1744"</f>
        <v>68.1744</v>
      </c>
      <c r="D1923" s="1" t="s">
        <v>1914</v>
      </c>
      <c r="E1923" t="s">
        <v>6031</v>
      </c>
    </row>
    <row r="1924" spans="1:5" x14ac:dyDescent="0.35">
      <c r="A1924" t="str">
        <f>"2017-08-29"</f>
        <v>2017-08-29</v>
      </c>
      <c r="B1924" s="1" t="str">
        <f t="shared" si="30"/>
        <v>08/29/2017</v>
      </c>
      <c r="C1924" t="str">
        <f>"66.9651"</f>
        <v>66.9651</v>
      </c>
      <c r="D1924" s="1" t="s">
        <v>1915</v>
      </c>
      <c r="E1924" t="s">
        <v>6032</v>
      </c>
    </row>
    <row r="1925" spans="1:5" x14ac:dyDescent="0.35">
      <c r="A1925" t="str">
        <f>"2017-08-30"</f>
        <v>2017-08-30</v>
      </c>
      <c r="B1925" s="1" t="str">
        <f t="shared" si="30"/>
        <v>08/30/2017</v>
      </c>
      <c r="C1925" t="str">
        <f>"67.363"</f>
        <v>67.363</v>
      </c>
      <c r="D1925" s="1" t="s">
        <v>1916</v>
      </c>
      <c r="E1925" t="s">
        <v>6033</v>
      </c>
    </row>
    <row r="1926" spans="1:5" x14ac:dyDescent="0.35">
      <c r="A1926" t="str">
        <f>"2017-08-31"</f>
        <v>2017-08-31</v>
      </c>
      <c r="B1926" s="1" t="str">
        <f t="shared" si="30"/>
        <v>08/31/2017</v>
      </c>
      <c r="C1926" t="str">
        <f>"66.7539"</f>
        <v>66.7539</v>
      </c>
      <c r="D1926" s="1" t="s">
        <v>1917</v>
      </c>
      <c r="E1926" t="s">
        <v>6034</v>
      </c>
    </row>
    <row r="1927" spans="1:5" x14ac:dyDescent="0.35">
      <c r="A1927" t="str">
        <f>"2017-09-01"</f>
        <v>2017-09-01</v>
      </c>
      <c r="B1927" s="1" t="str">
        <f t="shared" si="30"/>
        <v>09/01/2017</v>
      </c>
      <c r="C1927" t="str">
        <f>"66.4211"</f>
        <v>66.4211</v>
      </c>
      <c r="D1927" s="1" t="s">
        <v>1918</v>
      </c>
      <c r="E1927" t="s">
        <v>6035</v>
      </c>
    </row>
    <row r="1928" spans="1:5" x14ac:dyDescent="0.35">
      <c r="A1928" t="str">
        <f>"2017-09-05"</f>
        <v>2017-09-05</v>
      </c>
      <c r="B1928" s="1" t="str">
        <f t="shared" si="30"/>
        <v>09/05/2017</v>
      </c>
      <c r="C1928" t="str">
        <f>"65.7317"</f>
        <v>65.7317</v>
      </c>
      <c r="D1928" s="1" t="s">
        <v>1919</v>
      </c>
      <c r="E1928" t="s">
        <v>6036</v>
      </c>
    </row>
    <row r="1929" spans="1:5" x14ac:dyDescent="0.35">
      <c r="A1929" t="str">
        <f>"2017-09-06"</f>
        <v>2017-09-06</v>
      </c>
      <c r="B1929" s="1" t="str">
        <f t="shared" si="30"/>
        <v>09/06/2017</v>
      </c>
      <c r="C1929" t="str">
        <f>"66.6947"</f>
        <v>66.6947</v>
      </c>
      <c r="D1929" s="1" t="s">
        <v>1920</v>
      </c>
      <c r="E1929" t="s">
        <v>6037</v>
      </c>
    </row>
    <row r="1930" spans="1:5" x14ac:dyDescent="0.35">
      <c r="A1930" t="str">
        <f>"2017-09-07"</f>
        <v>2017-09-07</v>
      </c>
      <c r="B1930" s="1" t="str">
        <f t="shared" si="30"/>
        <v>09/07/2017</v>
      </c>
      <c r="C1930" t="str">
        <f>"67.7113"</f>
        <v>67.7113</v>
      </c>
      <c r="D1930" s="1" t="s">
        <v>1921</v>
      </c>
      <c r="E1930" t="s">
        <v>6038</v>
      </c>
    </row>
    <row r="1931" spans="1:5" x14ac:dyDescent="0.35">
      <c r="A1931" t="str">
        <f>"2017-09-08"</f>
        <v>2017-09-08</v>
      </c>
      <c r="B1931" s="1" t="str">
        <f t="shared" si="30"/>
        <v>09/08/2017</v>
      </c>
      <c r="C1931" t="str">
        <f>"67.1633"</f>
        <v>67.1633</v>
      </c>
      <c r="D1931" s="1" t="s">
        <v>1922</v>
      </c>
      <c r="E1931" t="s">
        <v>6039</v>
      </c>
    </row>
    <row r="1932" spans="1:5" x14ac:dyDescent="0.35">
      <c r="A1932" t="str">
        <f>"2017-09-11"</f>
        <v>2017-09-11</v>
      </c>
      <c r="B1932" s="1" t="str">
        <f t="shared" si="30"/>
        <v>09/11/2017</v>
      </c>
      <c r="C1932" t="str">
        <f>"70.122"</f>
        <v>70.122</v>
      </c>
      <c r="D1932" s="1" t="s">
        <v>1923</v>
      </c>
      <c r="E1932" t="s">
        <v>6040</v>
      </c>
    </row>
    <row r="1933" spans="1:5" x14ac:dyDescent="0.35">
      <c r="A1933" t="str">
        <f>"2017-09-12"</f>
        <v>2017-09-12</v>
      </c>
      <c r="B1933" s="1" t="str">
        <f t="shared" si="30"/>
        <v>09/12/2017</v>
      </c>
      <c r="C1933" t="str">
        <f>"71.8744"</f>
        <v>71.8744</v>
      </c>
      <c r="D1933" s="1" t="s">
        <v>1924</v>
      </c>
      <c r="E1933" t="s">
        <v>6041</v>
      </c>
    </row>
    <row r="1934" spans="1:5" x14ac:dyDescent="0.35">
      <c r="A1934" t="str">
        <f>"2017-09-13"</f>
        <v>2017-09-13</v>
      </c>
      <c r="B1934" s="1" t="str">
        <f t="shared" si="30"/>
        <v>09/13/2017</v>
      </c>
      <c r="C1934" t="str">
        <f>"68.6746"</f>
        <v>68.6746</v>
      </c>
      <c r="D1934" s="1" t="s">
        <v>1925</v>
      </c>
      <c r="E1934" t="s">
        <v>6042</v>
      </c>
    </row>
    <row r="1935" spans="1:5" x14ac:dyDescent="0.35">
      <c r="A1935" t="str">
        <f>"2017-09-14"</f>
        <v>2017-09-14</v>
      </c>
      <c r="B1935" s="1" t="str">
        <f t="shared" si="30"/>
        <v>09/14/2017</v>
      </c>
      <c r="C1935" t="str">
        <f>"67.3466"</f>
        <v>67.3466</v>
      </c>
      <c r="D1935" s="1" t="s">
        <v>1926</v>
      </c>
      <c r="E1935" t="s">
        <v>6043</v>
      </c>
    </row>
    <row r="1936" spans="1:5" x14ac:dyDescent="0.35">
      <c r="A1936" t="str">
        <f>"2017-09-15"</f>
        <v>2017-09-15</v>
      </c>
      <c r="B1936" s="1" t="str">
        <f t="shared" si="30"/>
        <v>09/15/2017</v>
      </c>
      <c r="C1936" t="str">
        <f>"67.3307"</f>
        <v>67.3307</v>
      </c>
      <c r="D1936" s="1" t="s">
        <v>1927</v>
      </c>
      <c r="E1936" t="s">
        <v>6044</v>
      </c>
    </row>
    <row r="1937" spans="1:5" x14ac:dyDescent="0.35">
      <c r="A1937" t="str">
        <f>"2017-09-18"</f>
        <v>2017-09-18</v>
      </c>
      <c r="B1937" s="1" t="str">
        <f t="shared" si="30"/>
        <v>09/18/2017</v>
      </c>
      <c r="C1937" t="str">
        <f>"64.1457"</f>
        <v>64.1457</v>
      </c>
      <c r="D1937" s="1" t="s">
        <v>1928</v>
      </c>
      <c r="E1937" t="s">
        <v>6045</v>
      </c>
    </row>
    <row r="1938" spans="1:5" x14ac:dyDescent="0.35">
      <c r="A1938" t="str">
        <f>"2017-09-19"</f>
        <v>2017-09-19</v>
      </c>
      <c r="B1938" s="1" t="str">
        <f t="shared" si="30"/>
        <v>09/19/2017</v>
      </c>
      <c r="C1938" t="str">
        <f>"62.8685"</f>
        <v>62.8685</v>
      </c>
      <c r="D1938" s="1" t="s">
        <v>1929</v>
      </c>
      <c r="E1938" t="s">
        <v>6046</v>
      </c>
    </row>
    <row r="1939" spans="1:5" x14ac:dyDescent="0.35">
      <c r="A1939" t="str">
        <f>"2017-09-20"</f>
        <v>2017-09-20</v>
      </c>
      <c r="B1939" s="1" t="str">
        <f t="shared" si="30"/>
        <v>09/20/2017</v>
      </c>
      <c r="C1939" t="str">
        <f>"63.3426"</f>
        <v>63.3426</v>
      </c>
      <c r="D1939" s="1" t="s">
        <v>1930</v>
      </c>
      <c r="E1939" t="s">
        <v>6047</v>
      </c>
    </row>
    <row r="1940" spans="1:5" x14ac:dyDescent="0.35">
      <c r="A1940" t="str">
        <f>"2017-09-21"</f>
        <v>2017-09-21</v>
      </c>
      <c r="B1940" s="1" t="str">
        <f t="shared" si="30"/>
        <v>09/21/2017</v>
      </c>
      <c r="C1940" t="str">
        <f>"63.5369"</f>
        <v>63.5369</v>
      </c>
      <c r="D1940" s="1" t="s">
        <v>1931</v>
      </c>
      <c r="E1940" t="s">
        <v>6048</v>
      </c>
    </row>
    <row r="1941" spans="1:5" x14ac:dyDescent="0.35">
      <c r="A1941" t="str">
        <f>"2017-09-22"</f>
        <v>2017-09-22</v>
      </c>
      <c r="B1941" s="1" t="str">
        <f t="shared" si="30"/>
        <v>09/22/2017</v>
      </c>
      <c r="C1941" t="str">
        <f>"64.3429"</f>
        <v>64.3429</v>
      </c>
      <c r="D1941" s="1" t="s">
        <v>1932</v>
      </c>
      <c r="E1941" t="s">
        <v>6049</v>
      </c>
    </row>
    <row r="1942" spans="1:5" x14ac:dyDescent="0.35">
      <c r="A1942" t="str">
        <f>"2017-09-25"</f>
        <v>2017-09-25</v>
      </c>
      <c r="B1942" s="1" t="str">
        <f t="shared" si="30"/>
        <v>09/25/2017</v>
      </c>
      <c r="C1942" t="str">
        <f>"59.6528"</f>
        <v>59.6528</v>
      </c>
      <c r="D1942" s="1" t="s">
        <v>1933</v>
      </c>
      <c r="E1942" t="s">
        <v>6050</v>
      </c>
    </row>
    <row r="1943" spans="1:5" x14ac:dyDescent="0.35">
      <c r="A1943" t="str">
        <f>"2017-09-26"</f>
        <v>2017-09-26</v>
      </c>
      <c r="B1943" s="1" t="str">
        <f t="shared" si="30"/>
        <v>09/26/2017</v>
      </c>
      <c r="C1943" t="str">
        <f>"60.9087"</f>
        <v>60.9087</v>
      </c>
      <c r="D1943" s="1" t="s">
        <v>1934</v>
      </c>
      <c r="E1943" t="s">
        <v>6051</v>
      </c>
    </row>
    <row r="1944" spans="1:5" x14ac:dyDescent="0.35">
      <c r="A1944" t="str">
        <f>"2017-09-27"</f>
        <v>2017-09-27</v>
      </c>
      <c r="B1944" s="1" t="str">
        <f t="shared" si="30"/>
        <v>09/27/2017</v>
      </c>
      <c r="C1944" t="str">
        <f>"58.8493"</f>
        <v>58.8493</v>
      </c>
      <c r="D1944" s="1" t="s">
        <v>1935</v>
      </c>
      <c r="E1944" t="s">
        <v>6052</v>
      </c>
    </row>
    <row r="1945" spans="1:5" x14ac:dyDescent="0.35">
      <c r="A1945" t="str">
        <f>"2017-09-28"</f>
        <v>2017-09-28</v>
      </c>
      <c r="B1945" s="1" t="str">
        <f t="shared" si="30"/>
        <v>09/28/2017</v>
      </c>
      <c r="C1945" t="str">
        <f>"60.26"</f>
        <v>60.26</v>
      </c>
      <c r="D1945" s="1" t="s">
        <v>1936</v>
      </c>
      <c r="E1945" t="s">
        <v>6053</v>
      </c>
    </row>
    <row r="1946" spans="1:5" x14ac:dyDescent="0.35">
      <c r="A1946" t="str">
        <f>"2017-09-29"</f>
        <v>2017-09-29</v>
      </c>
      <c r="B1946" s="1" t="str">
        <f t="shared" si="30"/>
        <v>09/29/2017</v>
      </c>
      <c r="C1946" t="str">
        <f>"59.6836"</f>
        <v>59.6836</v>
      </c>
      <c r="D1946" s="1" t="s">
        <v>1937</v>
      </c>
      <c r="E1946" t="s">
        <v>6054</v>
      </c>
    </row>
    <row r="1947" spans="1:5" x14ac:dyDescent="0.35">
      <c r="A1947" t="str">
        <f>"2017-10-02"</f>
        <v>2017-10-02</v>
      </c>
      <c r="B1947" s="1" t="str">
        <f t="shared" si="30"/>
        <v>10/02/2017</v>
      </c>
      <c r="C1947" t="str">
        <f>"62.1574"</f>
        <v>62.1574</v>
      </c>
      <c r="D1947" s="1" t="s">
        <v>1938</v>
      </c>
      <c r="E1947" t="s">
        <v>6055</v>
      </c>
    </row>
    <row r="1948" spans="1:5" x14ac:dyDescent="0.35">
      <c r="A1948" t="str">
        <f>"2017-10-03"</f>
        <v>2017-10-03</v>
      </c>
      <c r="B1948" s="1" t="str">
        <f t="shared" si="30"/>
        <v>10/03/2017</v>
      </c>
      <c r="C1948" t="str">
        <f>"61.3063"</f>
        <v>61.3063</v>
      </c>
      <c r="D1948" s="1" t="s">
        <v>1939</v>
      </c>
      <c r="E1948" t="s">
        <v>6056</v>
      </c>
    </row>
    <row r="1949" spans="1:5" x14ac:dyDescent="0.35">
      <c r="A1949" t="str">
        <f>"2017-10-04"</f>
        <v>2017-10-04</v>
      </c>
      <c r="B1949" s="1" t="str">
        <f t="shared" si="30"/>
        <v>10/04/2017</v>
      </c>
      <c r="C1949" t="str">
        <f>"62.7288"</f>
        <v>62.7288</v>
      </c>
      <c r="D1949" s="1" t="s">
        <v>1940</v>
      </c>
      <c r="E1949" t="s">
        <v>6057</v>
      </c>
    </row>
    <row r="1950" spans="1:5" x14ac:dyDescent="0.35">
      <c r="A1950" t="str">
        <f>"2017-10-05"</f>
        <v>2017-10-05</v>
      </c>
      <c r="B1950" s="1" t="str">
        <f t="shared" si="30"/>
        <v>10/05/2017</v>
      </c>
      <c r="C1950" t="str">
        <f>"62.6493"</f>
        <v>62.6493</v>
      </c>
      <c r="D1950" s="1" t="s">
        <v>1941</v>
      </c>
      <c r="E1950" t="s">
        <v>6058</v>
      </c>
    </row>
    <row r="1951" spans="1:5" x14ac:dyDescent="0.35">
      <c r="A1951" t="str">
        <f>"2017-10-06"</f>
        <v>2017-10-06</v>
      </c>
      <c r="B1951" s="1" t="str">
        <f t="shared" si="30"/>
        <v>10/06/2017</v>
      </c>
      <c r="C1951" t="str">
        <f>"63.3513"</f>
        <v>63.3513</v>
      </c>
      <c r="D1951" s="1" t="s">
        <v>1942</v>
      </c>
      <c r="E1951" t="s">
        <v>6059</v>
      </c>
    </row>
    <row r="1952" spans="1:5" x14ac:dyDescent="0.35">
      <c r="A1952" t="str">
        <f>"2017-10-09"</f>
        <v>2017-10-09</v>
      </c>
      <c r="B1952" s="1" t="str">
        <f t="shared" si="30"/>
        <v>10/09/2017</v>
      </c>
      <c r="C1952" t="str">
        <f>"55.186"</f>
        <v>55.186</v>
      </c>
      <c r="D1952" s="1" t="s">
        <v>1943</v>
      </c>
      <c r="E1952" t="s">
        <v>6060</v>
      </c>
    </row>
    <row r="1953" spans="1:5" x14ac:dyDescent="0.35">
      <c r="A1953" t="str">
        <f>"2017-10-10"</f>
        <v>2017-10-10</v>
      </c>
      <c r="B1953" s="1" t="str">
        <f t="shared" si="30"/>
        <v>10/10/2017</v>
      </c>
      <c r="C1953" t="str">
        <f>"56.3143"</f>
        <v>56.3143</v>
      </c>
      <c r="D1953" s="1" t="s">
        <v>1944</v>
      </c>
      <c r="E1953" t="s">
        <v>6061</v>
      </c>
    </row>
    <row r="1954" spans="1:5" x14ac:dyDescent="0.35">
      <c r="A1954" t="str">
        <f>"2017-10-11"</f>
        <v>2017-10-11</v>
      </c>
      <c r="B1954" s="1" t="str">
        <f t="shared" si="30"/>
        <v>10/11/2017</v>
      </c>
      <c r="C1954" t="str">
        <f>"57.7534"</f>
        <v>57.7534</v>
      </c>
      <c r="D1954" s="1" t="s">
        <v>1945</v>
      </c>
      <c r="E1954" t="s">
        <v>6062</v>
      </c>
    </row>
    <row r="1955" spans="1:5" x14ac:dyDescent="0.35">
      <c r="A1955" t="str">
        <f>"2017-10-12"</f>
        <v>2017-10-12</v>
      </c>
      <c r="B1955" s="1" t="str">
        <f t="shared" si="30"/>
        <v>10/12/2017</v>
      </c>
      <c r="C1955" t="str">
        <f>"60.2479"</f>
        <v>60.2479</v>
      </c>
      <c r="D1955" s="1" t="s">
        <v>1946</v>
      </c>
      <c r="E1955" t="s">
        <v>6063</v>
      </c>
    </row>
    <row r="1956" spans="1:5" x14ac:dyDescent="0.35">
      <c r="A1956" t="str">
        <f>"2017-10-13"</f>
        <v>2017-10-13</v>
      </c>
      <c r="B1956" s="1" t="str">
        <f t="shared" si="30"/>
        <v>10/13/2017</v>
      </c>
      <c r="C1956" t="str">
        <f>"59.7978"</f>
        <v>59.7978</v>
      </c>
      <c r="D1956" s="1" t="s">
        <v>1947</v>
      </c>
      <c r="E1956" t="s">
        <v>6064</v>
      </c>
    </row>
    <row r="1957" spans="1:5" x14ac:dyDescent="0.35">
      <c r="A1957" t="str">
        <f>"2017-10-16"</f>
        <v>2017-10-16</v>
      </c>
      <c r="B1957" s="1" t="str">
        <f t="shared" si="30"/>
        <v>10/16/2017</v>
      </c>
      <c r="C1957" t="str">
        <f>"61.4996"</f>
        <v>61.4996</v>
      </c>
      <c r="D1957" s="1" t="s">
        <v>1948</v>
      </c>
      <c r="E1957" t="s">
        <v>6065</v>
      </c>
    </row>
    <row r="1958" spans="1:5" x14ac:dyDescent="0.35">
      <c r="A1958" t="str">
        <f>"2017-10-17"</f>
        <v>2017-10-17</v>
      </c>
      <c r="B1958" s="1" t="str">
        <f t="shared" si="30"/>
        <v>10/17/2017</v>
      </c>
      <c r="C1958" t="str">
        <f>"63.1091"</f>
        <v>63.1091</v>
      </c>
      <c r="D1958" s="1" t="s">
        <v>1949</v>
      </c>
      <c r="E1958" t="s">
        <v>6066</v>
      </c>
    </row>
    <row r="1959" spans="1:5" x14ac:dyDescent="0.35">
      <c r="A1959" t="str">
        <f>"2017-10-18"</f>
        <v>2017-10-18</v>
      </c>
      <c r="B1959" s="1" t="str">
        <f t="shared" si="30"/>
        <v>10/18/2017</v>
      </c>
      <c r="C1959" t="str">
        <f>"63.6495"</f>
        <v>63.6495</v>
      </c>
      <c r="D1959" s="1" t="s">
        <v>1950</v>
      </c>
      <c r="E1959" t="s">
        <v>6067</v>
      </c>
    </row>
    <row r="1960" spans="1:5" x14ac:dyDescent="0.35">
      <c r="A1960" t="str">
        <f>"2017-10-19"</f>
        <v>2017-10-19</v>
      </c>
      <c r="B1960" s="1" t="str">
        <f t="shared" si="30"/>
        <v>10/19/2017</v>
      </c>
      <c r="C1960" t="str">
        <f>"65.4045"</f>
        <v>65.4045</v>
      </c>
      <c r="D1960" s="1" t="s">
        <v>1951</v>
      </c>
      <c r="E1960" t="s">
        <v>6068</v>
      </c>
    </row>
    <row r="1961" spans="1:5" x14ac:dyDescent="0.35">
      <c r="A1961" t="str">
        <f>"2017-10-20"</f>
        <v>2017-10-20</v>
      </c>
      <c r="B1961" s="1" t="str">
        <f t="shared" si="30"/>
        <v>10/20/2017</v>
      </c>
      <c r="C1961" t="str">
        <f>"65.8659"</f>
        <v>65.8659</v>
      </c>
      <c r="D1961" s="1" t="s">
        <v>1952</v>
      </c>
      <c r="E1961" t="s">
        <v>6069</v>
      </c>
    </row>
    <row r="1962" spans="1:5" x14ac:dyDescent="0.35">
      <c r="A1962" t="str">
        <f>"2017-10-23"</f>
        <v>2017-10-23</v>
      </c>
      <c r="B1962" s="1" t="str">
        <f t="shared" si="30"/>
        <v>10/23/2017</v>
      </c>
      <c r="C1962" t="str">
        <f>"65.2079"</f>
        <v>65.2079</v>
      </c>
      <c r="D1962" s="1" t="s">
        <v>1953</v>
      </c>
      <c r="E1962" t="s">
        <v>6070</v>
      </c>
    </row>
    <row r="1963" spans="1:5" x14ac:dyDescent="0.35">
      <c r="A1963" t="str">
        <f>"2017-10-24"</f>
        <v>2017-10-24</v>
      </c>
      <c r="B1963" s="1" t="str">
        <f t="shared" si="30"/>
        <v>10/24/2017</v>
      </c>
      <c r="C1963" t="str">
        <f>"64.9129"</f>
        <v>64.9129</v>
      </c>
      <c r="D1963" s="1" t="s">
        <v>1954</v>
      </c>
      <c r="E1963" t="s">
        <v>6071</v>
      </c>
    </row>
    <row r="1964" spans="1:5" x14ac:dyDescent="0.35">
      <c r="A1964" t="str">
        <f>"2017-10-25"</f>
        <v>2017-10-25</v>
      </c>
      <c r="B1964" s="1" t="str">
        <f t="shared" si="30"/>
        <v>10/25/2017</v>
      </c>
      <c r="C1964" t="str">
        <f>"65.5134"</f>
        <v>65.5134</v>
      </c>
      <c r="D1964" s="1" t="s">
        <v>1955</v>
      </c>
      <c r="E1964" t="s">
        <v>6072</v>
      </c>
    </row>
    <row r="1965" spans="1:5" x14ac:dyDescent="0.35">
      <c r="A1965" t="str">
        <f>"2017-10-26"</f>
        <v>2017-10-26</v>
      </c>
      <c r="B1965" s="1" t="str">
        <f t="shared" si="30"/>
        <v>10/26/2017</v>
      </c>
      <c r="C1965" t="str">
        <f>"64.5001"</f>
        <v>64.5001</v>
      </c>
      <c r="D1965" s="1" t="s">
        <v>1956</v>
      </c>
      <c r="E1965" t="s">
        <v>6073</v>
      </c>
    </row>
    <row r="1966" spans="1:5" x14ac:dyDescent="0.35">
      <c r="A1966" t="str">
        <f>"2017-10-27"</f>
        <v>2017-10-27</v>
      </c>
      <c r="B1966" s="1" t="str">
        <f t="shared" si="30"/>
        <v>10/27/2017</v>
      </c>
      <c r="C1966" t="str">
        <f>"64.8573"</f>
        <v>64.8573</v>
      </c>
      <c r="D1966" s="1" t="s">
        <v>1957</v>
      </c>
      <c r="E1966" t="s">
        <v>6074</v>
      </c>
    </row>
    <row r="1967" spans="1:5" x14ac:dyDescent="0.35">
      <c r="A1967" t="str">
        <f>"2017-10-30"</f>
        <v>2017-10-30</v>
      </c>
      <c r="B1967" s="1" t="str">
        <f t="shared" si="30"/>
        <v>10/30/2017</v>
      </c>
      <c r="C1967" t="str">
        <f>"65.815"</f>
        <v>65.815</v>
      </c>
      <c r="D1967" s="1" t="s">
        <v>1958</v>
      </c>
      <c r="E1967" t="s">
        <v>6075</v>
      </c>
    </row>
    <row r="1968" spans="1:5" x14ac:dyDescent="0.35">
      <c r="A1968" t="str">
        <f>"2017-10-31"</f>
        <v>2017-10-31</v>
      </c>
      <c r="B1968" s="1" t="str">
        <f t="shared" si="30"/>
        <v>10/31/2017</v>
      </c>
      <c r="C1968" t="str">
        <f>"67.4612"</f>
        <v>67.4612</v>
      </c>
      <c r="D1968" s="1" t="s">
        <v>1959</v>
      </c>
      <c r="E1968" t="s">
        <v>6076</v>
      </c>
    </row>
    <row r="1969" spans="1:5" x14ac:dyDescent="0.35">
      <c r="A1969" t="str">
        <f>"2017-11-01"</f>
        <v>2017-11-01</v>
      </c>
      <c r="B1969" s="1" t="str">
        <f t="shared" si="30"/>
        <v>11/01/2017</v>
      </c>
      <c r="C1969" t="str">
        <f>"67.7452"</f>
        <v>67.7452</v>
      </c>
      <c r="D1969" s="1" t="s">
        <v>1960</v>
      </c>
      <c r="E1969" t="s">
        <v>6077</v>
      </c>
    </row>
    <row r="1970" spans="1:5" x14ac:dyDescent="0.35">
      <c r="A1970" t="str">
        <f>"2017-11-02"</f>
        <v>2017-11-02</v>
      </c>
      <c r="B1970" s="1" t="str">
        <f t="shared" si="30"/>
        <v>11/02/2017</v>
      </c>
      <c r="C1970" t="str">
        <f>"66.9584"</f>
        <v>66.9584</v>
      </c>
      <c r="D1970" s="1" t="s">
        <v>1961</v>
      </c>
      <c r="E1970" t="s">
        <v>6078</v>
      </c>
    </row>
    <row r="1971" spans="1:5" x14ac:dyDescent="0.35">
      <c r="A1971" t="str">
        <f>"2017-11-03"</f>
        <v>2017-11-03</v>
      </c>
      <c r="B1971" s="1" t="str">
        <f t="shared" si="30"/>
        <v>11/03/2017</v>
      </c>
      <c r="C1971" t="str">
        <f>"67.4212"</f>
        <v>67.4212</v>
      </c>
      <c r="D1971" s="1" t="s">
        <v>1962</v>
      </c>
      <c r="E1971" t="s">
        <v>6079</v>
      </c>
    </row>
    <row r="1972" spans="1:5" x14ac:dyDescent="0.35">
      <c r="A1972" t="str">
        <f>"2017-11-06"</f>
        <v>2017-11-06</v>
      </c>
      <c r="B1972" s="1" t="str">
        <f t="shared" si="30"/>
        <v>11/06/2017</v>
      </c>
      <c r="C1972" t="str">
        <f>"69.2148"</f>
        <v>69.2148</v>
      </c>
      <c r="D1972" s="1" t="s">
        <v>1963</v>
      </c>
      <c r="E1972" t="s">
        <v>6080</v>
      </c>
    </row>
    <row r="1973" spans="1:5" x14ac:dyDescent="0.35">
      <c r="A1973" t="str">
        <f>"2017-11-07"</f>
        <v>2017-11-07</v>
      </c>
      <c r="B1973" s="1" t="str">
        <f t="shared" si="30"/>
        <v>11/07/2017</v>
      </c>
      <c r="C1973" t="str">
        <f>"67.5252"</f>
        <v>67.5252</v>
      </c>
      <c r="D1973" s="1" t="s">
        <v>1964</v>
      </c>
      <c r="E1973" t="s">
        <v>6081</v>
      </c>
    </row>
    <row r="1974" spans="1:5" x14ac:dyDescent="0.35">
      <c r="A1974" t="str">
        <f>"2017-11-08"</f>
        <v>2017-11-08</v>
      </c>
      <c r="B1974" s="1" t="str">
        <f t="shared" si="30"/>
        <v>11/08/2017</v>
      </c>
      <c r="C1974" t="str">
        <f>"65.9401"</f>
        <v>65.9401</v>
      </c>
      <c r="D1974" s="1" t="s">
        <v>1965</v>
      </c>
      <c r="E1974" t="s">
        <v>6082</v>
      </c>
    </row>
    <row r="1975" spans="1:5" x14ac:dyDescent="0.35">
      <c r="A1975" t="str">
        <f>"2017-11-09"</f>
        <v>2017-11-09</v>
      </c>
      <c r="B1975" s="1" t="str">
        <f t="shared" si="30"/>
        <v>11/09/2017</v>
      </c>
      <c r="C1975" t="str">
        <f>"65.781"</f>
        <v>65.781</v>
      </c>
      <c r="D1975" s="1" t="s">
        <v>1966</v>
      </c>
      <c r="E1975" t="s">
        <v>6083</v>
      </c>
    </row>
    <row r="1976" spans="1:5" x14ac:dyDescent="0.35">
      <c r="A1976" t="str">
        <f>"2017-11-10"</f>
        <v>2017-11-10</v>
      </c>
      <c r="B1976" s="1" t="str">
        <f t="shared" si="30"/>
        <v>11/10/2017</v>
      </c>
      <c r="C1976" t="str">
        <f>"63.3745"</f>
        <v>63.3745</v>
      </c>
      <c r="D1976" s="1" t="s">
        <v>1967</v>
      </c>
      <c r="E1976" t="s">
        <v>6084</v>
      </c>
    </row>
    <row r="1977" spans="1:5" x14ac:dyDescent="0.35">
      <c r="A1977" t="str">
        <f>"2017-11-13"</f>
        <v>2017-11-13</v>
      </c>
      <c r="B1977" s="1" t="str">
        <f t="shared" si="30"/>
        <v>11/13/2017</v>
      </c>
      <c r="C1977" t="str">
        <f>"61.7909"</f>
        <v>61.7909</v>
      </c>
      <c r="D1977" s="1" t="s">
        <v>1968</v>
      </c>
      <c r="E1977" t="s">
        <v>6085</v>
      </c>
    </row>
    <row r="1978" spans="1:5" x14ac:dyDescent="0.35">
      <c r="A1978" t="str">
        <f>"2017-11-14"</f>
        <v>2017-11-14</v>
      </c>
      <c r="B1978" s="1" t="str">
        <f t="shared" si="30"/>
        <v>11/14/2017</v>
      </c>
      <c r="C1978" t="str">
        <f>"65.5011"</f>
        <v>65.5011</v>
      </c>
      <c r="D1978" s="1" t="s">
        <v>1969</v>
      </c>
      <c r="E1978" t="s">
        <v>6086</v>
      </c>
    </row>
    <row r="1979" spans="1:5" x14ac:dyDescent="0.35">
      <c r="A1979" t="str">
        <f>"2017-11-15"</f>
        <v>2017-11-15</v>
      </c>
      <c r="B1979" s="1" t="str">
        <f t="shared" si="30"/>
        <v>11/15/2017</v>
      </c>
      <c r="C1979" t="str">
        <f>"63.3238"</f>
        <v>63.3238</v>
      </c>
      <c r="D1979" s="1" t="s">
        <v>1970</v>
      </c>
      <c r="E1979" t="s">
        <v>6087</v>
      </c>
    </row>
    <row r="1980" spans="1:5" x14ac:dyDescent="0.35">
      <c r="A1980" t="str">
        <f>"2017-11-17"</f>
        <v>2017-11-17</v>
      </c>
      <c r="B1980" s="1" t="str">
        <f t="shared" si="30"/>
        <v>11/17/2017</v>
      </c>
      <c r="C1980" t="str">
        <f>"64.9921"</f>
        <v>64.9921</v>
      </c>
      <c r="D1980" s="1" t="s">
        <v>1971</v>
      </c>
      <c r="E1980" t="s">
        <v>6088</v>
      </c>
    </row>
    <row r="1981" spans="1:5" x14ac:dyDescent="0.35">
      <c r="A1981" t="str">
        <f>"2017-11-20"</f>
        <v>2017-11-20</v>
      </c>
      <c r="B1981" s="1" t="str">
        <f t="shared" si="30"/>
        <v>11/20/2017</v>
      </c>
      <c r="C1981" t="str">
        <f>"64.7862"</f>
        <v>64.7862</v>
      </c>
      <c r="D1981" s="1" t="s">
        <v>1972</v>
      </c>
      <c r="E1981" t="s">
        <v>6089</v>
      </c>
    </row>
    <row r="1982" spans="1:5" x14ac:dyDescent="0.35">
      <c r="A1982" t="str">
        <f>"2017-11-21"</f>
        <v>2017-11-21</v>
      </c>
      <c r="B1982" s="1" t="str">
        <f t="shared" si="30"/>
        <v>11/21/2017</v>
      </c>
      <c r="C1982" t="str">
        <f>"66.778"</f>
        <v>66.778</v>
      </c>
      <c r="D1982" s="1" t="s">
        <v>1973</v>
      </c>
      <c r="E1982" t="s">
        <v>6090</v>
      </c>
    </row>
    <row r="1983" spans="1:5" x14ac:dyDescent="0.35">
      <c r="A1983" t="str">
        <f>"2017-11-22"</f>
        <v>2017-11-22</v>
      </c>
      <c r="B1983" s="1" t="str">
        <f t="shared" si="30"/>
        <v>11/22/2017</v>
      </c>
      <c r="C1983" t="str">
        <f>"67.494"</f>
        <v>67.494</v>
      </c>
      <c r="D1983" s="1" t="s">
        <v>1974</v>
      </c>
      <c r="E1983" t="s">
        <v>6091</v>
      </c>
    </row>
    <row r="1984" spans="1:5" x14ac:dyDescent="0.35">
      <c r="A1984" t="str">
        <f>"2017-11-24"</f>
        <v>2017-11-24</v>
      </c>
      <c r="B1984" s="1" t="str">
        <f t="shared" si="30"/>
        <v>11/24/2017</v>
      </c>
      <c r="C1984" t="str">
        <f>"70.2143"</f>
        <v>70.2143</v>
      </c>
      <c r="D1984" s="1" t="s">
        <v>1975</v>
      </c>
      <c r="E1984" t="s">
        <v>6092</v>
      </c>
    </row>
    <row r="1985" spans="1:5" x14ac:dyDescent="0.35">
      <c r="A1985" t="str">
        <f>"2017-11-27"</f>
        <v>2017-11-27</v>
      </c>
      <c r="B1985" s="1" t="str">
        <f t="shared" si="30"/>
        <v>11/27/2017</v>
      </c>
      <c r="C1985" t="str">
        <f>"72.0476"</f>
        <v>72.0476</v>
      </c>
      <c r="D1985" s="1" t="s">
        <v>1976</v>
      </c>
      <c r="E1985" t="s">
        <v>6093</v>
      </c>
    </row>
    <row r="1986" spans="1:5" x14ac:dyDescent="0.35">
      <c r="A1986" t="str">
        <f>"2017-11-28"</f>
        <v>2017-11-28</v>
      </c>
      <c r="B1986" s="1" t="str">
        <f t="shared" si="30"/>
        <v>11/28/2017</v>
      </c>
      <c r="C1986" t="str">
        <f>"68.778"</f>
        <v>68.778</v>
      </c>
      <c r="D1986" s="1" t="s">
        <v>1977</v>
      </c>
      <c r="E1986" t="s">
        <v>6094</v>
      </c>
    </row>
    <row r="1987" spans="1:5" x14ac:dyDescent="0.35">
      <c r="A1987" t="str">
        <f>"2017-11-29"</f>
        <v>2017-11-29</v>
      </c>
      <c r="B1987" s="1" t="str">
        <f t="shared" ref="B1987:B2050" si="31">LEFT(RIGHT(A1987,5),2)&amp;"/"&amp;RIGHT(A1987,2)&amp;"/"&amp;LEFT(A1987,4)</f>
        <v>11/29/2017</v>
      </c>
      <c r="C1987" t="str">
        <f>"72.8192"</f>
        <v>72.8192</v>
      </c>
      <c r="D1987" s="1" t="s">
        <v>1978</v>
      </c>
      <c r="E1987" t="s">
        <v>6095</v>
      </c>
    </row>
    <row r="1988" spans="1:5" x14ac:dyDescent="0.35">
      <c r="A1988" t="str">
        <f>"2017-11-30"</f>
        <v>2017-11-30</v>
      </c>
      <c r="B1988" s="1" t="str">
        <f t="shared" si="31"/>
        <v>11/30/2017</v>
      </c>
      <c r="C1988" t="str">
        <f>"75.7079"</f>
        <v>75.7079</v>
      </c>
      <c r="D1988" s="1" t="s">
        <v>1979</v>
      </c>
      <c r="E1988" t="s">
        <v>6096</v>
      </c>
    </row>
    <row r="1989" spans="1:5" x14ac:dyDescent="0.35">
      <c r="A1989" t="str">
        <f>"2017-12-01"</f>
        <v>2017-12-01</v>
      </c>
      <c r="B1989" s="1" t="str">
        <f t="shared" si="31"/>
        <v>12/01/2017</v>
      </c>
      <c r="C1989" t="str">
        <f>"77.6292"</f>
        <v>77.6292</v>
      </c>
      <c r="D1989" s="1" t="s">
        <v>1980</v>
      </c>
      <c r="E1989" t="s">
        <v>6097</v>
      </c>
    </row>
    <row r="1990" spans="1:5" x14ac:dyDescent="0.35">
      <c r="A1990" t="str">
        <f>"2017-12-04"</f>
        <v>2017-12-04</v>
      </c>
      <c r="B1990" s="1" t="str">
        <f t="shared" si="31"/>
        <v>12/04/2017</v>
      </c>
      <c r="C1990" t="str">
        <f>"79.1136"</f>
        <v>79.1136</v>
      </c>
      <c r="D1990" s="1" t="s">
        <v>1981</v>
      </c>
      <c r="E1990" t="s">
        <v>6098</v>
      </c>
    </row>
    <row r="1991" spans="1:5" x14ac:dyDescent="0.35">
      <c r="A1991" t="str">
        <f>"2017-12-05"</f>
        <v>2017-12-05</v>
      </c>
      <c r="B1991" s="1" t="str">
        <f t="shared" si="31"/>
        <v>12/05/2017</v>
      </c>
      <c r="C1991" t="str">
        <f>"81.4399"</f>
        <v>81.4399</v>
      </c>
      <c r="D1991" s="1" t="s">
        <v>1982</v>
      </c>
      <c r="E1991" t="s">
        <v>6099</v>
      </c>
    </row>
    <row r="1992" spans="1:5" x14ac:dyDescent="0.35">
      <c r="A1992" t="str">
        <f>"2017-12-06"</f>
        <v>2017-12-06</v>
      </c>
      <c r="B1992" s="1" t="str">
        <f t="shared" si="31"/>
        <v>12/06/2017</v>
      </c>
      <c r="C1992" t="str">
        <f>"81.6211"</f>
        <v>81.6211</v>
      </c>
      <c r="D1992" s="1" t="s">
        <v>1983</v>
      </c>
      <c r="E1992" t="s">
        <v>6100</v>
      </c>
    </row>
    <row r="1993" spans="1:5" x14ac:dyDescent="0.35">
      <c r="A1993" t="str">
        <f>"2017-12-07"</f>
        <v>2017-12-07</v>
      </c>
      <c r="B1993" s="1" t="str">
        <f t="shared" si="31"/>
        <v>12/07/2017</v>
      </c>
      <c r="C1993" t="str">
        <f>"86.0349"</f>
        <v>86.0349</v>
      </c>
      <c r="D1993" s="1" t="s">
        <v>1984</v>
      </c>
      <c r="E1993" t="s">
        <v>6101</v>
      </c>
    </row>
    <row r="1994" spans="1:5" x14ac:dyDescent="0.35">
      <c r="A1994" t="str">
        <f>"2017-12-08"</f>
        <v>2017-12-08</v>
      </c>
      <c r="B1994" s="1" t="str">
        <f t="shared" si="31"/>
        <v>12/08/2017</v>
      </c>
      <c r="C1994" t="str">
        <f>"87.8283"</f>
        <v>87.8283</v>
      </c>
      <c r="D1994" s="1" t="s">
        <v>1985</v>
      </c>
      <c r="E1994" t="s">
        <v>6102</v>
      </c>
    </row>
    <row r="1995" spans="1:5" x14ac:dyDescent="0.35">
      <c r="A1995" t="str">
        <f>"2017-12-11"</f>
        <v>2017-12-11</v>
      </c>
      <c r="B1995" s="1" t="str">
        <f t="shared" si="31"/>
        <v>12/11/2017</v>
      </c>
      <c r="C1995" t="str">
        <f>"87.4668"</f>
        <v>87.4668</v>
      </c>
      <c r="D1995" s="1" t="s">
        <v>1986</v>
      </c>
      <c r="E1995" t="s">
        <v>6103</v>
      </c>
    </row>
    <row r="1996" spans="1:5" x14ac:dyDescent="0.35">
      <c r="A1996" t="str">
        <f>"2017-12-12"</f>
        <v>2017-12-12</v>
      </c>
      <c r="B1996" s="1" t="str">
        <f t="shared" si="31"/>
        <v>12/12/2017</v>
      </c>
      <c r="C1996" t="str">
        <f>"91.1188"</f>
        <v>91.1188</v>
      </c>
      <c r="D1996" s="1" t="s">
        <v>1987</v>
      </c>
      <c r="E1996" t="s">
        <v>6104</v>
      </c>
    </row>
    <row r="1997" spans="1:5" x14ac:dyDescent="0.35">
      <c r="A1997" t="str">
        <f>"2017-12-13"</f>
        <v>2017-12-13</v>
      </c>
      <c r="B1997" s="1" t="str">
        <f t="shared" si="31"/>
        <v>12/13/2017</v>
      </c>
      <c r="C1997" t="str">
        <f>"88.6434"</f>
        <v>88.6434</v>
      </c>
      <c r="D1997" s="1" t="s">
        <v>1988</v>
      </c>
      <c r="E1997" t="s">
        <v>6105</v>
      </c>
    </row>
    <row r="1998" spans="1:5" x14ac:dyDescent="0.35">
      <c r="A1998" t="str">
        <f>"2017-12-14"</f>
        <v>2017-12-14</v>
      </c>
      <c r="B1998" s="1" t="str">
        <f t="shared" si="31"/>
        <v>12/14/2017</v>
      </c>
      <c r="C1998" t="str">
        <f>"93.7539"</f>
        <v>93.7539</v>
      </c>
      <c r="D1998" s="1" t="s">
        <v>1989</v>
      </c>
      <c r="E1998" t="s">
        <v>6106</v>
      </c>
    </row>
    <row r="1999" spans="1:5" x14ac:dyDescent="0.35">
      <c r="A1999" t="str">
        <f>"2017-12-15"</f>
        <v>2017-12-15</v>
      </c>
      <c r="B1999" s="1" t="str">
        <f t="shared" si="31"/>
        <v>12/15/2017</v>
      </c>
      <c r="C1999" t="str">
        <f>"91.0386"</f>
        <v>91.0386</v>
      </c>
      <c r="D1999" s="1" t="s">
        <v>1990</v>
      </c>
      <c r="E1999" t="s">
        <v>6107</v>
      </c>
    </row>
    <row r="2000" spans="1:5" x14ac:dyDescent="0.35">
      <c r="A2000" t="str">
        <f>"2017-12-18"</f>
        <v>2017-12-18</v>
      </c>
      <c r="B2000" s="1" t="str">
        <f t="shared" si="31"/>
        <v>12/18/2017</v>
      </c>
      <c r="C2000" t="str">
        <f>"93.4974"</f>
        <v>93.4974</v>
      </c>
      <c r="D2000" s="1" t="s">
        <v>1991</v>
      </c>
      <c r="E2000" t="s">
        <v>6108</v>
      </c>
    </row>
    <row r="2001" spans="1:5" x14ac:dyDescent="0.35">
      <c r="A2001" t="str">
        <f>"2017-12-19"</f>
        <v>2017-12-19</v>
      </c>
      <c r="B2001" s="1" t="str">
        <f t="shared" si="31"/>
        <v>12/19/2017</v>
      </c>
      <c r="C2001" t="str">
        <f>"95.9476"</f>
        <v>95.9476</v>
      </c>
      <c r="D2001" s="1" t="s">
        <v>1992</v>
      </c>
      <c r="E2001" t="s">
        <v>6109</v>
      </c>
    </row>
    <row r="2002" spans="1:5" x14ac:dyDescent="0.35">
      <c r="A2002" t="str">
        <f>"2017-12-20"</f>
        <v>2017-12-20</v>
      </c>
      <c r="B2002" s="1" t="str">
        <f t="shared" si="31"/>
        <v>12/20/2017</v>
      </c>
      <c r="C2002" t="str">
        <f>"97.1345"</f>
        <v>97.1345</v>
      </c>
      <c r="D2002" s="1" t="s">
        <v>1993</v>
      </c>
      <c r="E2002" t="s">
        <v>6110</v>
      </c>
    </row>
    <row r="2003" spans="1:5" x14ac:dyDescent="0.35">
      <c r="A2003" t="str">
        <f>"2017-12-21"</f>
        <v>2017-12-21</v>
      </c>
      <c r="B2003" s="1" t="str">
        <f t="shared" si="31"/>
        <v>12/21/2017</v>
      </c>
      <c r="C2003" t="str">
        <f>"99.1576"</f>
        <v>99.1576</v>
      </c>
      <c r="D2003" s="1" t="s">
        <v>1994</v>
      </c>
      <c r="E2003" t="s">
        <v>6111</v>
      </c>
    </row>
    <row r="2004" spans="1:5" x14ac:dyDescent="0.35">
      <c r="A2004" t="str">
        <f>"2017-12-22"</f>
        <v>2017-12-22</v>
      </c>
      <c r="B2004" s="1" t="str">
        <f t="shared" si="31"/>
        <v>12/22/2017</v>
      </c>
      <c r="C2004" t="str">
        <f>"96.7799"</f>
        <v>96.7799</v>
      </c>
      <c r="D2004" s="1" t="s">
        <v>1995</v>
      </c>
      <c r="E2004" t="s">
        <v>6112</v>
      </c>
    </row>
    <row r="2005" spans="1:5" x14ac:dyDescent="0.35">
      <c r="A2005" t="str">
        <f>"2017-12-26"</f>
        <v>2017-12-26</v>
      </c>
      <c r="B2005" s="1" t="str">
        <f t="shared" si="31"/>
        <v>12/26/2017</v>
      </c>
      <c r="C2005" t="str">
        <f>"96.2161"</f>
        <v>96.2161</v>
      </c>
      <c r="D2005" s="1" t="s">
        <v>1996</v>
      </c>
      <c r="E2005" t="s">
        <v>6113</v>
      </c>
    </row>
    <row r="2006" spans="1:5" x14ac:dyDescent="0.35">
      <c r="A2006" t="str">
        <f>"2017-12-27"</f>
        <v>2017-12-27</v>
      </c>
      <c r="B2006" s="1" t="str">
        <f t="shared" si="31"/>
        <v>12/27/2017</v>
      </c>
      <c r="C2006" t="str">
        <f>"97.6342"</f>
        <v>97.6342</v>
      </c>
      <c r="D2006" s="1" t="s">
        <v>1997</v>
      </c>
      <c r="E2006" t="s">
        <v>6114</v>
      </c>
    </row>
    <row r="2007" spans="1:5" x14ac:dyDescent="0.35">
      <c r="A2007" t="str">
        <f>"2017-12-28"</f>
        <v>2017-12-28</v>
      </c>
      <c r="B2007" s="1" t="str">
        <f t="shared" si="31"/>
        <v>12/28/2017</v>
      </c>
      <c r="C2007" t="str">
        <f>"99.04"</f>
        <v>99.04</v>
      </c>
      <c r="D2007" s="1" t="s">
        <v>1998</v>
      </c>
      <c r="E2007" t="s">
        <v>6115</v>
      </c>
    </row>
    <row r="2008" spans="1:5" x14ac:dyDescent="0.35">
      <c r="A2008" t="str">
        <f>"2017-12-29"</f>
        <v>2017-12-29</v>
      </c>
      <c r="B2008" s="1" t="str">
        <f t="shared" si="31"/>
        <v>12/29/2017</v>
      </c>
      <c r="C2008" t="str">
        <f>"98.9141"</f>
        <v>98.9141</v>
      </c>
      <c r="D2008" s="1" t="s">
        <v>1999</v>
      </c>
      <c r="E2008" t="s">
        <v>6116</v>
      </c>
    </row>
    <row r="2009" spans="1:5" x14ac:dyDescent="0.35">
      <c r="A2009" t="str">
        <f>"2018-01-02"</f>
        <v>2018-01-02</v>
      </c>
      <c r="B2009" s="1" t="str">
        <f t="shared" si="31"/>
        <v>01/02/2018</v>
      </c>
      <c r="C2009" t="str">
        <f>"100.4232"</f>
        <v>100.4232</v>
      </c>
      <c r="D2009" s="1" t="s">
        <v>2000</v>
      </c>
      <c r="E2009" t="s">
        <v>6117</v>
      </c>
    </row>
    <row r="2010" spans="1:5" x14ac:dyDescent="0.35">
      <c r="A2010" t="str">
        <f>"2018-01-03"</f>
        <v>2018-01-03</v>
      </c>
      <c r="B2010" s="1" t="str">
        <f t="shared" si="31"/>
        <v>01/03/2018</v>
      </c>
      <c r="C2010" t="str">
        <f>"101.6642"</f>
        <v>101.6642</v>
      </c>
      <c r="D2010" s="1" t="s">
        <v>2001</v>
      </c>
      <c r="E2010" t="s">
        <v>6118</v>
      </c>
    </row>
    <row r="2011" spans="1:5" x14ac:dyDescent="0.35">
      <c r="A2011" t="str">
        <f>"2018-01-04"</f>
        <v>2018-01-04</v>
      </c>
      <c r="B2011" s="1" t="str">
        <f t="shared" si="31"/>
        <v>01/04/2018</v>
      </c>
      <c r="C2011" t="str">
        <f>"101.5765"</f>
        <v>101.5765</v>
      </c>
      <c r="D2011" s="1" t="s">
        <v>2002</v>
      </c>
      <c r="E2011" t="s">
        <v>6119</v>
      </c>
    </row>
    <row r="2012" spans="1:5" x14ac:dyDescent="0.35">
      <c r="A2012" t="str">
        <f>"2018-01-05"</f>
        <v>2018-01-05</v>
      </c>
      <c r="B2012" s="1" t="str">
        <f t="shared" si="31"/>
        <v>01/05/2018</v>
      </c>
      <c r="C2012" t="str">
        <f>"102.5794"</f>
        <v>102.5794</v>
      </c>
      <c r="D2012" s="1" t="s">
        <v>2003</v>
      </c>
      <c r="E2012" t="s">
        <v>6120</v>
      </c>
    </row>
    <row r="2013" spans="1:5" x14ac:dyDescent="0.35">
      <c r="A2013" t="str">
        <f>"2018-01-08"</f>
        <v>2018-01-08</v>
      </c>
      <c r="B2013" s="1" t="str">
        <f t="shared" si="31"/>
        <v>01/08/2018</v>
      </c>
      <c r="C2013" t="str">
        <f>"102.952"</f>
        <v>102.952</v>
      </c>
      <c r="D2013" s="1" t="s">
        <v>2004</v>
      </c>
      <c r="E2013" t="s">
        <v>6121</v>
      </c>
    </row>
    <row r="2014" spans="1:5" x14ac:dyDescent="0.35">
      <c r="A2014" t="str">
        <f>"2018-01-09"</f>
        <v>2018-01-09</v>
      </c>
      <c r="B2014" s="1" t="str">
        <f t="shared" si="31"/>
        <v>01/09/2018</v>
      </c>
      <c r="C2014" t="str">
        <f>"101.9709"</f>
        <v>101.9709</v>
      </c>
      <c r="D2014" s="1" t="s">
        <v>2005</v>
      </c>
      <c r="E2014" t="s">
        <v>6122</v>
      </c>
    </row>
    <row r="2015" spans="1:5" x14ac:dyDescent="0.35">
      <c r="A2015" t="str">
        <f>"2018-01-10"</f>
        <v>2018-01-10</v>
      </c>
      <c r="B2015" s="1" t="str">
        <f t="shared" si="31"/>
        <v>01/10/2018</v>
      </c>
      <c r="C2015" t="str">
        <f>"95.5437"</f>
        <v>95.5437</v>
      </c>
      <c r="D2015" s="1" t="s">
        <v>2006</v>
      </c>
      <c r="E2015" t="s">
        <v>6123</v>
      </c>
    </row>
    <row r="2016" spans="1:5" x14ac:dyDescent="0.35">
      <c r="A2016" t="str">
        <f>"2018-01-11"</f>
        <v>2018-01-11</v>
      </c>
      <c r="B2016" s="1" t="str">
        <f t="shared" si="31"/>
        <v>01/11/2018</v>
      </c>
      <c r="C2016" t="str">
        <f>"97.0945"</f>
        <v>97.0945</v>
      </c>
      <c r="D2016" s="1" t="s">
        <v>2007</v>
      </c>
      <c r="E2016" t="s">
        <v>6124</v>
      </c>
    </row>
    <row r="2017" spans="1:5" x14ac:dyDescent="0.35">
      <c r="A2017" t="str">
        <f>"2018-01-12"</f>
        <v>2018-01-12</v>
      </c>
      <c r="B2017" s="1" t="str">
        <f t="shared" si="31"/>
        <v>01/12/2018</v>
      </c>
      <c r="C2017" t="str">
        <f>"95.8143"</f>
        <v>95.8143</v>
      </c>
      <c r="D2017" s="1" t="s">
        <v>2008</v>
      </c>
      <c r="E2017" t="s">
        <v>6125</v>
      </c>
    </row>
    <row r="2018" spans="1:5" x14ac:dyDescent="0.35">
      <c r="A2018" t="str">
        <f>"2018-01-16"</f>
        <v>2018-01-16</v>
      </c>
      <c r="B2018" s="1" t="str">
        <f t="shared" si="31"/>
        <v>01/16/2018</v>
      </c>
      <c r="C2018" t="str">
        <f>"95.0056"</f>
        <v>95.0056</v>
      </c>
      <c r="D2018" s="1" t="s">
        <v>2009</v>
      </c>
      <c r="E2018" t="s">
        <v>6126</v>
      </c>
    </row>
    <row r="2019" spans="1:5" x14ac:dyDescent="0.35">
      <c r="A2019" t="str">
        <f>"2018-01-17"</f>
        <v>2018-01-17</v>
      </c>
      <c r="B2019" s="1" t="str">
        <f t="shared" si="31"/>
        <v>01/17/2018</v>
      </c>
      <c r="C2019" t="str">
        <f>"94.5475"</f>
        <v>94.5475</v>
      </c>
      <c r="D2019" s="1" t="s">
        <v>2010</v>
      </c>
      <c r="E2019" t="s">
        <v>6127</v>
      </c>
    </row>
    <row r="2020" spans="1:5" x14ac:dyDescent="0.35">
      <c r="A2020" t="str">
        <f>"2018-01-18"</f>
        <v>2018-01-18</v>
      </c>
      <c r="B2020" s="1" t="str">
        <f t="shared" si="31"/>
        <v>01/18/2018</v>
      </c>
      <c r="C2020" t="str">
        <f>"94.4372"</f>
        <v>94.4372</v>
      </c>
      <c r="D2020" s="1" t="s">
        <v>2011</v>
      </c>
      <c r="E2020" t="s">
        <v>6128</v>
      </c>
    </row>
    <row r="2021" spans="1:5" x14ac:dyDescent="0.35">
      <c r="A2021" t="str">
        <f>"2018-01-19"</f>
        <v>2018-01-19</v>
      </c>
      <c r="B2021" s="1" t="str">
        <f t="shared" si="31"/>
        <v>01/19/2018</v>
      </c>
      <c r="C2021" t="str">
        <f>"92.9649"</f>
        <v>92.9649</v>
      </c>
      <c r="D2021" s="1" t="s">
        <v>2012</v>
      </c>
      <c r="E2021" t="s">
        <v>6129</v>
      </c>
    </row>
    <row r="2022" spans="1:5" x14ac:dyDescent="0.35">
      <c r="A2022" t="str">
        <f>"2018-01-22"</f>
        <v>2018-01-22</v>
      </c>
      <c r="B2022" s="1" t="str">
        <f t="shared" si="31"/>
        <v>01/22/2018</v>
      </c>
      <c r="C2022" t="str">
        <f>"94.1968"</f>
        <v>94.1968</v>
      </c>
      <c r="D2022" s="1" t="s">
        <v>2013</v>
      </c>
      <c r="E2022" t="s">
        <v>6130</v>
      </c>
    </row>
    <row r="2023" spans="1:5" x14ac:dyDescent="0.35">
      <c r="A2023" t="str">
        <f>"2018-01-23"</f>
        <v>2018-01-23</v>
      </c>
      <c r="B2023" s="1" t="str">
        <f t="shared" si="31"/>
        <v>01/23/2018</v>
      </c>
      <c r="C2023" t="str">
        <f>"96.3145"</f>
        <v>96.3145</v>
      </c>
      <c r="D2023" s="1" t="s">
        <v>2014</v>
      </c>
      <c r="E2023" t="s">
        <v>6131</v>
      </c>
    </row>
    <row r="2024" spans="1:5" x14ac:dyDescent="0.35">
      <c r="A2024" t="str">
        <f>"2018-01-24"</f>
        <v>2018-01-24</v>
      </c>
      <c r="B2024" s="1" t="str">
        <f t="shared" si="31"/>
        <v>01/24/2018</v>
      </c>
      <c r="C2024" t="str">
        <f>"94.419"</f>
        <v>94.419</v>
      </c>
      <c r="D2024" s="1" t="s">
        <v>2015</v>
      </c>
      <c r="E2024" t="s">
        <v>6132</v>
      </c>
    </row>
    <row r="2025" spans="1:5" x14ac:dyDescent="0.35">
      <c r="A2025" t="str">
        <f>"2018-01-25"</f>
        <v>2018-01-25</v>
      </c>
      <c r="B2025" s="1" t="str">
        <f t="shared" si="31"/>
        <v>01/25/2018</v>
      </c>
      <c r="C2025" t="str">
        <f>"92.4912"</f>
        <v>92.4912</v>
      </c>
      <c r="D2025" s="1" t="s">
        <v>2016</v>
      </c>
      <c r="E2025" t="s">
        <v>6133</v>
      </c>
    </row>
    <row r="2026" spans="1:5" x14ac:dyDescent="0.35">
      <c r="A2026" t="str">
        <f>"2018-01-26"</f>
        <v>2018-01-26</v>
      </c>
      <c r="B2026" s="1" t="str">
        <f t="shared" si="31"/>
        <v>01/26/2018</v>
      </c>
      <c r="C2026" t="str">
        <f>"94.322"</f>
        <v>94.322</v>
      </c>
      <c r="D2026" s="1" t="s">
        <v>2017</v>
      </c>
      <c r="E2026" t="s">
        <v>6134</v>
      </c>
    </row>
    <row r="2027" spans="1:5" x14ac:dyDescent="0.35">
      <c r="A2027" t="str">
        <f>"2018-01-30"</f>
        <v>2018-01-30</v>
      </c>
      <c r="B2027" s="1" t="str">
        <f t="shared" si="31"/>
        <v>01/30/2018</v>
      </c>
      <c r="C2027" t="str">
        <f>"96.5764"</f>
        <v>96.5764</v>
      </c>
      <c r="D2027" s="1" t="s">
        <v>2018</v>
      </c>
      <c r="E2027" t="s">
        <v>6135</v>
      </c>
    </row>
    <row r="2028" spans="1:5" x14ac:dyDescent="0.35">
      <c r="A2028" t="str">
        <f>"2018-01-31"</f>
        <v>2018-01-31</v>
      </c>
      <c r="B2028" s="1" t="str">
        <f t="shared" si="31"/>
        <v>01/31/2018</v>
      </c>
      <c r="C2028" t="str">
        <f>"101.3879"</f>
        <v>101.3879</v>
      </c>
      <c r="D2028" s="1" t="s">
        <v>2019</v>
      </c>
      <c r="E2028" t="s">
        <v>6136</v>
      </c>
    </row>
    <row r="2029" spans="1:5" x14ac:dyDescent="0.35">
      <c r="A2029" t="str">
        <f>"2018-02-01"</f>
        <v>2018-02-01</v>
      </c>
      <c r="B2029" s="1" t="str">
        <f t="shared" si="31"/>
        <v>02/01/2018</v>
      </c>
      <c r="C2029" t="str">
        <f>"103.3582"</f>
        <v>103.3582</v>
      </c>
      <c r="D2029" s="1" t="s">
        <v>2020</v>
      </c>
      <c r="E2029" t="s">
        <v>6137</v>
      </c>
    </row>
    <row r="2030" spans="1:5" x14ac:dyDescent="0.35">
      <c r="A2030" t="str">
        <f>"2018-02-02"</f>
        <v>2018-02-02</v>
      </c>
      <c r="B2030" s="1" t="str">
        <f t="shared" si="31"/>
        <v>02/02/2018</v>
      </c>
      <c r="C2030" t="str">
        <f>"103.8733"</f>
        <v>103.8733</v>
      </c>
      <c r="D2030" s="1" t="s">
        <v>2021</v>
      </c>
      <c r="E2030" t="s">
        <v>6138</v>
      </c>
    </row>
    <row r="2031" spans="1:5" x14ac:dyDescent="0.35">
      <c r="A2031" t="str">
        <f>"2018-02-05"</f>
        <v>2018-02-05</v>
      </c>
      <c r="B2031" s="1" t="str">
        <f t="shared" si="31"/>
        <v>02/05/2018</v>
      </c>
      <c r="C2031" t="str">
        <f>"107.0819"</f>
        <v>107.0819</v>
      </c>
      <c r="D2031" s="1" t="s">
        <v>2022</v>
      </c>
      <c r="E2031" t="s">
        <v>6139</v>
      </c>
    </row>
    <row r="2032" spans="1:5" x14ac:dyDescent="0.35">
      <c r="A2032" t="str">
        <f>"2018-02-06"</f>
        <v>2018-02-06</v>
      </c>
      <c r="B2032" s="1" t="str">
        <f t="shared" si="31"/>
        <v>02/06/2018</v>
      </c>
      <c r="C2032" t="str">
        <f>"106.1034"</f>
        <v>106.1034</v>
      </c>
      <c r="D2032" s="1" t="s">
        <v>2023</v>
      </c>
      <c r="E2032" t="s">
        <v>6140</v>
      </c>
    </row>
    <row r="2033" spans="1:5" x14ac:dyDescent="0.35">
      <c r="A2033" t="str">
        <f>"2018-02-07"</f>
        <v>2018-02-07</v>
      </c>
      <c r="B2033" s="1" t="str">
        <f t="shared" si="31"/>
        <v>02/07/2018</v>
      </c>
      <c r="C2033" t="str">
        <f>"104.9425"</f>
        <v>104.9425</v>
      </c>
      <c r="D2033" s="1" t="s">
        <v>2024</v>
      </c>
      <c r="E2033" t="s">
        <v>6141</v>
      </c>
    </row>
    <row r="2034" spans="1:5" x14ac:dyDescent="0.35">
      <c r="A2034" t="str">
        <f>"2018-02-08"</f>
        <v>2018-02-08</v>
      </c>
      <c r="B2034" s="1" t="str">
        <f t="shared" si="31"/>
        <v>02/08/2018</v>
      </c>
      <c r="C2034" t="str">
        <f>"100.3136"</f>
        <v>100.3136</v>
      </c>
      <c r="D2034" s="1" t="s">
        <v>2025</v>
      </c>
      <c r="E2034" t="s">
        <v>6142</v>
      </c>
    </row>
    <row r="2035" spans="1:5" x14ac:dyDescent="0.35">
      <c r="A2035" t="str">
        <f>"2018-02-09"</f>
        <v>2018-02-09</v>
      </c>
      <c r="B2035" s="1" t="str">
        <f t="shared" si="31"/>
        <v>02/09/2018</v>
      </c>
      <c r="C2035" t="str">
        <f>"104.7838"</f>
        <v>104.7838</v>
      </c>
      <c r="D2035" s="1" t="s">
        <v>2026</v>
      </c>
      <c r="E2035" t="s">
        <v>6143</v>
      </c>
    </row>
    <row r="2036" spans="1:5" x14ac:dyDescent="0.35">
      <c r="A2036" t="str">
        <f>"2018-02-12"</f>
        <v>2018-02-12</v>
      </c>
      <c r="B2036" s="1" t="str">
        <f t="shared" si="31"/>
        <v>02/12/2018</v>
      </c>
      <c r="C2036" t="str">
        <f>"105.7268"</f>
        <v>105.7268</v>
      </c>
      <c r="D2036" s="1" t="s">
        <v>2027</v>
      </c>
      <c r="E2036" t="s">
        <v>6144</v>
      </c>
    </row>
    <row r="2037" spans="1:5" x14ac:dyDescent="0.35">
      <c r="A2037" t="str">
        <f>"2018-02-13"</f>
        <v>2018-02-13</v>
      </c>
      <c r="B2037" s="1" t="str">
        <f t="shared" si="31"/>
        <v>02/13/2018</v>
      </c>
      <c r="C2037" t="str">
        <f>"104.2195"</f>
        <v>104.2195</v>
      </c>
      <c r="D2037" s="1" t="s">
        <v>2028</v>
      </c>
      <c r="E2037" t="s">
        <v>6145</v>
      </c>
    </row>
    <row r="2038" spans="1:5" x14ac:dyDescent="0.35">
      <c r="A2038" t="str">
        <f>"2018-02-14"</f>
        <v>2018-02-14</v>
      </c>
      <c r="B2038" s="1" t="str">
        <f t="shared" si="31"/>
        <v>02/14/2018</v>
      </c>
      <c r="C2038" t="str">
        <f>"99.5692"</f>
        <v>99.5692</v>
      </c>
      <c r="D2038" s="1" t="s">
        <v>2029</v>
      </c>
      <c r="E2038" t="s">
        <v>6146</v>
      </c>
    </row>
    <row r="2039" spans="1:5" x14ac:dyDescent="0.35">
      <c r="A2039" t="str">
        <f>"2018-02-15"</f>
        <v>2018-02-15</v>
      </c>
      <c r="B2039" s="1" t="str">
        <f t="shared" si="31"/>
        <v>02/15/2018</v>
      </c>
      <c r="C2039" t="str">
        <f>"104.8028"</f>
        <v>104.8028</v>
      </c>
      <c r="D2039" s="1" t="s">
        <v>2030</v>
      </c>
      <c r="E2039" t="s">
        <v>6147</v>
      </c>
    </row>
    <row r="2040" spans="1:5" x14ac:dyDescent="0.35">
      <c r="A2040" t="str">
        <f>"2018-02-16"</f>
        <v>2018-02-16</v>
      </c>
      <c r="B2040" s="1" t="str">
        <f t="shared" si="31"/>
        <v>02/16/2018</v>
      </c>
      <c r="C2040" t="str">
        <f>"105.688"</f>
        <v>105.688</v>
      </c>
      <c r="D2040" s="1" t="s">
        <v>2031</v>
      </c>
      <c r="E2040" t="s">
        <v>6148</v>
      </c>
    </row>
    <row r="2041" spans="1:5" x14ac:dyDescent="0.35">
      <c r="A2041" t="str">
        <f>"2018-02-20"</f>
        <v>2018-02-20</v>
      </c>
      <c r="B2041" s="1" t="str">
        <f t="shared" si="31"/>
        <v>02/20/2018</v>
      </c>
      <c r="C2041" t="str">
        <f>"104.0129"</f>
        <v>104.0129</v>
      </c>
      <c r="D2041" s="1" t="s">
        <v>2032</v>
      </c>
      <c r="E2041" t="s">
        <v>6149</v>
      </c>
    </row>
    <row r="2042" spans="1:5" x14ac:dyDescent="0.35">
      <c r="A2042" t="str">
        <f>"2018-02-21"</f>
        <v>2018-02-21</v>
      </c>
      <c r="B2042" s="1" t="str">
        <f t="shared" si="31"/>
        <v>02/21/2018</v>
      </c>
      <c r="C2042" t="str">
        <f>"108.6852"</f>
        <v>108.6852</v>
      </c>
      <c r="D2042" s="1" t="s">
        <v>2033</v>
      </c>
      <c r="E2042" t="s">
        <v>6150</v>
      </c>
    </row>
    <row r="2043" spans="1:5" x14ac:dyDescent="0.35">
      <c r="A2043" t="str">
        <f>"2018-02-22"</f>
        <v>2018-02-22</v>
      </c>
      <c r="B2043" s="1" t="str">
        <f t="shared" si="31"/>
        <v>02/22/2018</v>
      </c>
      <c r="C2043" t="str">
        <f>"109.0529"</f>
        <v>109.0529</v>
      </c>
      <c r="D2043" s="1" t="s">
        <v>2034</v>
      </c>
      <c r="E2043" t="s">
        <v>6151</v>
      </c>
    </row>
    <row r="2044" spans="1:5" x14ac:dyDescent="0.35">
      <c r="A2044" t="str">
        <f>"2018-02-23"</f>
        <v>2018-02-23</v>
      </c>
      <c r="B2044" s="1" t="str">
        <f t="shared" si="31"/>
        <v>02/23/2018</v>
      </c>
      <c r="C2044" t="str">
        <f>"113.1141"</f>
        <v>113.1141</v>
      </c>
      <c r="D2044" s="1" t="s">
        <v>2035</v>
      </c>
      <c r="E2044" t="s">
        <v>6152</v>
      </c>
    </row>
    <row r="2045" spans="1:5" x14ac:dyDescent="0.35">
      <c r="A2045" t="str">
        <f>"2018-02-26"</f>
        <v>2018-02-26</v>
      </c>
      <c r="B2045" s="1" t="str">
        <f t="shared" si="31"/>
        <v>02/26/2018</v>
      </c>
      <c r="C2045" t="str">
        <f>"116.7505"</f>
        <v>116.7505</v>
      </c>
      <c r="D2045" s="1" t="s">
        <v>2036</v>
      </c>
      <c r="E2045" t="s">
        <v>6153</v>
      </c>
    </row>
    <row r="2046" spans="1:5" x14ac:dyDescent="0.35">
      <c r="A2046" t="str">
        <f>"2018-02-27"</f>
        <v>2018-02-27</v>
      </c>
      <c r="B2046" s="1" t="str">
        <f t="shared" si="31"/>
        <v>02/27/2018</v>
      </c>
      <c r="C2046" t="str">
        <f>"116.4362"</f>
        <v>116.4362</v>
      </c>
      <c r="D2046" s="1" t="s">
        <v>2037</v>
      </c>
      <c r="E2046" t="s">
        <v>6154</v>
      </c>
    </row>
    <row r="2047" spans="1:5" x14ac:dyDescent="0.35">
      <c r="A2047" t="str">
        <f>"2018-02-28"</f>
        <v>2018-02-28</v>
      </c>
      <c r="B2047" s="1" t="str">
        <f t="shared" si="31"/>
        <v>02/28/2018</v>
      </c>
      <c r="C2047" t="str">
        <f>"117.8103"</f>
        <v>117.8103</v>
      </c>
      <c r="D2047" s="1" t="s">
        <v>2038</v>
      </c>
      <c r="E2047" t="s">
        <v>6155</v>
      </c>
    </row>
    <row r="2048" spans="1:5" x14ac:dyDescent="0.35">
      <c r="A2048" t="str">
        <f>"2018-03-01"</f>
        <v>2018-03-01</v>
      </c>
      <c r="B2048" s="1" t="str">
        <f t="shared" si="31"/>
        <v>03/01/2018</v>
      </c>
      <c r="C2048" t="str">
        <f>"122.5986"</f>
        <v>122.5986</v>
      </c>
      <c r="D2048" s="1" t="s">
        <v>2039</v>
      </c>
      <c r="E2048" t="s">
        <v>6156</v>
      </c>
    </row>
    <row r="2049" spans="1:5" x14ac:dyDescent="0.35">
      <c r="A2049" t="str">
        <f>"2018-03-02"</f>
        <v>2018-03-02</v>
      </c>
      <c r="B2049" s="1" t="str">
        <f t="shared" si="31"/>
        <v>03/02/2018</v>
      </c>
      <c r="C2049" t="str">
        <f>"115.4397"</f>
        <v>115.4397</v>
      </c>
      <c r="D2049" s="1" t="s">
        <v>2040</v>
      </c>
      <c r="E2049" t="s">
        <v>6157</v>
      </c>
    </row>
    <row r="2050" spans="1:5" x14ac:dyDescent="0.35">
      <c r="A2050" t="str">
        <f>"2018-03-05"</f>
        <v>2018-03-05</v>
      </c>
      <c r="B2050" s="1" t="str">
        <f t="shared" si="31"/>
        <v>03/05/2018</v>
      </c>
      <c r="C2050" t="str">
        <f>"116.0011"</f>
        <v>116.0011</v>
      </c>
      <c r="D2050" s="1" t="s">
        <v>2041</v>
      </c>
      <c r="E2050" t="s">
        <v>6158</v>
      </c>
    </row>
    <row r="2051" spans="1:5" x14ac:dyDescent="0.35">
      <c r="A2051" t="str">
        <f>"2018-03-06"</f>
        <v>2018-03-06</v>
      </c>
      <c r="B2051" s="1" t="str">
        <f t="shared" ref="B2051:B2114" si="32">LEFT(RIGHT(A2051,5),2)&amp;"/"&amp;RIGHT(A2051,2)&amp;"/"&amp;LEFT(A2051,4)</f>
        <v>03/06/2018</v>
      </c>
      <c r="C2051" t="str">
        <f>"105.6407"</f>
        <v>105.6407</v>
      </c>
      <c r="D2051" s="1" t="s">
        <v>2042</v>
      </c>
      <c r="E2051" t="s">
        <v>6159</v>
      </c>
    </row>
    <row r="2052" spans="1:5" x14ac:dyDescent="0.35">
      <c r="A2052" t="str">
        <f>"2018-03-07"</f>
        <v>2018-03-07</v>
      </c>
      <c r="B2052" s="1" t="str">
        <f t="shared" si="32"/>
        <v>03/07/2018</v>
      </c>
      <c r="C2052" t="str">
        <f>"107.2554"</f>
        <v>107.2554</v>
      </c>
      <c r="D2052" s="1" t="s">
        <v>2043</v>
      </c>
      <c r="E2052" t="s">
        <v>6160</v>
      </c>
    </row>
    <row r="2053" spans="1:5" x14ac:dyDescent="0.35">
      <c r="A2053" t="str">
        <f>"2018-03-08"</f>
        <v>2018-03-08</v>
      </c>
      <c r="B2053" s="1" t="str">
        <f t="shared" si="32"/>
        <v>03/08/2018</v>
      </c>
      <c r="C2053" t="str">
        <f>"104.7531"</f>
        <v>104.7531</v>
      </c>
      <c r="D2053" s="1" t="s">
        <v>2044</v>
      </c>
      <c r="E2053" t="s">
        <v>6161</v>
      </c>
    </row>
    <row r="2054" spans="1:5" x14ac:dyDescent="0.35">
      <c r="A2054" t="str">
        <f>"2018-03-09"</f>
        <v>2018-03-09</v>
      </c>
      <c r="B2054" s="1" t="str">
        <f t="shared" si="32"/>
        <v>03/09/2018</v>
      </c>
      <c r="C2054" t="str">
        <f>"102.9156"</f>
        <v>102.9156</v>
      </c>
      <c r="D2054" s="1" t="s">
        <v>2045</v>
      </c>
      <c r="E2054" t="s">
        <v>6162</v>
      </c>
    </row>
    <row r="2055" spans="1:5" x14ac:dyDescent="0.35">
      <c r="A2055" t="str">
        <f>"2018-03-12"</f>
        <v>2018-03-12</v>
      </c>
      <c r="B2055" s="1" t="str">
        <f t="shared" si="32"/>
        <v>03/12/2018</v>
      </c>
      <c r="C2055" t="str">
        <f>"108.4081"</f>
        <v>108.4081</v>
      </c>
      <c r="D2055" s="1" t="s">
        <v>2046</v>
      </c>
      <c r="E2055" t="s">
        <v>6163</v>
      </c>
    </row>
    <row r="2056" spans="1:5" x14ac:dyDescent="0.35">
      <c r="A2056" t="str">
        <f>"2018-03-13"</f>
        <v>2018-03-13</v>
      </c>
      <c r="B2056" s="1" t="str">
        <f t="shared" si="32"/>
        <v>03/13/2018</v>
      </c>
      <c r="C2056" t="str">
        <f>"109.7619"</f>
        <v>109.7619</v>
      </c>
      <c r="D2056" s="1" t="s">
        <v>2047</v>
      </c>
      <c r="E2056" t="s">
        <v>6164</v>
      </c>
    </row>
    <row r="2057" spans="1:5" x14ac:dyDescent="0.35">
      <c r="A2057" t="str">
        <f>"2018-03-14"</f>
        <v>2018-03-14</v>
      </c>
      <c r="B2057" s="1" t="str">
        <f t="shared" si="32"/>
        <v>03/14/2018</v>
      </c>
      <c r="C2057" t="str">
        <f>"111.7841"</f>
        <v>111.7841</v>
      </c>
      <c r="D2057" s="1" t="s">
        <v>2048</v>
      </c>
      <c r="E2057" t="s">
        <v>6165</v>
      </c>
    </row>
    <row r="2058" spans="1:5" x14ac:dyDescent="0.35">
      <c r="A2058" t="str">
        <f>"2018-03-15"</f>
        <v>2018-03-15</v>
      </c>
      <c r="B2058" s="1" t="str">
        <f t="shared" si="32"/>
        <v>03/15/2018</v>
      </c>
      <c r="C2058" t="str">
        <f>"110.3626"</f>
        <v>110.3626</v>
      </c>
      <c r="D2058" s="1" t="s">
        <v>2049</v>
      </c>
      <c r="E2058" t="s">
        <v>6166</v>
      </c>
    </row>
    <row r="2059" spans="1:5" x14ac:dyDescent="0.35">
      <c r="A2059" t="str">
        <f>"2018-03-16"</f>
        <v>2018-03-16</v>
      </c>
      <c r="B2059" s="1" t="str">
        <f t="shared" si="32"/>
        <v>03/16/2018</v>
      </c>
      <c r="C2059" t="str">
        <f>"111.4843"</f>
        <v>111.4843</v>
      </c>
      <c r="D2059" s="1" t="s">
        <v>2050</v>
      </c>
      <c r="E2059" t="s">
        <v>6167</v>
      </c>
    </row>
    <row r="2060" spans="1:5" x14ac:dyDescent="0.35">
      <c r="A2060" t="str">
        <f>"2018-03-19"</f>
        <v>2018-03-19</v>
      </c>
      <c r="B2060" s="1" t="str">
        <f t="shared" si="32"/>
        <v>03/19/2018</v>
      </c>
      <c r="C2060" t="str">
        <f>"107.9058"</f>
        <v>107.9058</v>
      </c>
      <c r="D2060" s="1" t="s">
        <v>2051</v>
      </c>
      <c r="E2060" t="s">
        <v>6168</v>
      </c>
    </row>
    <row r="2061" spans="1:5" x14ac:dyDescent="0.35">
      <c r="A2061" t="str">
        <f>"2018-03-20"</f>
        <v>2018-03-20</v>
      </c>
      <c r="B2061" s="1" t="str">
        <f t="shared" si="32"/>
        <v>03/20/2018</v>
      </c>
      <c r="C2061" t="str">
        <f>"113.4636"</f>
        <v>113.4636</v>
      </c>
      <c r="D2061" s="1" t="s">
        <v>2052</v>
      </c>
      <c r="E2061" t="s">
        <v>6169</v>
      </c>
    </row>
    <row r="2062" spans="1:5" x14ac:dyDescent="0.35">
      <c r="A2062" t="str">
        <f>"2018-03-21"</f>
        <v>2018-03-21</v>
      </c>
      <c r="B2062" s="1" t="str">
        <f t="shared" si="32"/>
        <v>03/21/2018</v>
      </c>
      <c r="C2062" t="str">
        <f>"113.3772"</f>
        <v>113.3772</v>
      </c>
      <c r="D2062" s="1" t="s">
        <v>2053</v>
      </c>
      <c r="E2062" t="s">
        <v>6170</v>
      </c>
    </row>
    <row r="2063" spans="1:5" x14ac:dyDescent="0.35">
      <c r="A2063" t="str">
        <f>"2018-03-22"</f>
        <v>2018-03-22</v>
      </c>
      <c r="B2063" s="1" t="str">
        <f t="shared" si="32"/>
        <v>03/22/2018</v>
      </c>
      <c r="C2063" t="str">
        <f>"112.8883"</f>
        <v>112.8883</v>
      </c>
      <c r="D2063" s="1" t="s">
        <v>2054</v>
      </c>
      <c r="E2063" t="s">
        <v>6171</v>
      </c>
    </row>
    <row r="2064" spans="1:5" x14ac:dyDescent="0.35">
      <c r="A2064" t="str">
        <f>"2018-03-23"</f>
        <v>2018-03-23</v>
      </c>
      <c r="B2064" s="1" t="str">
        <f t="shared" si="32"/>
        <v>03/23/2018</v>
      </c>
      <c r="C2064" t="str">
        <f>"109.0546"</f>
        <v>109.0546</v>
      </c>
      <c r="D2064" s="1" t="s">
        <v>2055</v>
      </c>
      <c r="E2064" t="s">
        <v>6172</v>
      </c>
    </row>
    <row r="2065" spans="1:5" x14ac:dyDescent="0.35">
      <c r="A2065" t="str">
        <f>"2018-03-26"</f>
        <v>2018-03-26</v>
      </c>
      <c r="B2065" s="1" t="str">
        <f t="shared" si="32"/>
        <v>03/26/2018</v>
      </c>
      <c r="C2065" t="str">
        <f>"110.8036"</f>
        <v>110.8036</v>
      </c>
      <c r="D2065" s="1" t="s">
        <v>2056</v>
      </c>
      <c r="E2065" t="s">
        <v>6173</v>
      </c>
    </row>
    <row r="2066" spans="1:5" x14ac:dyDescent="0.35">
      <c r="A2066" t="str">
        <f>"2018-03-27"</f>
        <v>2018-03-27</v>
      </c>
      <c r="B2066" s="1" t="str">
        <f t="shared" si="32"/>
        <v>03/27/2018</v>
      </c>
      <c r="C2066" t="str">
        <f>"111.0479"</f>
        <v>111.0479</v>
      </c>
      <c r="D2066" s="1" t="s">
        <v>2057</v>
      </c>
      <c r="E2066" t="s">
        <v>6174</v>
      </c>
    </row>
    <row r="2067" spans="1:5" x14ac:dyDescent="0.35">
      <c r="A2067" t="str">
        <f>"2018-03-28"</f>
        <v>2018-03-28</v>
      </c>
      <c r="B2067" s="1" t="str">
        <f t="shared" si="32"/>
        <v>03/28/2018</v>
      </c>
      <c r="C2067" t="str">
        <f>"109.3209"</f>
        <v>109.3209</v>
      </c>
      <c r="D2067" s="1" t="s">
        <v>2058</v>
      </c>
      <c r="E2067" t="s">
        <v>6175</v>
      </c>
    </row>
    <row r="2068" spans="1:5" x14ac:dyDescent="0.35">
      <c r="A2068" t="str">
        <f>"2018-03-29"</f>
        <v>2018-03-29</v>
      </c>
      <c r="B2068" s="1" t="str">
        <f t="shared" si="32"/>
        <v>03/29/2018</v>
      </c>
      <c r="C2068" t="str">
        <f>"113.662"</f>
        <v>113.662</v>
      </c>
      <c r="D2068" s="1" t="s">
        <v>2059</v>
      </c>
      <c r="E2068" t="s">
        <v>6176</v>
      </c>
    </row>
    <row r="2069" spans="1:5" x14ac:dyDescent="0.35">
      <c r="A2069" t="str">
        <f>"2018-04-02"</f>
        <v>2018-04-02</v>
      </c>
      <c r="B2069" s="1" t="str">
        <f t="shared" si="32"/>
        <v>04/02/2018</v>
      </c>
      <c r="C2069" t="str">
        <f>"111.7172"</f>
        <v>111.7172</v>
      </c>
      <c r="D2069" s="1" t="s">
        <v>2060</v>
      </c>
      <c r="E2069" t="s">
        <v>6177</v>
      </c>
    </row>
    <row r="2070" spans="1:5" x14ac:dyDescent="0.35">
      <c r="A2070" t="str">
        <f>"2018-04-03"</f>
        <v>2018-04-03</v>
      </c>
      <c r="B2070" s="1" t="str">
        <f t="shared" si="32"/>
        <v>04/03/2018</v>
      </c>
      <c r="C2070" t="str">
        <f>"113.9533"</f>
        <v>113.9533</v>
      </c>
      <c r="D2070" s="1" t="s">
        <v>2061</v>
      </c>
      <c r="E2070" t="s">
        <v>6178</v>
      </c>
    </row>
    <row r="2071" spans="1:5" x14ac:dyDescent="0.35">
      <c r="A2071" t="str">
        <f>"2018-04-04"</f>
        <v>2018-04-04</v>
      </c>
      <c r="B2071" s="1" t="str">
        <f t="shared" si="32"/>
        <v>04/04/2018</v>
      </c>
      <c r="C2071" t="str">
        <f>"112.9397"</f>
        <v>112.9397</v>
      </c>
      <c r="D2071" s="1" t="s">
        <v>2062</v>
      </c>
      <c r="E2071" t="s">
        <v>6179</v>
      </c>
    </row>
    <row r="2072" spans="1:5" x14ac:dyDescent="0.35">
      <c r="A2072" t="str">
        <f>"2018-04-05"</f>
        <v>2018-04-05</v>
      </c>
      <c r="B2072" s="1" t="str">
        <f t="shared" si="32"/>
        <v>04/05/2018</v>
      </c>
      <c r="C2072" t="str">
        <f>"114.3472"</f>
        <v>114.3472</v>
      </c>
      <c r="D2072" s="1" t="s">
        <v>2063</v>
      </c>
      <c r="E2072" t="s">
        <v>6180</v>
      </c>
    </row>
    <row r="2073" spans="1:5" x14ac:dyDescent="0.35">
      <c r="A2073" t="str">
        <f>"2018-04-06"</f>
        <v>2018-04-06</v>
      </c>
      <c r="B2073" s="1" t="str">
        <f t="shared" si="32"/>
        <v>04/06/2018</v>
      </c>
      <c r="C2073" t="str">
        <f>"113.6588"</f>
        <v>113.6588</v>
      </c>
      <c r="D2073" s="1" t="s">
        <v>2064</v>
      </c>
      <c r="E2073" t="s">
        <v>6181</v>
      </c>
    </row>
    <row r="2074" spans="1:5" x14ac:dyDescent="0.35">
      <c r="A2074" t="str">
        <f>"2018-04-09"</f>
        <v>2018-04-09</v>
      </c>
      <c r="B2074" s="1" t="str">
        <f t="shared" si="32"/>
        <v>04/09/2018</v>
      </c>
      <c r="C2074" t="str">
        <f>"113.2419"</f>
        <v>113.2419</v>
      </c>
      <c r="D2074" s="1" t="s">
        <v>2065</v>
      </c>
      <c r="E2074" t="s">
        <v>6182</v>
      </c>
    </row>
    <row r="2075" spans="1:5" x14ac:dyDescent="0.35">
      <c r="A2075" t="str">
        <f>"2018-04-10"</f>
        <v>2018-04-10</v>
      </c>
      <c r="B2075" s="1" t="str">
        <f t="shared" si="32"/>
        <v>04/10/2018</v>
      </c>
      <c r="C2075" t="str">
        <f>"109.416"</f>
        <v>109.416</v>
      </c>
      <c r="D2075" s="1" t="s">
        <v>2066</v>
      </c>
      <c r="E2075" t="s">
        <v>6183</v>
      </c>
    </row>
    <row r="2076" spans="1:5" x14ac:dyDescent="0.35">
      <c r="A2076" t="str">
        <f>"2018-04-11"</f>
        <v>2018-04-11</v>
      </c>
      <c r="B2076" s="1" t="str">
        <f t="shared" si="32"/>
        <v>04/11/2018</v>
      </c>
      <c r="C2076" t="str">
        <f>"104.0019"</f>
        <v>104.0019</v>
      </c>
      <c r="D2076" s="1" t="s">
        <v>2067</v>
      </c>
      <c r="E2076" t="s">
        <v>6184</v>
      </c>
    </row>
    <row r="2077" spans="1:5" x14ac:dyDescent="0.35">
      <c r="A2077" t="str">
        <f>"2018-04-12"</f>
        <v>2018-04-12</v>
      </c>
      <c r="B2077" s="1" t="str">
        <f t="shared" si="32"/>
        <v>04/12/2018</v>
      </c>
      <c r="C2077" t="str">
        <f>"104.3883"</f>
        <v>104.3883</v>
      </c>
      <c r="D2077" s="1" t="s">
        <v>2068</v>
      </c>
      <c r="E2077" t="s">
        <v>6185</v>
      </c>
    </row>
    <row r="2078" spans="1:5" x14ac:dyDescent="0.35">
      <c r="A2078" t="str">
        <f>"2018-04-13"</f>
        <v>2018-04-13</v>
      </c>
      <c r="B2078" s="1" t="str">
        <f t="shared" si="32"/>
        <v>04/13/2018</v>
      </c>
      <c r="C2078" t="str">
        <f>"103.1061"</f>
        <v>103.1061</v>
      </c>
      <c r="D2078" s="1" t="s">
        <v>2069</v>
      </c>
      <c r="E2078" t="s">
        <v>6186</v>
      </c>
    </row>
    <row r="2079" spans="1:5" x14ac:dyDescent="0.35">
      <c r="A2079" t="str">
        <f>"2018-04-16"</f>
        <v>2018-04-16</v>
      </c>
      <c r="B2079" s="1" t="str">
        <f t="shared" si="32"/>
        <v>04/16/2018</v>
      </c>
      <c r="C2079" t="str">
        <f>"108.0543"</f>
        <v>108.0543</v>
      </c>
      <c r="D2079" s="1" t="s">
        <v>2070</v>
      </c>
      <c r="E2079" t="s">
        <v>6187</v>
      </c>
    </row>
    <row r="2080" spans="1:5" x14ac:dyDescent="0.35">
      <c r="A2080" t="str">
        <f>"2018-04-17"</f>
        <v>2018-04-17</v>
      </c>
      <c r="B2080" s="1" t="str">
        <f t="shared" si="32"/>
        <v>04/17/2018</v>
      </c>
      <c r="C2080" t="str">
        <f>"102.7741"</f>
        <v>102.7741</v>
      </c>
      <c r="D2080" s="1" t="s">
        <v>2071</v>
      </c>
      <c r="E2080" t="s">
        <v>6188</v>
      </c>
    </row>
    <row r="2081" spans="1:5" x14ac:dyDescent="0.35">
      <c r="A2081" t="str">
        <f>"2018-04-18"</f>
        <v>2018-04-18</v>
      </c>
      <c r="B2081" s="1" t="str">
        <f t="shared" si="32"/>
        <v>04/18/2018</v>
      </c>
      <c r="C2081" t="str">
        <f>"107.023"</f>
        <v>107.023</v>
      </c>
      <c r="D2081" s="1" t="s">
        <v>2072</v>
      </c>
      <c r="E2081" t="s">
        <v>6189</v>
      </c>
    </row>
    <row r="2082" spans="1:5" x14ac:dyDescent="0.35">
      <c r="A2082" t="str">
        <f>"2018-04-19"</f>
        <v>2018-04-19</v>
      </c>
      <c r="B2082" s="1" t="str">
        <f t="shared" si="32"/>
        <v>04/19/2018</v>
      </c>
      <c r="C2082" t="str">
        <f>"108.6016"</f>
        <v>108.6016</v>
      </c>
      <c r="D2082" s="1" t="s">
        <v>2073</v>
      </c>
      <c r="E2082" t="s">
        <v>6190</v>
      </c>
    </row>
    <row r="2083" spans="1:5" x14ac:dyDescent="0.35">
      <c r="A2083" t="str">
        <f>"2018-04-20"</f>
        <v>2018-04-20</v>
      </c>
      <c r="B2083" s="1" t="str">
        <f t="shared" si="32"/>
        <v>04/20/2018</v>
      </c>
      <c r="C2083" t="str">
        <f>"104.9044"</f>
        <v>104.9044</v>
      </c>
      <c r="D2083" s="1" t="s">
        <v>2074</v>
      </c>
      <c r="E2083" t="s">
        <v>6191</v>
      </c>
    </row>
    <row r="2084" spans="1:5" x14ac:dyDescent="0.35">
      <c r="A2084" t="str">
        <f>"2018-04-23"</f>
        <v>2018-04-23</v>
      </c>
      <c r="B2084" s="1" t="str">
        <f t="shared" si="32"/>
        <v>04/23/2018</v>
      </c>
      <c r="C2084" t="str">
        <f>"105.1812"</f>
        <v>105.1812</v>
      </c>
      <c r="D2084" s="1" t="s">
        <v>2075</v>
      </c>
      <c r="E2084" t="s">
        <v>6192</v>
      </c>
    </row>
    <row r="2085" spans="1:5" x14ac:dyDescent="0.35">
      <c r="A2085" t="str">
        <f>"2018-04-24"</f>
        <v>2018-04-24</v>
      </c>
      <c r="B2085" s="1" t="str">
        <f t="shared" si="32"/>
        <v>04/24/2018</v>
      </c>
      <c r="C2085" t="str">
        <f>"99.868"</f>
        <v>99.868</v>
      </c>
      <c r="D2085" s="1" t="s">
        <v>2076</v>
      </c>
      <c r="E2085" t="s">
        <v>6193</v>
      </c>
    </row>
    <row r="2086" spans="1:5" x14ac:dyDescent="0.35">
      <c r="A2086" t="str">
        <f>"2018-04-25"</f>
        <v>2018-04-25</v>
      </c>
      <c r="B2086" s="1" t="str">
        <f t="shared" si="32"/>
        <v>04/25/2018</v>
      </c>
      <c r="C2086" t="str">
        <f>"99.3181"</f>
        <v>99.3181</v>
      </c>
      <c r="D2086" s="1" t="s">
        <v>2077</v>
      </c>
      <c r="E2086" t="s">
        <v>6194</v>
      </c>
    </row>
    <row r="2087" spans="1:5" x14ac:dyDescent="0.35">
      <c r="A2087" t="str">
        <f>"2018-04-26"</f>
        <v>2018-04-26</v>
      </c>
      <c r="B2087" s="1" t="str">
        <f t="shared" si="32"/>
        <v>04/26/2018</v>
      </c>
      <c r="C2087" t="str">
        <f>"98.9508"</f>
        <v>98.9508</v>
      </c>
      <c r="D2087" s="1" t="s">
        <v>2078</v>
      </c>
      <c r="E2087" t="s">
        <v>6195</v>
      </c>
    </row>
    <row r="2088" spans="1:5" x14ac:dyDescent="0.35">
      <c r="A2088" t="str">
        <f>"2018-04-27"</f>
        <v>2018-04-27</v>
      </c>
      <c r="B2088" s="1" t="str">
        <f t="shared" si="32"/>
        <v>04/27/2018</v>
      </c>
      <c r="C2088" t="str">
        <f>"100.8167"</f>
        <v>100.8167</v>
      </c>
      <c r="D2088" s="1" t="s">
        <v>2079</v>
      </c>
      <c r="E2088" t="s">
        <v>6196</v>
      </c>
    </row>
    <row r="2089" spans="1:5" x14ac:dyDescent="0.35">
      <c r="A2089" t="str">
        <f>"2018-04-30"</f>
        <v>2018-04-30</v>
      </c>
      <c r="B2089" s="1" t="str">
        <f t="shared" si="32"/>
        <v>04/30/2018</v>
      </c>
      <c r="C2089" t="str">
        <f>"97.4027"</f>
        <v>97.4027</v>
      </c>
      <c r="D2089" s="1" t="s">
        <v>2080</v>
      </c>
      <c r="E2089" t="s">
        <v>6197</v>
      </c>
    </row>
    <row r="2090" spans="1:5" x14ac:dyDescent="0.35">
      <c r="A2090" t="str">
        <f>"2018-05-01"</f>
        <v>2018-05-01</v>
      </c>
      <c r="B2090" s="1" t="str">
        <f t="shared" si="32"/>
        <v>05/01/2018</v>
      </c>
      <c r="C2090" t="str">
        <f>"98.2081"</f>
        <v>98.2081</v>
      </c>
      <c r="D2090" s="1" t="s">
        <v>2081</v>
      </c>
      <c r="E2090" t="s">
        <v>6198</v>
      </c>
    </row>
    <row r="2091" spans="1:5" x14ac:dyDescent="0.35">
      <c r="A2091" t="str">
        <f>"2018-05-02"</f>
        <v>2018-05-02</v>
      </c>
      <c r="B2091" s="1" t="str">
        <f t="shared" si="32"/>
        <v>05/02/2018</v>
      </c>
      <c r="C2091" t="str">
        <f>"99.1382"</f>
        <v>99.1382</v>
      </c>
      <c r="D2091" s="1" t="s">
        <v>2082</v>
      </c>
      <c r="E2091" t="s">
        <v>6199</v>
      </c>
    </row>
    <row r="2092" spans="1:5" x14ac:dyDescent="0.35">
      <c r="A2092" t="str">
        <f>"2018-05-03"</f>
        <v>2018-05-03</v>
      </c>
      <c r="B2092" s="1" t="str">
        <f t="shared" si="32"/>
        <v>05/03/2018</v>
      </c>
      <c r="C2092" t="str">
        <f>"95.0303"</f>
        <v>95.0303</v>
      </c>
      <c r="D2092" s="1" t="s">
        <v>2083</v>
      </c>
      <c r="E2092" t="s">
        <v>6200</v>
      </c>
    </row>
    <row r="2093" spans="1:5" x14ac:dyDescent="0.35">
      <c r="A2093" t="str">
        <f>"2018-05-04"</f>
        <v>2018-05-04</v>
      </c>
      <c r="B2093" s="1" t="str">
        <f t="shared" si="32"/>
        <v>05/04/2018</v>
      </c>
      <c r="C2093" t="str">
        <f>"92.6297"</f>
        <v>92.6297</v>
      </c>
      <c r="D2093" s="1" t="s">
        <v>2084</v>
      </c>
      <c r="E2093" t="s">
        <v>6201</v>
      </c>
    </row>
    <row r="2094" spans="1:5" x14ac:dyDescent="0.35">
      <c r="A2094" t="str">
        <f>"2018-05-07"</f>
        <v>2018-05-07</v>
      </c>
      <c r="B2094" s="1" t="str">
        <f t="shared" si="32"/>
        <v>05/07/2018</v>
      </c>
      <c r="C2094" t="str">
        <f>"92.764"</f>
        <v>92.764</v>
      </c>
      <c r="D2094" s="1" t="s">
        <v>2085</v>
      </c>
      <c r="E2094" t="s">
        <v>6202</v>
      </c>
    </row>
    <row r="2095" spans="1:5" x14ac:dyDescent="0.35">
      <c r="A2095" t="str">
        <f>"2018-05-08"</f>
        <v>2018-05-08</v>
      </c>
      <c r="B2095" s="1" t="str">
        <f t="shared" si="32"/>
        <v>05/08/2018</v>
      </c>
      <c r="C2095" t="str">
        <f>"89.0733"</f>
        <v>89.0733</v>
      </c>
      <c r="D2095" s="1" t="s">
        <v>2086</v>
      </c>
      <c r="E2095" t="s">
        <v>6203</v>
      </c>
    </row>
    <row r="2096" spans="1:5" x14ac:dyDescent="0.35">
      <c r="A2096" t="str">
        <f>"2018-05-09"</f>
        <v>2018-05-09</v>
      </c>
      <c r="B2096" s="1" t="str">
        <f t="shared" si="32"/>
        <v>05/09/2018</v>
      </c>
      <c r="C2096" t="str">
        <f>"89.9246"</f>
        <v>89.9246</v>
      </c>
      <c r="D2096" s="1" t="s">
        <v>2087</v>
      </c>
      <c r="E2096" t="s">
        <v>6204</v>
      </c>
    </row>
    <row r="2097" spans="1:5" x14ac:dyDescent="0.35">
      <c r="A2097" t="str">
        <f>"2018-05-10"</f>
        <v>2018-05-10</v>
      </c>
      <c r="B2097" s="1" t="str">
        <f t="shared" si="32"/>
        <v>05/10/2018</v>
      </c>
      <c r="C2097" t="str">
        <f>"90.7464"</f>
        <v>90.7464</v>
      </c>
      <c r="D2097" s="1" t="s">
        <v>2088</v>
      </c>
      <c r="E2097" t="s">
        <v>6205</v>
      </c>
    </row>
    <row r="2098" spans="1:5" x14ac:dyDescent="0.35">
      <c r="A2098" t="str">
        <f>"2018-05-11"</f>
        <v>2018-05-11</v>
      </c>
      <c r="B2098" s="1" t="str">
        <f t="shared" si="32"/>
        <v>05/11/2018</v>
      </c>
      <c r="C2098" t="str">
        <f>"90.8605"</f>
        <v>90.8605</v>
      </c>
      <c r="D2098" s="1" t="s">
        <v>2089</v>
      </c>
      <c r="E2098" t="s">
        <v>6206</v>
      </c>
    </row>
    <row r="2099" spans="1:5" x14ac:dyDescent="0.35">
      <c r="A2099" t="str">
        <f>"2018-05-14"</f>
        <v>2018-05-14</v>
      </c>
      <c r="B2099" s="1" t="str">
        <f t="shared" si="32"/>
        <v>05/14/2018</v>
      </c>
      <c r="C2099" t="str">
        <f>"91.8377"</f>
        <v>91.8377</v>
      </c>
      <c r="D2099" s="1" t="s">
        <v>2090</v>
      </c>
      <c r="E2099" t="s">
        <v>6207</v>
      </c>
    </row>
    <row r="2100" spans="1:5" x14ac:dyDescent="0.35">
      <c r="A2100" t="str">
        <f>"2018-05-15"</f>
        <v>2018-05-15</v>
      </c>
      <c r="B2100" s="1" t="str">
        <f t="shared" si="32"/>
        <v>05/15/2018</v>
      </c>
      <c r="C2100" t="str">
        <f>"92.627"</f>
        <v>92.627</v>
      </c>
      <c r="D2100" s="1" t="s">
        <v>2091</v>
      </c>
      <c r="E2100" t="s">
        <v>6208</v>
      </c>
    </row>
    <row r="2101" spans="1:5" x14ac:dyDescent="0.35">
      <c r="A2101" t="str">
        <f>"2018-05-16"</f>
        <v>2018-05-16</v>
      </c>
      <c r="B2101" s="1" t="str">
        <f t="shared" si="32"/>
        <v>05/16/2018</v>
      </c>
      <c r="C2101" t="str">
        <f>"89.4735"</f>
        <v>89.4735</v>
      </c>
      <c r="D2101" s="1" t="s">
        <v>2092</v>
      </c>
      <c r="E2101" t="s">
        <v>6209</v>
      </c>
    </row>
    <row r="2102" spans="1:5" x14ac:dyDescent="0.35">
      <c r="A2102" t="str">
        <f>"2018-05-17"</f>
        <v>2018-05-17</v>
      </c>
      <c r="B2102" s="1" t="str">
        <f t="shared" si="32"/>
        <v>05/17/2018</v>
      </c>
      <c r="C2102" t="str">
        <f>"88.5352"</f>
        <v>88.5352</v>
      </c>
      <c r="D2102" s="1" t="s">
        <v>2093</v>
      </c>
      <c r="E2102" t="s">
        <v>6210</v>
      </c>
    </row>
    <row r="2103" spans="1:5" x14ac:dyDescent="0.35">
      <c r="A2103" t="str">
        <f>"2018-05-18"</f>
        <v>2018-05-18</v>
      </c>
      <c r="B2103" s="1" t="str">
        <f t="shared" si="32"/>
        <v>05/18/2018</v>
      </c>
      <c r="C2103" t="str">
        <f>"88.0802"</f>
        <v>88.0802</v>
      </c>
      <c r="D2103" s="1" t="s">
        <v>2094</v>
      </c>
      <c r="E2103" t="s">
        <v>6211</v>
      </c>
    </row>
    <row r="2104" spans="1:5" x14ac:dyDescent="0.35">
      <c r="A2104" t="str">
        <f>"2018-05-21"</f>
        <v>2018-05-21</v>
      </c>
      <c r="B2104" s="1" t="str">
        <f t="shared" si="32"/>
        <v>05/21/2018</v>
      </c>
      <c r="C2104" t="str">
        <f>"90.6196"</f>
        <v>90.6196</v>
      </c>
      <c r="D2104" s="1" t="s">
        <v>2095</v>
      </c>
      <c r="E2104" t="s">
        <v>6212</v>
      </c>
    </row>
    <row r="2105" spans="1:5" x14ac:dyDescent="0.35">
      <c r="A2105" t="str">
        <f>"2018-05-22"</f>
        <v>2018-05-22</v>
      </c>
      <c r="B2105" s="1" t="str">
        <f t="shared" si="32"/>
        <v>05/22/2018</v>
      </c>
      <c r="C2105" t="str">
        <f>"88.0502"</f>
        <v>88.0502</v>
      </c>
      <c r="D2105" s="1" t="s">
        <v>2096</v>
      </c>
      <c r="E2105" t="s">
        <v>6213</v>
      </c>
    </row>
    <row r="2106" spans="1:5" x14ac:dyDescent="0.35">
      <c r="A2106" t="str">
        <f>"2018-05-23"</f>
        <v>2018-05-23</v>
      </c>
      <c r="B2106" s="1" t="str">
        <f t="shared" si="32"/>
        <v>05/23/2018</v>
      </c>
      <c r="C2106" t="str">
        <f>"84.6861"</f>
        <v>84.6861</v>
      </c>
      <c r="D2106" s="1" t="s">
        <v>2097</v>
      </c>
      <c r="E2106" t="s">
        <v>6214</v>
      </c>
    </row>
    <row r="2107" spans="1:5" x14ac:dyDescent="0.35">
      <c r="A2107" t="str">
        <f>"2018-05-24"</f>
        <v>2018-05-24</v>
      </c>
      <c r="B2107" s="1" t="str">
        <f t="shared" si="32"/>
        <v>05/24/2018</v>
      </c>
      <c r="C2107" t="str">
        <f>"81.7143"</f>
        <v>81.7143</v>
      </c>
      <c r="D2107" s="1" t="s">
        <v>2098</v>
      </c>
      <c r="E2107" t="s">
        <v>6215</v>
      </c>
    </row>
    <row r="2108" spans="1:5" x14ac:dyDescent="0.35">
      <c r="A2108" t="str">
        <f>"2018-05-25"</f>
        <v>2018-05-25</v>
      </c>
      <c r="B2108" s="1" t="str">
        <f t="shared" si="32"/>
        <v>05/25/2018</v>
      </c>
      <c r="C2108" t="str">
        <f>"83.2956"</f>
        <v>83.2956</v>
      </c>
      <c r="D2108" s="1" t="s">
        <v>2099</v>
      </c>
      <c r="E2108" t="s">
        <v>6216</v>
      </c>
    </row>
    <row r="2109" spans="1:5" x14ac:dyDescent="0.35">
      <c r="A2109" t="str">
        <f>"2018-05-29"</f>
        <v>2018-05-29</v>
      </c>
      <c r="B2109" s="1" t="str">
        <f t="shared" si="32"/>
        <v>05/29/2018</v>
      </c>
      <c r="C2109" t="str">
        <f>"91.4127"</f>
        <v>91.4127</v>
      </c>
      <c r="D2109" s="1" t="s">
        <v>2100</v>
      </c>
      <c r="E2109" t="s">
        <v>6217</v>
      </c>
    </row>
    <row r="2110" spans="1:5" x14ac:dyDescent="0.35">
      <c r="A2110" t="str">
        <f>"2018-05-30"</f>
        <v>2018-05-30</v>
      </c>
      <c r="B2110" s="1" t="str">
        <f t="shared" si="32"/>
        <v>05/30/2018</v>
      </c>
      <c r="C2110" t="str">
        <f>"90.8726"</f>
        <v>90.8726</v>
      </c>
      <c r="D2110" s="1" t="s">
        <v>2101</v>
      </c>
      <c r="E2110" t="s">
        <v>6218</v>
      </c>
    </row>
    <row r="2111" spans="1:5" x14ac:dyDescent="0.35">
      <c r="A2111" t="str">
        <f>"2018-05-31"</f>
        <v>2018-05-31</v>
      </c>
      <c r="B2111" s="1" t="str">
        <f t="shared" si="32"/>
        <v>05/31/2018</v>
      </c>
      <c r="C2111" t="str">
        <f>"89.087"</f>
        <v>89.087</v>
      </c>
      <c r="D2111" s="1" t="s">
        <v>2102</v>
      </c>
      <c r="E2111" t="s">
        <v>6219</v>
      </c>
    </row>
    <row r="2112" spans="1:5" x14ac:dyDescent="0.35">
      <c r="A2112" t="str">
        <f>"2018-06-01"</f>
        <v>2018-06-01</v>
      </c>
      <c r="B2112" s="1" t="str">
        <f t="shared" si="32"/>
        <v>06/01/2018</v>
      </c>
      <c r="C2112" t="str">
        <f>"87.8555"</f>
        <v>87.8555</v>
      </c>
      <c r="D2112" s="1" t="s">
        <v>2103</v>
      </c>
      <c r="E2112" t="s">
        <v>6220</v>
      </c>
    </row>
    <row r="2113" spans="1:5" x14ac:dyDescent="0.35">
      <c r="A2113" t="str">
        <f>"2018-06-04"</f>
        <v>2018-06-04</v>
      </c>
      <c r="B2113" s="1" t="str">
        <f t="shared" si="32"/>
        <v>06/04/2018</v>
      </c>
      <c r="C2113" t="str">
        <f>"84.4316"</f>
        <v>84.4316</v>
      </c>
      <c r="D2113" s="1" t="s">
        <v>2104</v>
      </c>
      <c r="E2113" t="s">
        <v>6221</v>
      </c>
    </row>
    <row r="2114" spans="1:5" x14ac:dyDescent="0.35">
      <c r="A2114" t="str">
        <f>"2018-06-05"</f>
        <v>2018-06-05</v>
      </c>
      <c r="B2114" s="1" t="str">
        <f t="shared" si="32"/>
        <v>06/05/2018</v>
      </c>
      <c r="C2114" t="str">
        <f>"83.6532"</f>
        <v>83.6532</v>
      </c>
      <c r="D2114" s="1" t="s">
        <v>2105</v>
      </c>
      <c r="E2114" t="s">
        <v>6222</v>
      </c>
    </row>
    <row r="2115" spans="1:5" x14ac:dyDescent="0.35">
      <c r="A2115" t="str">
        <f>"2018-06-06"</f>
        <v>2018-06-06</v>
      </c>
      <c r="B2115" s="1" t="str">
        <f t="shared" ref="B2115:B2178" si="33">LEFT(RIGHT(A2115,5),2)&amp;"/"&amp;RIGHT(A2115,2)&amp;"/"&amp;LEFT(A2115,4)</f>
        <v>06/06/2018</v>
      </c>
      <c r="C2115" t="str">
        <f>"79.7413"</f>
        <v>79.7413</v>
      </c>
      <c r="D2115" s="1" t="s">
        <v>2106</v>
      </c>
      <c r="E2115" t="s">
        <v>6223</v>
      </c>
    </row>
    <row r="2116" spans="1:5" x14ac:dyDescent="0.35">
      <c r="A2116" t="str">
        <f>"2018-06-07"</f>
        <v>2018-06-07</v>
      </c>
      <c r="B2116" s="1" t="str">
        <f t="shared" si="33"/>
        <v>06/07/2018</v>
      </c>
      <c r="C2116" t="str">
        <f>"79.6223"</f>
        <v>79.6223</v>
      </c>
      <c r="D2116" s="1" t="s">
        <v>2107</v>
      </c>
      <c r="E2116" t="s">
        <v>6224</v>
      </c>
    </row>
    <row r="2117" spans="1:5" x14ac:dyDescent="0.35">
      <c r="A2117" t="str">
        <f>"2018-06-08"</f>
        <v>2018-06-08</v>
      </c>
      <c r="B2117" s="1" t="str">
        <f t="shared" si="33"/>
        <v>06/08/2018</v>
      </c>
      <c r="C2117" t="str">
        <f>"72.0915"</f>
        <v>72.0915</v>
      </c>
      <c r="D2117" s="1" t="s">
        <v>2108</v>
      </c>
      <c r="E2117" t="s">
        <v>6225</v>
      </c>
    </row>
    <row r="2118" spans="1:5" x14ac:dyDescent="0.35">
      <c r="A2118" t="str">
        <f>"2018-06-11"</f>
        <v>2018-06-11</v>
      </c>
      <c r="B2118" s="1" t="str">
        <f t="shared" si="33"/>
        <v>06/11/2018</v>
      </c>
      <c r="C2118" t="str">
        <f>"75.4387"</f>
        <v>75.4387</v>
      </c>
      <c r="D2118" s="1" t="s">
        <v>2109</v>
      </c>
      <c r="E2118" t="s">
        <v>6226</v>
      </c>
    </row>
    <row r="2119" spans="1:5" x14ac:dyDescent="0.35">
      <c r="A2119" t="str">
        <f>"2018-06-12"</f>
        <v>2018-06-12</v>
      </c>
      <c r="B2119" s="1" t="str">
        <f t="shared" si="33"/>
        <v>06/12/2018</v>
      </c>
      <c r="C2119" t="str">
        <f>"70.333"</f>
        <v>70.333</v>
      </c>
      <c r="D2119" s="1" t="s">
        <v>2110</v>
      </c>
      <c r="E2119" t="s">
        <v>6227</v>
      </c>
    </row>
    <row r="2120" spans="1:5" x14ac:dyDescent="0.35">
      <c r="A2120" t="str">
        <f>"2018-06-13"</f>
        <v>2018-06-13</v>
      </c>
      <c r="B2120" s="1" t="str">
        <f t="shared" si="33"/>
        <v>06/13/2018</v>
      </c>
      <c r="C2120" t="str">
        <f>"67.0303"</f>
        <v>67.0303</v>
      </c>
      <c r="D2120" s="1" t="s">
        <v>2111</v>
      </c>
      <c r="E2120" t="s">
        <v>6228</v>
      </c>
    </row>
    <row r="2121" spans="1:5" x14ac:dyDescent="0.35">
      <c r="A2121" t="str">
        <f>"2018-06-14"</f>
        <v>2018-06-14</v>
      </c>
      <c r="B2121" s="1" t="str">
        <f t="shared" si="33"/>
        <v>06/14/2018</v>
      </c>
      <c r="C2121" t="str">
        <f>"65.7848"</f>
        <v>65.7848</v>
      </c>
      <c r="D2121" s="1" t="s">
        <v>2112</v>
      </c>
      <c r="E2121" t="s">
        <v>6229</v>
      </c>
    </row>
    <row r="2122" spans="1:5" x14ac:dyDescent="0.35">
      <c r="A2122" t="str">
        <f>"2018-06-15"</f>
        <v>2018-06-15</v>
      </c>
      <c r="B2122" s="1" t="str">
        <f t="shared" si="33"/>
        <v>06/15/2018</v>
      </c>
      <c r="C2122" t="str">
        <f>"66.2118"</f>
        <v>66.2118</v>
      </c>
      <c r="D2122" s="1" t="s">
        <v>2113</v>
      </c>
      <c r="E2122" t="s">
        <v>6230</v>
      </c>
    </row>
    <row r="2123" spans="1:5" x14ac:dyDescent="0.35">
      <c r="A2123" t="str">
        <f>"2018-06-18"</f>
        <v>2018-06-18</v>
      </c>
      <c r="B2123" s="1" t="str">
        <f t="shared" si="33"/>
        <v>06/18/2018</v>
      </c>
      <c r="C2123" t="str">
        <f>"64.4709"</f>
        <v>64.4709</v>
      </c>
      <c r="D2123" s="1" t="s">
        <v>2114</v>
      </c>
      <c r="E2123" t="s">
        <v>6231</v>
      </c>
    </row>
    <row r="2124" spans="1:5" x14ac:dyDescent="0.35">
      <c r="A2124" t="str">
        <f>"2018-06-19"</f>
        <v>2018-06-19</v>
      </c>
      <c r="B2124" s="1" t="str">
        <f t="shared" si="33"/>
        <v>06/19/2018</v>
      </c>
      <c r="C2124" t="str">
        <f>"66.359"</f>
        <v>66.359</v>
      </c>
      <c r="D2124" s="1" t="s">
        <v>2115</v>
      </c>
      <c r="E2124" t="s">
        <v>6232</v>
      </c>
    </row>
    <row r="2125" spans="1:5" x14ac:dyDescent="0.35">
      <c r="A2125" t="str">
        <f>"2018-06-20"</f>
        <v>2018-06-20</v>
      </c>
      <c r="B2125" s="1" t="str">
        <f t="shared" si="33"/>
        <v>06/20/2018</v>
      </c>
      <c r="C2125" t="str">
        <f>"65.2496"</f>
        <v>65.2496</v>
      </c>
      <c r="D2125" s="1" t="s">
        <v>2116</v>
      </c>
      <c r="E2125" t="s">
        <v>6233</v>
      </c>
    </row>
    <row r="2126" spans="1:5" x14ac:dyDescent="0.35">
      <c r="A2126" t="str">
        <f>"2018-06-21"</f>
        <v>2018-06-21</v>
      </c>
      <c r="B2126" s="1" t="str">
        <f t="shared" si="33"/>
        <v>06/21/2018</v>
      </c>
      <c r="C2126" t="str">
        <f>"67.0667"</f>
        <v>67.0667</v>
      </c>
      <c r="D2126" s="1" t="s">
        <v>2117</v>
      </c>
      <c r="E2126" t="s">
        <v>6234</v>
      </c>
    </row>
    <row r="2127" spans="1:5" x14ac:dyDescent="0.35">
      <c r="A2127" t="str">
        <f>"2018-06-22"</f>
        <v>2018-06-22</v>
      </c>
      <c r="B2127" s="1" t="str">
        <f t="shared" si="33"/>
        <v>06/22/2018</v>
      </c>
      <c r="C2127" t="str">
        <f>"66.5993"</f>
        <v>66.5993</v>
      </c>
      <c r="D2127" s="1" t="s">
        <v>2118</v>
      </c>
      <c r="E2127" t="s">
        <v>6235</v>
      </c>
    </row>
    <row r="2128" spans="1:5" x14ac:dyDescent="0.35">
      <c r="A2128" t="str">
        <f>"2018-06-25"</f>
        <v>2018-06-25</v>
      </c>
      <c r="B2128" s="1" t="str">
        <f t="shared" si="33"/>
        <v>06/25/2018</v>
      </c>
      <c r="C2128" t="str">
        <f>"67.0019"</f>
        <v>67.0019</v>
      </c>
      <c r="D2128" s="1" t="s">
        <v>2119</v>
      </c>
      <c r="E2128" t="s">
        <v>6236</v>
      </c>
    </row>
    <row r="2129" spans="1:5" x14ac:dyDescent="0.35">
      <c r="A2129" t="str">
        <f>"2018-06-26"</f>
        <v>2018-06-26</v>
      </c>
      <c r="B2129" s="1" t="str">
        <f t="shared" si="33"/>
        <v>06/26/2018</v>
      </c>
      <c r="C2129" t="str">
        <f>"68.5476"</f>
        <v>68.5476</v>
      </c>
      <c r="D2129" s="1" t="s">
        <v>2120</v>
      </c>
      <c r="E2129" t="s">
        <v>6237</v>
      </c>
    </row>
    <row r="2130" spans="1:5" x14ac:dyDescent="0.35">
      <c r="A2130" t="str">
        <f>"2018-06-27"</f>
        <v>2018-06-27</v>
      </c>
      <c r="B2130" s="1" t="str">
        <f t="shared" si="33"/>
        <v>06/27/2018</v>
      </c>
      <c r="C2130" t="str">
        <f>"74.0941"</f>
        <v>74.0941</v>
      </c>
      <c r="D2130" s="1" t="s">
        <v>2121</v>
      </c>
      <c r="E2130" t="s">
        <v>6238</v>
      </c>
    </row>
    <row r="2131" spans="1:5" x14ac:dyDescent="0.35">
      <c r="A2131" t="str">
        <f>"2018-06-28"</f>
        <v>2018-06-28</v>
      </c>
      <c r="B2131" s="1" t="str">
        <f t="shared" si="33"/>
        <v>06/28/2018</v>
      </c>
      <c r="C2131" t="str">
        <f>"73.7881"</f>
        <v>73.7881</v>
      </c>
      <c r="D2131" s="1" t="s">
        <v>2122</v>
      </c>
      <c r="E2131" t="s">
        <v>6239</v>
      </c>
    </row>
    <row r="2132" spans="1:5" x14ac:dyDescent="0.35">
      <c r="A2132" t="str">
        <f>"2018-06-29"</f>
        <v>2018-06-29</v>
      </c>
      <c r="B2132" s="1" t="str">
        <f t="shared" si="33"/>
        <v>06/29/2018</v>
      </c>
      <c r="C2132" t="str">
        <f>"73.0466"</f>
        <v>73.0466</v>
      </c>
      <c r="D2132" s="1" t="s">
        <v>2123</v>
      </c>
      <c r="E2132" t="s">
        <v>6240</v>
      </c>
    </row>
    <row r="2133" spans="1:5" x14ac:dyDescent="0.35">
      <c r="A2133" t="str">
        <f>"2018-07-02"</f>
        <v>2018-07-02</v>
      </c>
      <c r="B2133" s="1" t="str">
        <f t="shared" si="33"/>
        <v>07/02/2018</v>
      </c>
      <c r="C2133" t="str">
        <f>"76.3575"</f>
        <v>76.3575</v>
      </c>
      <c r="D2133" s="1" t="s">
        <v>2124</v>
      </c>
      <c r="E2133" t="s">
        <v>6241</v>
      </c>
    </row>
    <row r="2134" spans="1:5" x14ac:dyDescent="0.35">
      <c r="A2134" t="str">
        <f>"2018-07-03"</f>
        <v>2018-07-03</v>
      </c>
      <c r="B2134" s="1" t="str">
        <f t="shared" si="33"/>
        <v>07/03/2018</v>
      </c>
      <c r="C2134" t="str">
        <f>"74.4006"</f>
        <v>74.4006</v>
      </c>
      <c r="D2134" s="1" t="s">
        <v>2125</v>
      </c>
      <c r="E2134" t="s">
        <v>6242</v>
      </c>
    </row>
    <row r="2135" spans="1:5" x14ac:dyDescent="0.35">
      <c r="A2135" t="str">
        <f>"2018-07-05"</f>
        <v>2018-07-05</v>
      </c>
      <c r="B2135" s="1" t="str">
        <f t="shared" si="33"/>
        <v>07/05/2018</v>
      </c>
      <c r="C2135" t="str">
        <f>"76.0227"</f>
        <v>76.0227</v>
      </c>
      <c r="D2135" s="1" t="s">
        <v>2126</v>
      </c>
      <c r="E2135" t="s">
        <v>6243</v>
      </c>
    </row>
    <row r="2136" spans="1:5" x14ac:dyDescent="0.35">
      <c r="A2136" t="str">
        <f>"2018-07-06"</f>
        <v>2018-07-06</v>
      </c>
      <c r="B2136" s="1" t="str">
        <f t="shared" si="33"/>
        <v>07/06/2018</v>
      </c>
      <c r="C2136" t="str">
        <f>"77.5011"</f>
        <v>77.5011</v>
      </c>
      <c r="D2136" s="1" t="s">
        <v>2127</v>
      </c>
      <c r="E2136" t="s">
        <v>6244</v>
      </c>
    </row>
    <row r="2137" spans="1:5" x14ac:dyDescent="0.35">
      <c r="A2137" t="str">
        <f>"2018-07-09"</f>
        <v>2018-07-09</v>
      </c>
      <c r="B2137" s="1" t="str">
        <f t="shared" si="33"/>
        <v>07/09/2018</v>
      </c>
      <c r="C2137" t="str">
        <f>"81.1524"</f>
        <v>81.1524</v>
      </c>
      <c r="D2137" s="1" t="s">
        <v>2128</v>
      </c>
      <c r="E2137" t="s">
        <v>6245</v>
      </c>
    </row>
    <row r="2138" spans="1:5" x14ac:dyDescent="0.35">
      <c r="A2138" t="str">
        <f>"2018-07-10"</f>
        <v>2018-07-10</v>
      </c>
      <c r="B2138" s="1" t="str">
        <f t="shared" si="33"/>
        <v>07/10/2018</v>
      </c>
      <c r="C2138" t="str">
        <f>"75.2781"</f>
        <v>75.2781</v>
      </c>
      <c r="D2138" s="1" t="s">
        <v>2129</v>
      </c>
      <c r="E2138" t="s">
        <v>6246</v>
      </c>
    </row>
    <row r="2139" spans="1:5" x14ac:dyDescent="0.35">
      <c r="A2139" t="str">
        <f>"2018-07-11"</f>
        <v>2018-07-11</v>
      </c>
      <c r="B2139" s="1" t="str">
        <f t="shared" si="33"/>
        <v>07/11/2018</v>
      </c>
      <c r="C2139" t="str">
        <f>"71.821"</f>
        <v>71.821</v>
      </c>
      <c r="D2139" s="1" t="s">
        <v>2130</v>
      </c>
      <c r="E2139" t="s">
        <v>6247</v>
      </c>
    </row>
    <row r="2140" spans="1:5" x14ac:dyDescent="0.35">
      <c r="A2140" t="str">
        <f>"2018-07-12"</f>
        <v>2018-07-12</v>
      </c>
      <c r="B2140" s="1" t="str">
        <f t="shared" si="33"/>
        <v>07/12/2018</v>
      </c>
      <c r="C2140" t="str">
        <f>"72.854"</f>
        <v>72.854</v>
      </c>
      <c r="D2140" s="1" t="s">
        <v>2131</v>
      </c>
      <c r="E2140" t="s">
        <v>6248</v>
      </c>
    </row>
    <row r="2141" spans="1:5" x14ac:dyDescent="0.35">
      <c r="A2141" t="str">
        <f>"2018-07-13"</f>
        <v>2018-07-13</v>
      </c>
      <c r="B2141" s="1" t="str">
        <f t="shared" si="33"/>
        <v>07/13/2018</v>
      </c>
      <c r="C2141" t="str">
        <f>"75.7242"</f>
        <v>75.7242</v>
      </c>
      <c r="D2141" s="1" t="s">
        <v>2132</v>
      </c>
      <c r="E2141" t="s">
        <v>6249</v>
      </c>
    </row>
    <row r="2142" spans="1:5" x14ac:dyDescent="0.35">
      <c r="A2142" t="str">
        <f>"2018-07-16"</f>
        <v>2018-07-16</v>
      </c>
      <c r="B2142" s="1" t="str">
        <f t="shared" si="33"/>
        <v>07/16/2018</v>
      </c>
      <c r="C2142" t="str">
        <f>"78.135"</f>
        <v>78.135</v>
      </c>
      <c r="D2142" s="1" t="s">
        <v>2133</v>
      </c>
      <c r="E2142" t="s">
        <v>6250</v>
      </c>
    </row>
    <row r="2143" spans="1:5" x14ac:dyDescent="0.35">
      <c r="A2143" t="str">
        <f>"2018-07-17"</f>
        <v>2018-07-17</v>
      </c>
      <c r="B2143" s="1" t="str">
        <f t="shared" si="33"/>
        <v>07/17/2018</v>
      </c>
      <c r="C2143" t="str">
        <f>"83.1419"</f>
        <v>83.1419</v>
      </c>
      <c r="D2143" s="1" t="s">
        <v>2134</v>
      </c>
      <c r="E2143" t="s">
        <v>6251</v>
      </c>
    </row>
    <row r="2144" spans="1:5" x14ac:dyDescent="0.35">
      <c r="A2144" t="str">
        <f>"2018-07-18"</f>
        <v>2018-07-18</v>
      </c>
      <c r="B2144" s="1" t="str">
        <f t="shared" si="33"/>
        <v>07/18/2018</v>
      </c>
      <c r="C2144" t="str">
        <f>"85.0687"</f>
        <v>85.0687</v>
      </c>
      <c r="D2144" s="1" t="s">
        <v>2135</v>
      </c>
      <c r="E2144" t="s">
        <v>6252</v>
      </c>
    </row>
    <row r="2145" spans="1:5" x14ac:dyDescent="0.35">
      <c r="A2145" t="str">
        <f>"2018-07-19"</f>
        <v>2018-07-19</v>
      </c>
      <c r="B2145" s="1" t="str">
        <f t="shared" si="33"/>
        <v>07/19/2018</v>
      </c>
      <c r="C2145" t="str">
        <f>"85.309"</f>
        <v>85.309</v>
      </c>
      <c r="D2145" s="1" t="s">
        <v>2136</v>
      </c>
      <c r="E2145" t="s">
        <v>6253</v>
      </c>
    </row>
    <row r="2146" spans="1:5" x14ac:dyDescent="0.35">
      <c r="A2146" t="str">
        <f>"2018-07-20"</f>
        <v>2018-07-20</v>
      </c>
      <c r="B2146" s="1" t="str">
        <f t="shared" si="33"/>
        <v>07/20/2018</v>
      </c>
      <c r="C2146" t="str">
        <f>"84.6764"</f>
        <v>84.6764</v>
      </c>
      <c r="D2146" s="1" t="s">
        <v>2137</v>
      </c>
      <c r="E2146" t="s">
        <v>6254</v>
      </c>
    </row>
    <row r="2147" spans="1:5" x14ac:dyDescent="0.35">
      <c r="A2147" t="str">
        <f>"2018-07-23"</f>
        <v>2018-07-23</v>
      </c>
      <c r="B2147" s="1" t="str">
        <f t="shared" si="33"/>
        <v>07/23/2018</v>
      </c>
      <c r="C2147" t="str">
        <f>"88.0213"</f>
        <v>88.0213</v>
      </c>
      <c r="D2147" s="1" t="s">
        <v>2138</v>
      </c>
      <c r="E2147" t="s">
        <v>6255</v>
      </c>
    </row>
    <row r="2148" spans="1:5" x14ac:dyDescent="0.35">
      <c r="A2148" t="str">
        <f>"2018-07-24"</f>
        <v>2018-07-24</v>
      </c>
      <c r="B2148" s="1" t="str">
        <f t="shared" si="33"/>
        <v>07/24/2018</v>
      </c>
      <c r="C2148" t="str">
        <f>"85.6253"</f>
        <v>85.6253</v>
      </c>
      <c r="D2148" s="1" t="s">
        <v>2139</v>
      </c>
      <c r="E2148" t="s">
        <v>6256</v>
      </c>
    </row>
    <row r="2149" spans="1:5" x14ac:dyDescent="0.35">
      <c r="A2149" t="str">
        <f>"2018-07-25"</f>
        <v>2018-07-25</v>
      </c>
      <c r="B2149" s="1" t="str">
        <f t="shared" si="33"/>
        <v>07/25/2018</v>
      </c>
      <c r="C2149" t="str">
        <f>"88.4371"</f>
        <v>88.4371</v>
      </c>
      <c r="D2149" s="1" t="s">
        <v>2140</v>
      </c>
      <c r="E2149" t="s">
        <v>6257</v>
      </c>
    </row>
    <row r="2150" spans="1:5" x14ac:dyDescent="0.35">
      <c r="A2150" t="str">
        <f>"2018-07-26"</f>
        <v>2018-07-26</v>
      </c>
      <c r="B2150" s="1" t="str">
        <f t="shared" si="33"/>
        <v>07/26/2018</v>
      </c>
      <c r="C2150" t="str">
        <f>"87.0032"</f>
        <v>87.0032</v>
      </c>
      <c r="D2150" s="1" t="s">
        <v>2141</v>
      </c>
      <c r="E2150" t="s">
        <v>6258</v>
      </c>
    </row>
    <row r="2151" spans="1:5" x14ac:dyDescent="0.35">
      <c r="A2151" t="str">
        <f>"2018-07-27"</f>
        <v>2018-07-27</v>
      </c>
      <c r="B2151" s="1" t="str">
        <f t="shared" si="33"/>
        <v>07/27/2018</v>
      </c>
      <c r="C2151" t="str">
        <f>"87.0837"</f>
        <v>87.0837</v>
      </c>
      <c r="D2151" s="1" t="s">
        <v>2142</v>
      </c>
      <c r="E2151" t="s">
        <v>6259</v>
      </c>
    </row>
    <row r="2152" spans="1:5" x14ac:dyDescent="0.35">
      <c r="A2152" t="str">
        <f>"2018-07-30"</f>
        <v>2018-07-30</v>
      </c>
      <c r="B2152" s="1" t="str">
        <f t="shared" si="33"/>
        <v>07/30/2018</v>
      </c>
      <c r="C2152" t="str">
        <f>"88.2457"</f>
        <v>88.2457</v>
      </c>
      <c r="D2152" s="1" t="s">
        <v>2143</v>
      </c>
      <c r="E2152" t="s">
        <v>6260</v>
      </c>
    </row>
    <row r="2153" spans="1:5" x14ac:dyDescent="0.35">
      <c r="A2153" t="str">
        <f>"2018-07-31"</f>
        <v>2018-07-31</v>
      </c>
      <c r="B2153" s="1" t="str">
        <f t="shared" si="33"/>
        <v>07/31/2018</v>
      </c>
      <c r="C2153" t="str">
        <f>"89.9"</f>
        <v>89.9</v>
      </c>
      <c r="D2153" s="1" t="s">
        <v>2144</v>
      </c>
      <c r="E2153" t="s">
        <v>6261</v>
      </c>
    </row>
    <row r="2154" spans="1:5" x14ac:dyDescent="0.35">
      <c r="A2154" t="str">
        <f>"2018-08-01"</f>
        <v>2018-08-01</v>
      </c>
      <c r="B2154" s="1" t="str">
        <f t="shared" si="33"/>
        <v>08/01/2018</v>
      </c>
      <c r="C2154" t="str">
        <f>"88.9041"</f>
        <v>88.9041</v>
      </c>
      <c r="D2154" s="1" t="s">
        <v>2145</v>
      </c>
      <c r="E2154" t="s">
        <v>6262</v>
      </c>
    </row>
    <row r="2155" spans="1:5" x14ac:dyDescent="0.35">
      <c r="A2155" t="str">
        <f>"2018-08-02"</f>
        <v>2018-08-02</v>
      </c>
      <c r="B2155" s="1" t="str">
        <f t="shared" si="33"/>
        <v>08/02/2018</v>
      </c>
      <c r="C2155" t="str">
        <f>"87.2196"</f>
        <v>87.2196</v>
      </c>
      <c r="D2155" s="1" t="s">
        <v>2146</v>
      </c>
      <c r="E2155" t="s">
        <v>6263</v>
      </c>
    </row>
    <row r="2156" spans="1:5" x14ac:dyDescent="0.35">
      <c r="A2156" t="str">
        <f>"2018-08-03"</f>
        <v>2018-08-03</v>
      </c>
      <c r="B2156" s="1" t="str">
        <f t="shared" si="33"/>
        <v>08/03/2018</v>
      </c>
      <c r="C2156" t="str">
        <f>"87.4912"</f>
        <v>87.4912</v>
      </c>
      <c r="D2156" s="1" t="s">
        <v>2147</v>
      </c>
      <c r="E2156" t="s">
        <v>6264</v>
      </c>
    </row>
    <row r="2157" spans="1:5" x14ac:dyDescent="0.35">
      <c r="A2157" t="str">
        <f>"2018-08-06"</f>
        <v>2018-08-06</v>
      </c>
      <c r="B2157" s="1" t="str">
        <f t="shared" si="33"/>
        <v>08/06/2018</v>
      </c>
      <c r="C2157" t="str">
        <f>"85.767"</f>
        <v>85.767</v>
      </c>
      <c r="D2157" s="1" t="s">
        <v>2148</v>
      </c>
      <c r="E2157" t="s">
        <v>6265</v>
      </c>
    </row>
    <row r="2158" spans="1:5" x14ac:dyDescent="0.35">
      <c r="A2158" t="str">
        <f>"2018-08-07"</f>
        <v>2018-08-07</v>
      </c>
      <c r="B2158" s="1" t="str">
        <f t="shared" si="33"/>
        <v>08/07/2018</v>
      </c>
      <c r="C2158" t="str">
        <f>"84.4504"</f>
        <v>84.4504</v>
      </c>
      <c r="D2158" s="1" t="s">
        <v>2149</v>
      </c>
      <c r="E2158" t="s">
        <v>6266</v>
      </c>
    </row>
    <row r="2159" spans="1:5" x14ac:dyDescent="0.35">
      <c r="A2159" t="str">
        <f>"2018-08-08"</f>
        <v>2018-08-08</v>
      </c>
      <c r="B2159" s="1" t="str">
        <f t="shared" si="33"/>
        <v>08/08/2018</v>
      </c>
      <c r="C2159" t="str">
        <f>"84.5719"</f>
        <v>84.5719</v>
      </c>
      <c r="D2159" s="1" t="s">
        <v>2150</v>
      </c>
      <c r="E2159" t="s">
        <v>6267</v>
      </c>
    </row>
    <row r="2160" spans="1:5" x14ac:dyDescent="0.35">
      <c r="A2160" t="str">
        <f>"2018-08-09"</f>
        <v>2018-08-09</v>
      </c>
      <c r="B2160" s="1" t="str">
        <f t="shared" si="33"/>
        <v>08/09/2018</v>
      </c>
      <c r="C2160" t="str">
        <f>"84.021"</f>
        <v>84.021</v>
      </c>
      <c r="D2160" s="1" t="s">
        <v>2151</v>
      </c>
      <c r="E2160" t="s">
        <v>6268</v>
      </c>
    </row>
    <row r="2161" spans="1:5" x14ac:dyDescent="0.35">
      <c r="A2161" t="str">
        <f>"2018-08-10"</f>
        <v>2018-08-10</v>
      </c>
      <c r="B2161" s="1" t="str">
        <f t="shared" si="33"/>
        <v>08/10/2018</v>
      </c>
      <c r="C2161" t="str">
        <f>"78.9149"</f>
        <v>78.9149</v>
      </c>
      <c r="D2161" s="1" t="s">
        <v>2152</v>
      </c>
      <c r="E2161" t="s">
        <v>6269</v>
      </c>
    </row>
    <row r="2162" spans="1:5" x14ac:dyDescent="0.35">
      <c r="A2162" t="str">
        <f>"2018-08-13"</f>
        <v>2018-08-13</v>
      </c>
      <c r="B2162" s="1" t="str">
        <f t="shared" si="33"/>
        <v>08/13/2018</v>
      </c>
      <c r="C2162" t="str">
        <f>"63.3785"</f>
        <v>63.3785</v>
      </c>
      <c r="D2162" s="1" t="s">
        <v>2153</v>
      </c>
      <c r="E2162" t="s">
        <v>6270</v>
      </c>
    </row>
    <row r="2163" spans="1:5" x14ac:dyDescent="0.35">
      <c r="A2163" t="str">
        <f>"2018-08-14"</f>
        <v>2018-08-14</v>
      </c>
      <c r="B2163" s="1" t="str">
        <f t="shared" si="33"/>
        <v>08/14/2018</v>
      </c>
      <c r="C2163" t="str">
        <f>"64.3796"</f>
        <v>64.3796</v>
      </c>
      <c r="D2163" s="1" t="s">
        <v>2154</v>
      </c>
      <c r="E2163" t="s">
        <v>6271</v>
      </c>
    </row>
    <row r="2164" spans="1:5" x14ac:dyDescent="0.35">
      <c r="A2164" t="str">
        <f>"2018-08-15"</f>
        <v>2018-08-15</v>
      </c>
      <c r="B2164" s="1" t="str">
        <f t="shared" si="33"/>
        <v>08/15/2018</v>
      </c>
      <c r="C2164" t="str">
        <f>"65.9242"</f>
        <v>65.9242</v>
      </c>
      <c r="D2164" s="1" t="s">
        <v>2155</v>
      </c>
      <c r="E2164" t="s">
        <v>6272</v>
      </c>
    </row>
    <row r="2165" spans="1:5" x14ac:dyDescent="0.35">
      <c r="A2165" t="str">
        <f>"2018-08-16"</f>
        <v>2018-08-16</v>
      </c>
      <c r="B2165" s="1" t="str">
        <f t="shared" si="33"/>
        <v>08/16/2018</v>
      </c>
      <c r="C2165" t="str">
        <f>"69.3398"</f>
        <v>69.3398</v>
      </c>
      <c r="D2165" s="1" t="s">
        <v>2156</v>
      </c>
      <c r="E2165" t="s">
        <v>6273</v>
      </c>
    </row>
    <row r="2166" spans="1:5" x14ac:dyDescent="0.35">
      <c r="A2166" t="str">
        <f>"2018-08-17"</f>
        <v>2018-08-17</v>
      </c>
      <c r="B2166" s="1" t="str">
        <f t="shared" si="33"/>
        <v>08/17/2018</v>
      </c>
      <c r="C2166" t="str">
        <f>"69.0416"</f>
        <v>69.0416</v>
      </c>
      <c r="D2166" s="1" t="s">
        <v>2157</v>
      </c>
      <c r="E2166" t="s">
        <v>6274</v>
      </c>
    </row>
    <row r="2167" spans="1:5" x14ac:dyDescent="0.35">
      <c r="A2167" t="str">
        <f>"2018-08-20"</f>
        <v>2018-08-20</v>
      </c>
      <c r="B2167" s="1" t="str">
        <f t="shared" si="33"/>
        <v>08/20/2018</v>
      </c>
      <c r="C2167" t="str">
        <f>"69.7946"</f>
        <v>69.7946</v>
      </c>
      <c r="D2167" s="1" t="s">
        <v>2158</v>
      </c>
      <c r="E2167" t="s">
        <v>6275</v>
      </c>
    </row>
    <row r="2168" spans="1:5" x14ac:dyDescent="0.35">
      <c r="A2168" t="str">
        <f>"2018-08-21"</f>
        <v>2018-08-21</v>
      </c>
      <c r="B2168" s="1" t="str">
        <f t="shared" si="33"/>
        <v>08/21/2018</v>
      </c>
      <c r="C2168" t="str">
        <f>"68.4245"</f>
        <v>68.4245</v>
      </c>
      <c r="D2168" s="1" t="s">
        <v>2159</v>
      </c>
      <c r="E2168" t="s">
        <v>6276</v>
      </c>
    </row>
    <row r="2169" spans="1:5" x14ac:dyDescent="0.35">
      <c r="A2169" t="str">
        <f>"2018-08-22"</f>
        <v>2018-08-22</v>
      </c>
      <c r="B2169" s="1" t="str">
        <f t="shared" si="33"/>
        <v>08/22/2018</v>
      </c>
      <c r="C2169" t="str">
        <f>"68.4238"</f>
        <v>68.4238</v>
      </c>
      <c r="D2169" s="1" t="s">
        <v>2160</v>
      </c>
      <c r="E2169" t="s">
        <v>6277</v>
      </c>
    </row>
    <row r="2170" spans="1:5" x14ac:dyDescent="0.35">
      <c r="A2170" t="str">
        <f>"2018-08-23"</f>
        <v>2018-08-23</v>
      </c>
      <c r="B2170" s="1" t="str">
        <f t="shared" si="33"/>
        <v>08/23/2018</v>
      </c>
      <c r="C2170" t="str">
        <f>"69.5513"</f>
        <v>69.5513</v>
      </c>
      <c r="D2170" s="1" t="s">
        <v>2161</v>
      </c>
      <c r="E2170" t="s">
        <v>6278</v>
      </c>
    </row>
    <row r="2171" spans="1:5" x14ac:dyDescent="0.35">
      <c r="A2171" t="str">
        <f>"2018-08-24"</f>
        <v>2018-08-24</v>
      </c>
      <c r="B2171" s="1" t="str">
        <f t="shared" si="33"/>
        <v>08/24/2018</v>
      </c>
      <c r="C2171" t="str">
        <f>"67.6995"</f>
        <v>67.6995</v>
      </c>
      <c r="D2171" s="1" t="s">
        <v>2162</v>
      </c>
      <c r="E2171" t="s">
        <v>6279</v>
      </c>
    </row>
    <row r="2172" spans="1:5" x14ac:dyDescent="0.35">
      <c r="A2172" t="str">
        <f>"2018-08-27"</f>
        <v>2018-08-27</v>
      </c>
      <c r="B2172" s="1" t="str">
        <f t="shared" si="33"/>
        <v>08/27/2018</v>
      </c>
      <c r="C2172" t="str">
        <f>"70.7182"</f>
        <v>70.7182</v>
      </c>
      <c r="D2172" s="1" t="s">
        <v>2163</v>
      </c>
      <c r="E2172" t="s">
        <v>6280</v>
      </c>
    </row>
    <row r="2173" spans="1:5" x14ac:dyDescent="0.35">
      <c r="A2173" t="str">
        <f>"2018-08-28"</f>
        <v>2018-08-28</v>
      </c>
      <c r="B2173" s="1" t="str">
        <f t="shared" si="33"/>
        <v>08/28/2018</v>
      </c>
      <c r="C2173" t="str">
        <f>"70.2273"</f>
        <v>70.2273</v>
      </c>
      <c r="D2173" s="1" t="s">
        <v>2164</v>
      </c>
      <c r="E2173" t="s">
        <v>6281</v>
      </c>
    </row>
    <row r="2174" spans="1:5" x14ac:dyDescent="0.35">
      <c r="A2174" t="str">
        <f>"2018-08-29"</f>
        <v>2018-08-29</v>
      </c>
      <c r="B2174" s="1" t="str">
        <f t="shared" si="33"/>
        <v>08/29/2018</v>
      </c>
      <c r="C2174" t="str">
        <f>"68.3678"</f>
        <v>68.3678</v>
      </c>
      <c r="D2174" s="1" t="s">
        <v>2165</v>
      </c>
      <c r="E2174" t="s">
        <v>6282</v>
      </c>
    </row>
    <row r="2175" spans="1:5" x14ac:dyDescent="0.35">
      <c r="A2175" t="str">
        <f>"2018-08-30"</f>
        <v>2018-08-30</v>
      </c>
      <c r="B2175" s="1" t="str">
        <f t="shared" si="33"/>
        <v>08/30/2018</v>
      </c>
      <c r="C2175" t="str">
        <f>"66.5542"</f>
        <v>66.5542</v>
      </c>
      <c r="D2175" s="1" t="s">
        <v>2166</v>
      </c>
      <c r="E2175" t="s">
        <v>6283</v>
      </c>
    </row>
    <row r="2176" spans="1:5" x14ac:dyDescent="0.35">
      <c r="A2176" t="str">
        <f>"2018-08-31"</f>
        <v>2018-08-31</v>
      </c>
      <c r="B2176" s="1" t="str">
        <f t="shared" si="33"/>
        <v>08/31/2018</v>
      </c>
      <c r="C2176" t="str">
        <f>"62.6461"</f>
        <v>62.6461</v>
      </c>
      <c r="D2176" s="1" t="s">
        <v>2167</v>
      </c>
      <c r="E2176" t="s">
        <v>6284</v>
      </c>
    </row>
    <row r="2177" spans="1:5" x14ac:dyDescent="0.35">
      <c r="A2177" t="str">
        <f>"2018-09-04"</f>
        <v>2018-09-04</v>
      </c>
      <c r="B2177" s="1" t="str">
        <f t="shared" si="33"/>
        <v>09/04/2018</v>
      </c>
      <c r="C2177" t="str">
        <f>"66.5941"</f>
        <v>66.5941</v>
      </c>
      <c r="D2177" s="1" t="s">
        <v>2168</v>
      </c>
      <c r="E2177" t="s">
        <v>6285</v>
      </c>
    </row>
    <row r="2178" spans="1:5" x14ac:dyDescent="0.35">
      <c r="A2178" t="str">
        <f>"2018-09-05"</f>
        <v>2018-09-05</v>
      </c>
      <c r="B2178" s="1" t="str">
        <f t="shared" si="33"/>
        <v>09/05/2018</v>
      </c>
      <c r="C2178" t="str">
        <f>"67.3579"</f>
        <v>67.3579</v>
      </c>
      <c r="D2178" s="1" t="s">
        <v>2169</v>
      </c>
      <c r="E2178" t="s">
        <v>6286</v>
      </c>
    </row>
    <row r="2179" spans="1:5" x14ac:dyDescent="0.35">
      <c r="A2179" t="str">
        <f>"2018-09-06"</f>
        <v>2018-09-06</v>
      </c>
      <c r="B2179" s="1" t="str">
        <f t="shared" ref="B2179:B2242" si="34">LEFT(RIGHT(A2179,5),2)&amp;"/"&amp;RIGHT(A2179,2)&amp;"/"&amp;LEFT(A2179,4)</f>
        <v>09/06/2018</v>
      </c>
      <c r="C2179" t="str">
        <f>"67.706"</f>
        <v>67.706</v>
      </c>
      <c r="D2179" s="1" t="s">
        <v>2170</v>
      </c>
      <c r="E2179" t="s">
        <v>6287</v>
      </c>
    </row>
    <row r="2180" spans="1:5" x14ac:dyDescent="0.35">
      <c r="A2180" t="str">
        <f>"2018-09-07"</f>
        <v>2018-09-07</v>
      </c>
      <c r="B2180" s="1" t="str">
        <f t="shared" si="34"/>
        <v>09/07/2018</v>
      </c>
      <c r="C2180" t="str">
        <f>"67.9596"</f>
        <v>67.9596</v>
      </c>
      <c r="D2180" s="1" t="s">
        <v>2171</v>
      </c>
      <c r="E2180" t="s">
        <v>6288</v>
      </c>
    </row>
    <row r="2181" spans="1:5" x14ac:dyDescent="0.35">
      <c r="A2181" t="str">
        <f>"2018-09-10"</f>
        <v>2018-09-10</v>
      </c>
      <c r="B2181" s="1" t="str">
        <f t="shared" si="34"/>
        <v>09/10/2018</v>
      </c>
      <c r="C2181" t="str">
        <f>"69.1407"</f>
        <v>69.1407</v>
      </c>
      <c r="D2181" s="1" t="s">
        <v>2172</v>
      </c>
      <c r="E2181" t="s">
        <v>6289</v>
      </c>
    </row>
    <row r="2182" spans="1:5" x14ac:dyDescent="0.35">
      <c r="A2182" t="str">
        <f>"2018-09-11"</f>
        <v>2018-09-11</v>
      </c>
      <c r="B2182" s="1" t="str">
        <f t="shared" si="34"/>
        <v>09/11/2018</v>
      </c>
      <c r="C2182" t="str">
        <f>"72.0848"</f>
        <v>72.0848</v>
      </c>
      <c r="D2182" s="1" t="s">
        <v>2173</v>
      </c>
      <c r="E2182" t="s">
        <v>6290</v>
      </c>
    </row>
    <row r="2183" spans="1:5" x14ac:dyDescent="0.35">
      <c r="A2183" t="str">
        <f>"2018-09-12"</f>
        <v>2018-09-12</v>
      </c>
      <c r="B2183" s="1" t="str">
        <f t="shared" si="34"/>
        <v>09/12/2018</v>
      </c>
      <c r="C2183" t="str">
        <f>"72.2267"</f>
        <v>72.2267</v>
      </c>
      <c r="D2183" s="1" t="s">
        <v>2174</v>
      </c>
      <c r="E2183" t="s">
        <v>6291</v>
      </c>
    </row>
    <row r="2184" spans="1:5" x14ac:dyDescent="0.35">
      <c r="A2184" t="str">
        <f>"2018-09-13"</f>
        <v>2018-09-13</v>
      </c>
      <c r="B2184" s="1" t="str">
        <f t="shared" si="34"/>
        <v>09/13/2018</v>
      </c>
      <c r="C2184" t="str">
        <f>"74.0643"</f>
        <v>74.0643</v>
      </c>
      <c r="D2184" s="1" t="s">
        <v>2175</v>
      </c>
      <c r="E2184" t="s">
        <v>6292</v>
      </c>
    </row>
    <row r="2185" spans="1:5" x14ac:dyDescent="0.35">
      <c r="A2185" t="str">
        <f>"2018-09-14"</f>
        <v>2018-09-14</v>
      </c>
      <c r="B2185" s="1" t="str">
        <f t="shared" si="34"/>
        <v>09/14/2018</v>
      </c>
      <c r="C2185" t="str">
        <f>"75.4251"</f>
        <v>75.4251</v>
      </c>
      <c r="D2185" s="1" t="s">
        <v>2176</v>
      </c>
      <c r="E2185" t="s">
        <v>6293</v>
      </c>
    </row>
    <row r="2186" spans="1:5" x14ac:dyDescent="0.35">
      <c r="A2186" t="str">
        <f>"2018-09-17"</f>
        <v>2018-09-17</v>
      </c>
      <c r="B2186" s="1" t="str">
        <f t="shared" si="34"/>
        <v>09/17/2018</v>
      </c>
      <c r="C2186" t="str">
        <f>"74.6467"</f>
        <v>74.6467</v>
      </c>
      <c r="D2186" s="1" t="s">
        <v>2177</v>
      </c>
      <c r="E2186" t="s">
        <v>6294</v>
      </c>
    </row>
    <row r="2187" spans="1:5" x14ac:dyDescent="0.35">
      <c r="A2187" t="str">
        <f>"2018-09-18"</f>
        <v>2018-09-18</v>
      </c>
      <c r="B2187" s="1" t="str">
        <f t="shared" si="34"/>
        <v>09/18/2018</v>
      </c>
      <c r="C2187" t="str">
        <f>"74.638"</f>
        <v>74.638</v>
      </c>
      <c r="D2187" s="1" t="s">
        <v>2178</v>
      </c>
      <c r="E2187" t="s">
        <v>6295</v>
      </c>
    </row>
    <row r="2188" spans="1:5" x14ac:dyDescent="0.35">
      <c r="A2188" t="str">
        <f>"2018-09-19"</f>
        <v>2018-09-19</v>
      </c>
      <c r="B2188" s="1" t="str">
        <f t="shared" si="34"/>
        <v>09/19/2018</v>
      </c>
      <c r="C2188" t="str">
        <f>"74.438"</f>
        <v>74.438</v>
      </c>
      <c r="D2188" s="1" t="s">
        <v>2179</v>
      </c>
      <c r="E2188" t="s">
        <v>6296</v>
      </c>
    </row>
    <row r="2189" spans="1:5" x14ac:dyDescent="0.35">
      <c r="A2189" t="str">
        <f>"2018-09-20"</f>
        <v>2018-09-20</v>
      </c>
      <c r="B2189" s="1" t="str">
        <f t="shared" si="34"/>
        <v>09/20/2018</v>
      </c>
      <c r="C2189" t="str">
        <f>"74.6261"</f>
        <v>74.6261</v>
      </c>
      <c r="D2189" s="1" t="s">
        <v>2180</v>
      </c>
      <c r="E2189" t="s">
        <v>6297</v>
      </c>
    </row>
    <row r="2190" spans="1:5" x14ac:dyDescent="0.35">
      <c r="A2190" t="str">
        <f>"2018-09-21"</f>
        <v>2018-09-21</v>
      </c>
      <c r="B2190" s="1" t="str">
        <f t="shared" si="34"/>
        <v>09/21/2018</v>
      </c>
      <c r="C2190" t="str">
        <f>"77.3613"</f>
        <v>77.3613</v>
      </c>
      <c r="D2190" s="1" t="s">
        <v>2181</v>
      </c>
      <c r="E2190" t="s">
        <v>6298</v>
      </c>
    </row>
    <row r="2191" spans="1:5" x14ac:dyDescent="0.35">
      <c r="A2191" t="str">
        <f>"2018-09-24"</f>
        <v>2018-09-24</v>
      </c>
      <c r="B2191" s="1" t="str">
        <f t="shared" si="34"/>
        <v>09/24/2018</v>
      </c>
      <c r="C2191" t="str">
        <f>"79.2744"</f>
        <v>79.2744</v>
      </c>
      <c r="D2191" s="1" t="s">
        <v>2182</v>
      </c>
      <c r="E2191" t="s">
        <v>6299</v>
      </c>
    </row>
    <row r="2192" spans="1:5" x14ac:dyDescent="0.35">
      <c r="A2192" t="str">
        <f>"2018-09-25"</f>
        <v>2018-09-25</v>
      </c>
      <c r="B2192" s="1" t="str">
        <f t="shared" si="34"/>
        <v>09/25/2018</v>
      </c>
      <c r="C2192" t="str">
        <f>"79.4441"</f>
        <v>79.4441</v>
      </c>
      <c r="D2192" s="1" t="s">
        <v>2183</v>
      </c>
      <c r="E2192" t="s">
        <v>6300</v>
      </c>
    </row>
    <row r="2193" spans="1:5" x14ac:dyDescent="0.35">
      <c r="A2193" t="str">
        <f>"2018-09-26"</f>
        <v>2018-09-26</v>
      </c>
      <c r="B2193" s="1" t="str">
        <f t="shared" si="34"/>
        <v>09/26/2018</v>
      </c>
      <c r="C2193" t="str">
        <f>"80.8588"</f>
        <v>80.8588</v>
      </c>
      <c r="D2193" s="1" t="s">
        <v>2184</v>
      </c>
      <c r="E2193" t="s">
        <v>6301</v>
      </c>
    </row>
    <row r="2194" spans="1:5" x14ac:dyDescent="0.35">
      <c r="A2194" t="str">
        <f>"2018-09-27"</f>
        <v>2018-09-27</v>
      </c>
      <c r="B2194" s="1" t="str">
        <f t="shared" si="34"/>
        <v>09/27/2018</v>
      </c>
      <c r="C2194" t="str">
        <f>"82.4442"</f>
        <v>82.4442</v>
      </c>
      <c r="D2194" s="1" t="s">
        <v>2185</v>
      </c>
      <c r="E2194" t="s">
        <v>6302</v>
      </c>
    </row>
    <row r="2195" spans="1:5" x14ac:dyDescent="0.35">
      <c r="A2195" t="str">
        <f>"2018-09-28"</f>
        <v>2018-09-28</v>
      </c>
      <c r="B2195" s="1" t="str">
        <f t="shared" si="34"/>
        <v>09/28/2018</v>
      </c>
      <c r="C2195" t="str">
        <f>"83.1943"</f>
        <v>83.1943</v>
      </c>
      <c r="D2195" s="1" t="s">
        <v>2186</v>
      </c>
      <c r="E2195" t="s">
        <v>6303</v>
      </c>
    </row>
    <row r="2196" spans="1:5" x14ac:dyDescent="0.35">
      <c r="A2196" t="str">
        <f>"2018-10-01"</f>
        <v>2018-10-01</v>
      </c>
      <c r="B2196" s="1" t="str">
        <f t="shared" si="34"/>
        <v>10/01/2018</v>
      </c>
      <c r="C2196" t="str">
        <f>"80.806"</f>
        <v>80.806</v>
      </c>
      <c r="D2196" s="1" t="s">
        <v>2187</v>
      </c>
      <c r="E2196" t="s">
        <v>6304</v>
      </c>
    </row>
    <row r="2197" spans="1:5" x14ac:dyDescent="0.35">
      <c r="A2197" t="str">
        <f>"2018-10-02"</f>
        <v>2018-10-02</v>
      </c>
      <c r="B2197" s="1" t="str">
        <f t="shared" si="34"/>
        <v>10/02/2018</v>
      </c>
      <c r="C2197" t="str">
        <f>"78.8548"</f>
        <v>78.8548</v>
      </c>
      <c r="D2197" s="1" t="s">
        <v>2188</v>
      </c>
      <c r="E2197" t="s">
        <v>6305</v>
      </c>
    </row>
    <row r="2198" spans="1:5" x14ac:dyDescent="0.35">
      <c r="A2198" t="str">
        <f>"2018-10-03"</f>
        <v>2018-10-03</v>
      </c>
      <c r="B2198" s="1" t="str">
        <f t="shared" si="34"/>
        <v>10/03/2018</v>
      </c>
      <c r="C2198" t="str">
        <f>"76.9871"</f>
        <v>76.9871</v>
      </c>
      <c r="D2198" s="1" t="s">
        <v>2189</v>
      </c>
      <c r="E2198" t="s">
        <v>6306</v>
      </c>
    </row>
    <row r="2199" spans="1:5" x14ac:dyDescent="0.35">
      <c r="A2199" t="str">
        <f>"2018-10-04"</f>
        <v>2018-10-04</v>
      </c>
      <c r="B2199" s="1" t="str">
        <f t="shared" si="34"/>
        <v>10/04/2018</v>
      </c>
      <c r="C2199" t="str">
        <f>"73.6247"</f>
        <v>73.6247</v>
      </c>
      <c r="D2199" s="1" t="s">
        <v>2190</v>
      </c>
      <c r="E2199" t="s">
        <v>6307</v>
      </c>
    </row>
    <row r="2200" spans="1:5" x14ac:dyDescent="0.35">
      <c r="A2200" t="str">
        <f>"2018-10-05"</f>
        <v>2018-10-05</v>
      </c>
      <c r="B2200" s="1" t="str">
        <f t="shared" si="34"/>
        <v>10/05/2018</v>
      </c>
      <c r="C2200" t="str">
        <f>"73.5514"</f>
        <v>73.5514</v>
      </c>
      <c r="D2200" s="1" t="s">
        <v>2191</v>
      </c>
      <c r="E2200" t="s">
        <v>6308</v>
      </c>
    </row>
    <row r="2201" spans="1:5" x14ac:dyDescent="0.35">
      <c r="A2201" t="str">
        <f>"2018-10-08"</f>
        <v>2018-10-08</v>
      </c>
      <c r="B2201" s="1" t="str">
        <f t="shared" si="34"/>
        <v>10/08/2018</v>
      </c>
      <c r="C2201" t="str">
        <f>"75.8786"</f>
        <v>75.8786</v>
      </c>
      <c r="D2201" s="1" t="s">
        <v>2192</v>
      </c>
      <c r="E2201" t="s">
        <v>6309</v>
      </c>
    </row>
    <row r="2202" spans="1:5" x14ac:dyDescent="0.35">
      <c r="A2202" t="str">
        <f>"2018-10-09"</f>
        <v>2018-10-09</v>
      </c>
      <c r="B2202" s="1" t="str">
        <f t="shared" si="34"/>
        <v>10/09/2018</v>
      </c>
      <c r="C2202" t="str">
        <f>"75.5836"</f>
        <v>75.5836</v>
      </c>
      <c r="D2202" s="1" t="s">
        <v>2193</v>
      </c>
      <c r="E2202" t="s">
        <v>6310</v>
      </c>
    </row>
    <row r="2203" spans="1:5" x14ac:dyDescent="0.35">
      <c r="A2203" t="str">
        <f>"2018-10-10"</f>
        <v>2018-10-10</v>
      </c>
      <c r="B2203" s="1" t="str">
        <f t="shared" si="34"/>
        <v>10/10/2018</v>
      </c>
      <c r="C2203" t="str">
        <f>"71.5804"</f>
        <v>71.5804</v>
      </c>
      <c r="D2203" s="1" t="s">
        <v>2194</v>
      </c>
      <c r="E2203" t="s">
        <v>6311</v>
      </c>
    </row>
    <row r="2204" spans="1:5" x14ac:dyDescent="0.35">
      <c r="A2204" t="str">
        <f>"2018-10-11"</f>
        <v>2018-10-11</v>
      </c>
      <c r="B2204" s="1" t="str">
        <f t="shared" si="34"/>
        <v>10/11/2018</v>
      </c>
      <c r="C2204" t="str">
        <f>"68.6939"</f>
        <v>68.6939</v>
      </c>
      <c r="D2204" s="1" t="s">
        <v>2195</v>
      </c>
      <c r="E2204" t="s">
        <v>6312</v>
      </c>
    </row>
    <row r="2205" spans="1:5" x14ac:dyDescent="0.35">
      <c r="A2205" t="str">
        <f>"2018-10-12"</f>
        <v>2018-10-12</v>
      </c>
      <c r="B2205" s="1" t="str">
        <f t="shared" si="34"/>
        <v>10/12/2018</v>
      </c>
      <c r="C2205" t="str">
        <f>"74.7805"</f>
        <v>74.7805</v>
      </c>
      <c r="D2205" s="1" t="s">
        <v>2196</v>
      </c>
      <c r="E2205" t="s">
        <v>6313</v>
      </c>
    </row>
    <row r="2206" spans="1:5" x14ac:dyDescent="0.35">
      <c r="A2206" t="str">
        <f>"2018-10-15"</f>
        <v>2018-10-15</v>
      </c>
      <c r="B2206" s="1" t="str">
        <f t="shared" si="34"/>
        <v>10/15/2018</v>
      </c>
      <c r="C2206" t="str">
        <f>"77.9409"</f>
        <v>77.9409</v>
      </c>
      <c r="D2206" s="1" t="s">
        <v>2197</v>
      </c>
      <c r="E2206" t="s">
        <v>6314</v>
      </c>
    </row>
    <row r="2207" spans="1:5" x14ac:dyDescent="0.35">
      <c r="A2207" t="str">
        <f>"2018-10-16"</f>
        <v>2018-10-16</v>
      </c>
      <c r="B2207" s="1" t="str">
        <f t="shared" si="34"/>
        <v>10/16/2018</v>
      </c>
      <c r="C2207" t="str">
        <f>"76.3334"</f>
        <v>76.3334</v>
      </c>
      <c r="D2207" s="1" t="s">
        <v>2198</v>
      </c>
      <c r="E2207" t="s">
        <v>6315</v>
      </c>
    </row>
    <row r="2208" spans="1:5" x14ac:dyDescent="0.35">
      <c r="A2208" t="str">
        <f>"2018-10-17"</f>
        <v>2018-10-17</v>
      </c>
      <c r="B2208" s="1" t="str">
        <f t="shared" si="34"/>
        <v>10/17/2018</v>
      </c>
      <c r="C2208" t="str">
        <f>"73.9091"</f>
        <v>73.9091</v>
      </c>
      <c r="D2208" s="1" t="s">
        <v>2199</v>
      </c>
      <c r="E2208" t="s">
        <v>6316</v>
      </c>
    </row>
    <row r="2209" spans="1:5" x14ac:dyDescent="0.35">
      <c r="A2209" t="str">
        <f>"2018-10-18"</f>
        <v>2018-10-18</v>
      </c>
      <c r="B2209" s="1" t="str">
        <f t="shared" si="34"/>
        <v>10/18/2018</v>
      </c>
      <c r="C2209" t="str">
        <f>"75.1597"</f>
        <v>75.1597</v>
      </c>
      <c r="D2209" s="1" t="s">
        <v>2200</v>
      </c>
      <c r="E2209" t="s">
        <v>6317</v>
      </c>
    </row>
    <row r="2210" spans="1:5" x14ac:dyDescent="0.35">
      <c r="A2210" t="str">
        <f>"2018-10-19"</f>
        <v>2018-10-19</v>
      </c>
      <c r="B2210" s="1" t="str">
        <f t="shared" si="34"/>
        <v>10/19/2018</v>
      </c>
      <c r="C2210" t="str">
        <f>"72.7443"</f>
        <v>72.7443</v>
      </c>
      <c r="D2210" s="1" t="s">
        <v>2201</v>
      </c>
      <c r="E2210" t="s">
        <v>6318</v>
      </c>
    </row>
    <row r="2211" spans="1:5" x14ac:dyDescent="0.35">
      <c r="A2211" t="str">
        <f>"2018-10-22"</f>
        <v>2018-10-22</v>
      </c>
      <c r="B2211" s="1" t="str">
        <f t="shared" si="34"/>
        <v>10/22/2018</v>
      </c>
      <c r="C2211" t="str">
        <f>"70.7201"</f>
        <v>70.7201</v>
      </c>
      <c r="D2211" s="1" t="s">
        <v>2202</v>
      </c>
      <c r="E2211" t="s">
        <v>6319</v>
      </c>
    </row>
    <row r="2212" spans="1:5" x14ac:dyDescent="0.35">
      <c r="A2212" t="str">
        <f>"2018-10-23"</f>
        <v>2018-10-23</v>
      </c>
      <c r="B2212" s="1" t="str">
        <f t="shared" si="34"/>
        <v>10/23/2018</v>
      </c>
      <c r="C2212" t="str">
        <f>"68.9871"</f>
        <v>68.9871</v>
      </c>
      <c r="D2212" s="1" t="s">
        <v>2203</v>
      </c>
      <c r="E2212" t="s">
        <v>6320</v>
      </c>
    </row>
    <row r="2213" spans="1:5" x14ac:dyDescent="0.35">
      <c r="A2213" t="str">
        <f>"2018-10-24"</f>
        <v>2018-10-24</v>
      </c>
      <c r="B2213" s="1" t="str">
        <f t="shared" si="34"/>
        <v>10/24/2018</v>
      </c>
      <c r="C2213" t="str">
        <f>"68.5857"</f>
        <v>68.5857</v>
      </c>
      <c r="D2213" s="1" t="s">
        <v>2204</v>
      </c>
      <c r="E2213" t="s">
        <v>6321</v>
      </c>
    </row>
    <row r="2214" spans="1:5" x14ac:dyDescent="0.35">
      <c r="A2214" t="str">
        <f>"2018-10-25"</f>
        <v>2018-10-25</v>
      </c>
      <c r="B2214" s="1" t="str">
        <f t="shared" si="34"/>
        <v>10/25/2018</v>
      </c>
      <c r="C2214" t="str">
        <f>"70.6694"</f>
        <v>70.6694</v>
      </c>
      <c r="D2214" s="1" t="s">
        <v>2205</v>
      </c>
      <c r="E2214" t="s">
        <v>6322</v>
      </c>
    </row>
    <row r="2215" spans="1:5" x14ac:dyDescent="0.35">
      <c r="A2215" t="str">
        <f>"2018-10-26"</f>
        <v>2018-10-26</v>
      </c>
      <c r="B2215" s="1" t="str">
        <f t="shared" si="34"/>
        <v>10/26/2018</v>
      </c>
      <c r="C2215" t="str">
        <f>"69.4535"</f>
        <v>69.4535</v>
      </c>
      <c r="D2215" s="1" t="s">
        <v>2206</v>
      </c>
      <c r="E2215" t="s">
        <v>6323</v>
      </c>
    </row>
    <row r="2216" spans="1:5" x14ac:dyDescent="0.35">
      <c r="A2216" t="str">
        <f>"2018-10-29"</f>
        <v>2018-10-29</v>
      </c>
      <c r="B2216" s="1" t="str">
        <f t="shared" si="34"/>
        <v>10/29/2018</v>
      </c>
      <c r="C2216" t="str">
        <f>"70.4851"</f>
        <v>70.4851</v>
      </c>
      <c r="D2216" s="1" t="s">
        <v>2207</v>
      </c>
      <c r="E2216" t="s">
        <v>6324</v>
      </c>
    </row>
    <row r="2217" spans="1:5" x14ac:dyDescent="0.35">
      <c r="A2217" t="str">
        <f>"2018-10-30"</f>
        <v>2018-10-30</v>
      </c>
      <c r="B2217" s="1" t="str">
        <f t="shared" si="34"/>
        <v>10/30/2018</v>
      </c>
      <c r="C2217" t="str">
        <f>"66.9917"</f>
        <v>66.9917</v>
      </c>
      <c r="D2217" s="1" t="s">
        <v>2208</v>
      </c>
      <c r="E2217" t="s">
        <v>6325</v>
      </c>
    </row>
    <row r="2218" spans="1:5" x14ac:dyDescent="0.35">
      <c r="A2218" t="str">
        <f>"2018-10-31"</f>
        <v>2018-10-31</v>
      </c>
      <c r="B2218" s="1" t="str">
        <f t="shared" si="34"/>
        <v>10/31/2018</v>
      </c>
      <c r="C2218" t="str">
        <f>"65.5821"</f>
        <v>65.5821</v>
      </c>
      <c r="D2218" s="1" t="s">
        <v>2209</v>
      </c>
      <c r="E2218" t="s">
        <v>6326</v>
      </c>
    </row>
    <row r="2219" spans="1:5" x14ac:dyDescent="0.35">
      <c r="A2219" t="str">
        <f>"2018-11-01"</f>
        <v>2018-11-01</v>
      </c>
      <c r="B2219" s="1" t="str">
        <f t="shared" si="34"/>
        <v>11/01/2018</v>
      </c>
      <c r="C2219" t="str">
        <f>"65.8859"</f>
        <v>65.8859</v>
      </c>
      <c r="D2219" s="1" t="s">
        <v>2210</v>
      </c>
      <c r="E2219" t="s">
        <v>6327</v>
      </c>
    </row>
    <row r="2220" spans="1:5" x14ac:dyDescent="0.35">
      <c r="A2220" t="str">
        <f>"2018-11-02"</f>
        <v>2018-11-02</v>
      </c>
      <c r="B2220" s="1" t="str">
        <f t="shared" si="34"/>
        <v>11/02/2018</v>
      </c>
      <c r="C2220" t="str">
        <f>"69.2462"</f>
        <v>69.2462</v>
      </c>
      <c r="D2220" s="1" t="s">
        <v>2211</v>
      </c>
      <c r="E2220" t="s">
        <v>6328</v>
      </c>
    </row>
    <row r="2221" spans="1:5" x14ac:dyDescent="0.35">
      <c r="A2221" t="str">
        <f>"2018-11-05"</f>
        <v>2018-11-05</v>
      </c>
      <c r="B2221" s="1" t="str">
        <f t="shared" si="34"/>
        <v>11/05/2018</v>
      </c>
      <c r="C2221" t="str">
        <f>"71.1571"</f>
        <v>71.1571</v>
      </c>
      <c r="D2221" s="1" t="s">
        <v>2212</v>
      </c>
      <c r="E2221" t="s">
        <v>6329</v>
      </c>
    </row>
    <row r="2222" spans="1:5" x14ac:dyDescent="0.35">
      <c r="A2222" t="str">
        <f>"2018-11-06"</f>
        <v>2018-11-06</v>
      </c>
      <c r="B2222" s="1" t="str">
        <f t="shared" si="34"/>
        <v>11/06/2018</v>
      </c>
      <c r="C2222" t="str">
        <f>"70.3213"</f>
        <v>70.3213</v>
      </c>
      <c r="D2222" s="1" t="s">
        <v>2213</v>
      </c>
      <c r="E2222" t="s">
        <v>6330</v>
      </c>
    </row>
    <row r="2223" spans="1:5" x14ac:dyDescent="0.35">
      <c r="A2223" t="str">
        <f>"2018-11-07"</f>
        <v>2018-11-07</v>
      </c>
      <c r="B2223" s="1" t="str">
        <f t="shared" si="34"/>
        <v>11/07/2018</v>
      </c>
      <c r="C2223" t="str">
        <f>"73.7619"</f>
        <v>73.7619</v>
      </c>
      <c r="D2223" s="1" t="s">
        <v>2214</v>
      </c>
      <c r="E2223" t="s">
        <v>6331</v>
      </c>
    </row>
    <row r="2224" spans="1:5" x14ac:dyDescent="0.35">
      <c r="A2224" t="str">
        <f>"2018-11-08"</f>
        <v>2018-11-08</v>
      </c>
      <c r="B2224" s="1" t="str">
        <f t="shared" si="34"/>
        <v>11/08/2018</v>
      </c>
      <c r="C2224" t="str">
        <f>"69.4704"</f>
        <v>69.4704</v>
      </c>
      <c r="D2224" s="1" t="s">
        <v>2215</v>
      </c>
      <c r="E2224" t="s">
        <v>6332</v>
      </c>
    </row>
    <row r="2225" spans="1:5" x14ac:dyDescent="0.35">
      <c r="A2225" t="str">
        <f>"2018-11-09"</f>
        <v>2018-11-09</v>
      </c>
      <c r="B2225" s="1" t="str">
        <f t="shared" si="34"/>
        <v>11/09/2018</v>
      </c>
      <c r="C2225" t="str">
        <f>"71.6715"</f>
        <v>71.6715</v>
      </c>
      <c r="D2225" s="1" t="s">
        <v>2216</v>
      </c>
      <c r="E2225" t="s">
        <v>6333</v>
      </c>
    </row>
    <row r="2226" spans="1:5" x14ac:dyDescent="0.35">
      <c r="A2226" t="str">
        <f>"2018-11-12"</f>
        <v>2018-11-12</v>
      </c>
      <c r="B2226" s="1" t="str">
        <f t="shared" si="34"/>
        <v>11/12/2018</v>
      </c>
      <c r="C2226" t="str">
        <f>"70.2191"</f>
        <v>70.2191</v>
      </c>
      <c r="D2226" s="1" t="s">
        <v>2217</v>
      </c>
      <c r="E2226" t="s">
        <v>6334</v>
      </c>
    </row>
    <row r="2227" spans="1:5" x14ac:dyDescent="0.35">
      <c r="A2227" t="str">
        <f>"2018-11-13"</f>
        <v>2018-11-13</v>
      </c>
      <c r="B2227" s="1" t="str">
        <f t="shared" si="34"/>
        <v>11/13/2018</v>
      </c>
      <c r="C2227" t="str">
        <f>"73.5189"</f>
        <v>73.5189</v>
      </c>
      <c r="D2227" s="1" t="s">
        <v>2218</v>
      </c>
      <c r="E2227" t="s">
        <v>6335</v>
      </c>
    </row>
    <row r="2228" spans="1:5" x14ac:dyDescent="0.35">
      <c r="A2228" t="str">
        <f>"2018-11-14"</f>
        <v>2018-11-14</v>
      </c>
      <c r="B2228" s="1" t="str">
        <f t="shared" si="34"/>
        <v>11/14/2018</v>
      </c>
      <c r="C2228" t="str">
        <f>"75.8682"</f>
        <v>75.8682</v>
      </c>
      <c r="D2228" s="1" t="s">
        <v>2219</v>
      </c>
      <c r="E2228" t="s">
        <v>6336</v>
      </c>
    </row>
    <row r="2229" spans="1:5" x14ac:dyDescent="0.35">
      <c r="A2229" t="str">
        <f>"2018-11-15"</f>
        <v>2018-11-15</v>
      </c>
      <c r="B2229" s="1" t="str">
        <f t="shared" si="34"/>
        <v>11/15/2018</v>
      </c>
      <c r="C2229" t="str">
        <f>"76.1349"</f>
        <v>76.1349</v>
      </c>
      <c r="D2229" s="1" t="s">
        <v>2220</v>
      </c>
      <c r="E2229" t="s">
        <v>6337</v>
      </c>
    </row>
    <row r="2230" spans="1:5" x14ac:dyDescent="0.35">
      <c r="A2230" t="str">
        <f>"2018-11-16"</f>
        <v>2018-11-16</v>
      </c>
      <c r="B2230" s="1" t="str">
        <f t="shared" si="34"/>
        <v>11/16/2018</v>
      </c>
      <c r="C2230" t="str">
        <f>"75.4339"</f>
        <v>75.4339</v>
      </c>
      <c r="D2230" s="1" t="s">
        <v>2221</v>
      </c>
      <c r="E2230" t="s">
        <v>6338</v>
      </c>
    </row>
    <row r="2231" spans="1:5" x14ac:dyDescent="0.35">
      <c r="A2231" t="str">
        <f>"2018-11-19"</f>
        <v>2018-11-19</v>
      </c>
      <c r="B2231" s="1" t="str">
        <f t="shared" si="34"/>
        <v>11/19/2018</v>
      </c>
      <c r="C2231" t="str">
        <f>"77.9429"</f>
        <v>77.9429</v>
      </c>
      <c r="D2231" s="1" t="s">
        <v>2222</v>
      </c>
      <c r="E2231" t="s">
        <v>6339</v>
      </c>
    </row>
    <row r="2232" spans="1:5" x14ac:dyDescent="0.35">
      <c r="A2232" t="str">
        <f>"2018-11-20"</f>
        <v>2018-11-20</v>
      </c>
      <c r="B2232" s="1" t="str">
        <f t="shared" si="34"/>
        <v>11/20/2018</v>
      </c>
      <c r="C2232" t="str">
        <f>"76.2297"</f>
        <v>76.2297</v>
      </c>
      <c r="D2232" s="1" t="s">
        <v>2223</v>
      </c>
      <c r="E2232" t="s">
        <v>6340</v>
      </c>
    </row>
    <row r="2233" spans="1:5" x14ac:dyDescent="0.35">
      <c r="A2233" t="str">
        <f>"2018-11-21"</f>
        <v>2018-11-21</v>
      </c>
      <c r="B2233" s="1" t="str">
        <f t="shared" si="34"/>
        <v>11/21/2018</v>
      </c>
      <c r="C2233" t="str">
        <f>"77.3124"</f>
        <v>77.3124</v>
      </c>
      <c r="D2233" s="1" t="s">
        <v>2224</v>
      </c>
      <c r="E2233" t="s">
        <v>6341</v>
      </c>
    </row>
    <row r="2234" spans="1:5" x14ac:dyDescent="0.35">
      <c r="A2234" t="str">
        <f>"2018-11-23"</f>
        <v>2018-11-23</v>
      </c>
      <c r="B2234" s="1" t="str">
        <f t="shared" si="34"/>
        <v>11/23/2018</v>
      </c>
      <c r="C2234" t="str">
        <f>"81.1546"</f>
        <v>81.1546</v>
      </c>
      <c r="D2234" s="1" t="s">
        <v>2225</v>
      </c>
      <c r="E2234" t="s">
        <v>6342</v>
      </c>
    </row>
    <row r="2235" spans="1:5" x14ac:dyDescent="0.35">
      <c r="A2235" t="str">
        <f>"2018-11-26"</f>
        <v>2018-11-26</v>
      </c>
      <c r="B2235" s="1" t="str">
        <f t="shared" si="34"/>
        <v>11/26/2018</v>
      </c>
      <c r="C2235" t="str">
        <f>"82.0384"</f>
        <v>82.0384</v>
      </c>
      <c r="D2235" s="1" t="s">
        <v>2226</v>
      </c>
      <c r="E2235" t="s">
        <v>6343</v>
      </c>
    </row>
    <row r="2236" spans="1:5" x14ac:dyDescent="0.35">
      <c r="A2236" t="str">
        <f>"2018-11-27"</f>
        <v>2018-11-27</v>
      </c>
      <c r="B2236" s="1" t="str">
        <f t="shared" si="34"/>
        <v>11/27/2018</v>
      </c>
      <c r="C2236" t="str">
        <f>"83.5785"</f>
        <v>83.5785</v>
      </c>
      <c r="D2236" s="1" t="s">
        <v>2227</v>
      </c>
      <c r="E2236" t="s">
        <v>6344</v>
      </c>
    </row>
    <row r="2237" spans="1:5" x14ac:dyDescent="0.35">
      <c r="A2237" t="str">
        <f>"2018-11-28"</f>
        <v>2018-11-28</v>
      </c>
      <c r="B2237" s="1" t="str">
        <f t="shared" si="34"/>
        <v>11/28/2018</v>
      </c>
      <c r="C2237" t="str">
        <f>"83.3846"</f>
        <v>83.3846</v>
      </c>
      <c r="D2237" s="1" t="s">
        <v>2228</v>
      </c>
      <c r="E2237" t="s">
        <v>6345</v>
      </c>
    </row>
    <row r="2238" spans="1:5" x14ac:dyDescent="0.35">
      <c r="A2238" t="str">
        <f>"2018-11-29"</f>
        <v>2018-11-29</v>
      </c>
      <c r="B2238" s="1" t="str">
        <f t="shared" si="34"/>
        <v>11/29/2018</v>
      </c>
      <c r="C2238" t="str">
        <f>"82.5716"</f>
        <v>82.5716</v>
      </c>
      <c r="D2238" s="1" t="s">
        <v>2229</v>
      </c>
      <c r="E2238" t="s">
        <v>6346</v>
      </c>
    </row>
    <row r="2239" spans="1:5" x14ac:dyDescent="0.35">
      <c r="A2239" t="str">
        <f>"2018-11-30"</f>
        <v>2018-11-30</v>
      </c>
      <c r="B2239" s="1" t="str">
        <f t="shared" si="34"/>
        <v>11/30/2018</v>
      </c>
      <c r="C2239" t="str">
        <f>"84.0611"</f>
        <v>84.0611</v>
      </c>
      <c r="D2239" s="1" t="s">
        <v>2230</v>
      </c>
      <c r="E2239" t="s">
        <v>6347</v>
      </c>
    </row>
    <row r="2240" spans="1:5" x14ac:dyDescent="0.35">
      <c r="A2240" t="str">
        <f>"2018-12-03"</f>
        <v>2018-12-03</v>
      </c>
      <c r="B2240" s="1" t="str">
        <f t="shared" si="34"/>
        <v>12/03/2018</v>
      </c>
      <c r="C2240" t="str">
        <f>"79.359"</f>
        <v>79.359</v>
      </c>
      <c r="D2240" s="1" t="s">
        <v>2231</v>
      </c>
      <c r="E2240" t="s">
        <v>6348</v>
      </c>
    </row>
    <row r="2241" spans="1:5" x14ac:dyDescent="0.35">
      <c r="A2241" t="str">
        <f>"2018-12-04"</f>
        <v>2018-12-04</v>
      </c>
      <c r="B2241" s="1" t="str">
        <f t="shared" si="34"/>
        <v>12/04/2018</v>
      </c>
      <c r="C2241" t="str">
        <f>"76.1745"</f>
        <v>76.1745</v>
      </c>
      <c r="D2241" s="1" t="s">
        <v>2232</v>
      </c>
      <c r="E2241" t="s">
        <v>6349</v>
      </c>
    </row>
    <row r="2242" spans="1:5" x14ac:dyDescent="0.35">
      <c r="A2242" t="str">
        <f>"2018-12-06"</f>
        <v>2018-12-06</v>
      </c>
      <c r="B2242" s="1" t="str">
        <f t="shared" si="34"/>
        <v>12/06/2018</v>
      </c>
      <c r="C2242" t="str">
        <f>"77.2519"</f>
        <v>77.2519</v>
      </c>
      <c r="D2242" s="1" t="s">
        <v>2233</v>
      </c>
      <c r="E2242" t="s">
        <v>6350</v>
      </c>
    </row>
    <row r="2243" spans="1:5" x14ac:dyDescent="0.35">
      <c r="A2243" t="str">
        <f>"2018-12-07"</f>
        <v>2018-12-07</v>
      </c>
      <c r="B2243" s="1" t="str">
        <f t="shared" ref="B2243:B2306" si="35">LEFT(RIGHT(A2243,5),2)&amp;"/"&amp;RIGHT(A2243,2)&amp;"/"&amp;LEFT(A2243,4)</f>
        <v>12/07/2018</v>
      </c>
      <c r="C2243" t="str">
        <f>"75.5223"</f>
        <v>75.5223</v>
      </c>
      <c r="D2243" s="1" t="s">
        <v>2234</v>
      </c>
      <c r="E2243" t="s">
        <v>6351</v>
      </c>
    </row>
    <row r="2244" spans="1:5" x14ac:dyDescent="0.35">
      <c r="A2244" t="str">
        <f>"2018-12-10"</f>
        <v>2018-12-10</v>
      </c>
      <c r="B2244" s="1" t="str">
        <f t="shared" si="35"/>
        <v>12/10/2018</v>
      </c>
      <c r="C2244" t="str">
        <f>"75.7445"</f>
        <v>75.7445</v>
      </c>
      <c r="D2244" s="1" t="s">
        <v>2235</v>
      </c>
      <c r="E2244" t="s">
        <v>6352</v>
      </c>
    </row>
    <row r="2245" spans="1:5" x14ac:dyDescent="0.35">
      <c r="A2245" t="str">
        <f>"2018-12-11"</f>
        <v>2018-12-11</v>
      </c>
      <c r="B2245" s="1" t="str">
        <f t="shared" si="35"/>
        <v>12/11/2018</v>
      </c>
      <c r="C2245" t="str">
        <f>"75.2533"</f>
        <v>75.2533</v>
      </c>
      <c r="D2245" s="1" t="s">
        <v>2236</v>
      </c>
      <c r="E2245" t="s">
        <v>6353</v>
      </c>
    </row>
    <row r="2246" spans="1:5" x14ac:dyDescent="0.35">
      <c r="A2246" t="str">
        <f>"2018-12-12"</f>
        <v>2018-12-12</v>
      </c>
      <c r="B2246" s="1" t="str">
        <f t="shared" si="35"/>
        <v>12/12/2018</v>
      </c>
      <c r="C2246" t="str">
        <f>"71.1112"</f>
        <v>71.1112</v>
      </c>
      <c r="D2246" s="1" t="s">
        <v>2237</v>
      </c>
      <c r="E2246" t="s">
        <v>6354</v>
      </c>
    </row>
    <row r="2247" spans="1:5" x14ac:dyDescent="0.35">
      <c r="A2247" t="str">
        <f>"2018-12-13"</f>
        <v>2018-12-13</v>
      </c>
      <c r="B2247" s="1" t="str">
        <f t="shared" si="35"/>
        <v>12/13/2018</v>
      </c>
      <c r="C2247" t="str">
        <f>"71.7601"</f>
        <v>71.7601</v>
      </c>
      <c r="D2247" s="1" t="s">
        <v>2238</v>
      </c>
      <c r="E2247" t="s">
        <v>6355</v>
      </c>
    </row>
    <row r="2248" spans="1:5" x14ac:dyDescent="0.35">
      <c r="A2248" t="str">
        <f>"2018-12-14"</f>
        <v>2018-12-14</v>
      </c>
      <c r="B2248" s="1" t="str">
        <f t="shared" si="35"/>
        <v>12/14/2018</v>
      </c>
      <c r="C2248" t="str">
        <f>"70.1373"</f>
        <v>70.1373</v>
      </c>
      <c r="D2248" s="1" t="s">
        <v>2239</v>
      </c>
      <c r="E2248" t="s">
        <v>6356</v>
      </c>
    </row>
    <row r="2249" spans="1:5" x14ac:dyDescent="0.35">
      <c r="A2249" t="str">
        <f>"2018-12-17"</f>
        <v>2018-12-17</v>
      </c>
      <c r="B2249" s="1" t="str">
        <f t="shared" si="35"/>
        <v>12/17/2018</v>
      </c>
      <c r="C2249" t="str">
        <f>"68.5184"</f>
        <v>68.5184</v>
      </c>
      <c r="D2249" s="1" t="s">
        <v>2240</v>
      </c>
      <c r="E2249" t="s">
        <v>6357</v>
      </c>
    </row>
    <row r="2250" spans="1:5" x14ac:dyDescent="0.35">
      <c r="A2250" t="str">
        <f>"2018-12-18"</f>
        <v>2018-12-18</v>
      </c>
      <c r="B2250" s="1" t="str">
        <f t="shared" si="35"/>
        <v>12/18/2018</v>
      </c>
      <c r="C2250" t="str">
        <f>"71.5033"</f>
        <v>71.5033</v>
      </c>
      <c r="D2250" s="1" t="s">
        <v>2241</v>
      </c>
      <c r="E2250" t="s">
        <v>6358</v>
      </c>
    </row>
    <row r="2251" spans="1:5" x14ac:dyDescent="0.35">
      <c r="A2251" t="str">
        <f>"2018-12-19"</f>
        <v>2018-12-19</v>
      </c>
      <c r="B2251" s="1" t="str">
        <f t="shared" si="35"/>
        <v>12/19/2018</v>
      </c>
      <c r="C2251" t="str">
        <f>"75.4159"</f>
        <v>75.4159</v>
      </c>
      <c r="D2251" s="1" t="s">
        <v>2242</v>
      </c>
      <c r="E2251" t="s">
        <v>6359</v>
      </c>
    </row>
    <row r="2252" spans="1:5" x14ac:dyDescent="0.35">
      <c r="A2252" t="str">
        <f>"2018-12-20"</f>
        <v>2018-12-20</v>
      </c>
      <c r="B2252" s="1" t="str">
        <f t="shared" si="35"/>
        <v>12/20/2018</v>
      </c>
      <c r="C2252" t="str">
        <f>"75.9214"</f>
        <v>75.9214</v>
      </c>
      <c r="D2252" s="1" t="s">
        <v>2243</v>
      </c>
      <c r="E2252" t="s">
        <v>6360</v>
      </c>
    </row>
    <row r="2253" spans="1:5" x14ac:dyDescent="0.35">
      <c r="A2253" t="str">
        <f>"2018-12-21"</f>
        <v>2018-12-21</v>
      </c>
      <c r="B2253" s="1" t="str">
        <f t="shared" si="35"/>
        <v>12/21/2018</v>
      </c>
      <c r="C2253" t="str">
        <f>"77.1903"</f>
        <v>77.1903</v>
      </c>
      <c r="D2253" s="1" t="s">
        <v>2244</v>
      </c>
      <c r="E2253" t="s">
        <v>6361</v>
      </c>
    </row>
    <row r="2254" spans="1:5" x14ac:dyDescent="0.35">
      <c r="A2254" t="str">
        <f>"2018-12-24"</f>
        <v>2018-12-24</v>
      </c>
      <c r="B2254" s="1" t="str">
        <f t="shared" si="35"/>
        <v>12/24/2018</v>
      </c>
      <c r="C2254" t="str">
        <f>"74.7129"</f>
        <v>74.7129</v>
      </c>
      <c r="D2254" s="1" t="s">
        <v>2245</v>
      </c>
      <c r="E2254" t="s">
        <v>5296</v>
      </c>
    </row>
    <row r="2255" spans="1:5" x14ac:dyDescent="0.35">
      <c r="A2255" t="str">
        <f>"2018-12-26"</f>
        <v>2018-12-26</v>
      </c>
      <c r="B2255" s="1" t="str">
        <f t="shared" si="35"/>
        <v>12/26/2018</v>
      </c>
      <c r="C2255" t="str">
        <f>"74.9434"</f>
        <v>74.9434</v>
      </c>
      <c r="D2255" s="1" t="s">
        <v>2246</v>
      </c>
      <c r="E2255" t="s">
        <v>6362</v>
      </c>
    </row>
    <row r="2256" spans="1:5" x14ac:dyDescent="0.35">
      <c r="A2256" t="str">
        <f>"2018-12-27"</f>
        <v>2018-12-27</v>
      </c>
      <c r="B2256" s="1" t="str">
        <f t="shared" si="35"/>
        <v>12/27/2018</v>
      </c>
      <c r="C2256" t="str">
        <f>"74.9346"</f>
        <v>74.9346</v>
      </c>
      <c r="D2256" s="1" t="s">
        <v>2247</v>
      </c>
      <c r="E2256" t="s">
        <v>6363</v>
      </c>
    </row>
    <row r="2257" spans="1:5" x14ac:dyDescent="0.35">
      <c r="A2257" t="str">
        <f>"2018-12-28"</f>
        <v>2018-12-28</v>
      </c>
      <c r="B2257" s="1" t="str">
        <f t="shared" si="35"/>
        <v>12/28/2018</v>
      </c>
      <c r="C2257" t="str">
        <f>"73.4089"</f>
        <v>73.4089</v>
      </c>
      <c r="D2257" s="1" t="s">
        <v>2248</v>
      </c>
      <c r="E2257" t="s">
        <v>6364</v>
      </c>
    </row>
    <row r="2258" spans="1:5" x14ac:dyDescent="0.35">
      <c r="A2258" t="str">
        <f>"2018-12-31"</f>
        <v>2018-12-31</v>
      </c>
      <c r="B2258" s="1" t="str">
        <f t="shared" si="35"/>
        <v>12/31/2018</v>
      </c>
      <c r="C2258" t="str">
        <f>"74.2744"</f>
        <v>74.2744</v>
      </c>
      <c r="D2258" s="1" t="s">
        <v>2249</v>
      </c>
      <c r="E2258" t="s">
        <v>6365</v>
      </c>
    </row>
    <row r="2259" spans="1:5" x14ac:dyDescent="0.35">
      <c r="A2259" t="str">
        <f>"2019-01-02"</f>
        <v>2019-01-02</v>
      </c>
      <c r="B2259" s="1" t="str">
        <f t="shared" si="35"/>
        <v>01/02/2019</v>
      </c>
      <c r="C2259" t="str">
        <f>"71.9875"</f>
        <v>71.9875</v>
      </c>
      <c r="D2259" s="1" t="s">
        <v>2250</v>
      </c>
      <c r="E2259" t="s">
        <v>6366</v>
      </c>
    </row>
    <row r="2260" spans="1:5" x14ac:dyDescent="0.35">
      <c r="A2260" t="str">
        <f>"2019-01-03"</f>
        <v>2019-01-03</v>
      </c>
      <c r="B2260" s="1" t="str">
        <f t="shared" si="35"/>
        <v>01/03/2019</v>
      </c>
      <c r="C2260" t="str">
        <f>"66.139"</f>
        <v>66.139</v>
      </c>
      <c r="D2260" s="1" t="s">
        <v>2251</v>
      </c>
      <c r="E2260" t="s">
        <v>6367</v>
      </c>
    </row>
    <row r="2261" spans="1:5" x14ac:dyDescent="0.35">
      <c r="A2261" t="str">
        <f>"2019-01-04"</f>
        <v>2019-01-04</v>
      </c>
      <c r="B2261" s="1" t="str">
        <f t="shared" si="35"/>
        <v>01/04/2019</v>
      </c>
      <c r="C2261" t="str">
        <f>"66.8669"</f>
        <v>66.8669</v>
      </c>
      <c r="D2261" s="1" t="s">
        <v>2252</v>
      </c>
      <c r="E2261" t="s">
        <v>6368</v>
      </c>
    </row>
    <row r="2262" spans="1:5" x14ac:dyDescent="0.35">
      <c r="A2262" t="str">
        <f>"2019-01-07"</f>
        <v>2019-01-07</v>
      </c>
      <c r="B2262" s="1" t="str">
        <f t="shared" si="35"/>
        <v>01/07/2019</v>
      </c>
      <c r="C2262" t="str">
        <f>"68.3346"</f>
        <v>68.3346</v>
      </c>
      <c r="D2262" s="1" t="s">
        <v>2253</v>
      </c>
      <c r="E2262" t="s">
        <v>6369</v>
      </c>
    </row>
    <row r="2263" spans="1:5" x14ac:dyDescent="0.35">
      <c r="A2263" t="str">
        <f>"2019-01-08"</f>
        <v>2019-01-08</v>
      </c>
      <c r="B2263" s="1" t="str">
        <f t="shared" si="35"/>
        <v>01/08/2019</v>
      </c>
      <c r="C2263" t="str">
        <f>"67.9384"</f>
        <v>67.9384</v>
      </c>
      <c r="D2263" s="1" t="s">
        <v>2254</v>
      </c>
      <c r="E2263" t="s">
        <v>6370</v>
      </c>
    </row>
    <row r="2264" spans="1:5" x14ac:dyDescent="0.35">
      <c r="A2264" t="str">
        <f>"2019-01-09"</f>
        <v>2019-01-09</v>
      </c>
      <c r="B2264" s="1" t="str">
        <f t="shared" si="35"/>
        <v>01/09/2019</v>
      </c>
      <c r="C2264" t="str">
        <f>"65.8716"</f>
        <v>65.8716</v>
      </c>
      <c r="D2264" s="1" t="s">
        <v>2255</v>
      </c>
      <c r="E2264" t="s">
        <v>6371</v>
      </c>
    </row>
    <row r="2265" spans="1:5" x14ac:dyDescent="0.35">
      <c r="A2265" t="str">
        <f>"2019-01-10"</f>
        <v>2019-01-10</v>
      </c>
      <c r="B2265" s="1" t="str">
        <f t="shared" si="35"/>
        <v>01/10/2019</v>
      </c>
      <c r="C2265" t="str">
        <f>"66.1466"</f>
        <v>66.1466</v>
      </c>
      <c r="D2265" s="1" t="s">
        <v>2256</v>
      </c>
      <c r="E2265" t="s">
        <v>6372</v>
      </c>
    </row>
    <row r="2266" spans="1:5" x14ac:dyDescent="0.35">
      <c r="A2266" t="str">
        <f>"2019-01-11"</f>
        <v>2019-01-11</v>
      </c>
      <c r="B2266" s="1" t="str">
        <f t="shared" si="35"/>
        <v>01/11/2019</v>
      </c>
      <c r="C2266" t="str">
        <f>"67.0917"</f>
        <v>67.0917</v>
      </c>
      <c r="D2266" s="1" t="s">
        <v>2257</v>
      </c>
      <c r="E2266" t="s">
        <v>6373</v>
      </c>
    </row>
    <row r="2267" spans="1:5" x14ac:dyDescent="0.35">
      <c r="A2267" t="str">
        <f>"2019-01-14"</f>
        <v>2019-01-14</v>
      </c>
      <c r="B2267" s="1" t="str">
        <f t="shared" si="35"/>
        <v>01/14/2019</v>
      </c>
      <c r="C2267" t="str">
        <f>"66.1224"</f>
        <v>66.1224</v>
      </c>
      <c r="D2267" s="1" t="s">
        <v>2258</v>
      </c>
      <c r="E2267" t="s">
        <v>6374</v>
      </c>
    </row>
    <row r="2268" spans="1:5" x14ac:dyDescent="0.35">
      <c r="A2268" t="str">
        <f>"2019-01-15"</f>
        <v>2019-01-15</v>
      </c>
      <c r="B2268" s="1" t="str">
        <f t="shared" si="35"/>
        <v>01/15/2019</v>
      </c>
      <c r="C2268" t="str">
        <f>"64.6555"</f>
        <v>64.6555</v>
      </c>
      <c r="D2268" s="1" t="s">
        <v>2259</v>
      </c>
      <c r="E2268" t="s">
        <v>6375</v>
      </c>
    </row>
    <row r="2269" spans="1:5" x14ac:dyDescent="0.35">
      <c r="A2269" t="str">
        <f>"2019-01-16"</f>
        <v>2019-01-16</v>
      </c>
      <c r="B2269" s="1" t="str">
        <f t="shared" si="35"/>
        <v>01/16/2019</v>
      </c>
      <c r="C2269" t="str">
        <f>"63.7118"</f>
        <v>63.7118</v>
      </c>
      <c r="D2269" s="1" t="s">
        <v>2260</v>
      </c>
      <c r="E2269" t="s">
        <v>6376</v>
      </c>
    </row>
    <row r="2270" spans="1:5" x14ac:dyDescent="0.35">
      <c r="A2270" t="str">
        <f>"2019-01-17"</f>
        <v>2019-01-17</v>
      </c>
      <c r="B2270" s="1" t="str">
        <f t="shared" si="35"/>
        <v>01/17/2019</v>
      </c>
      <c r="C2270" t="str">
        <f>"64.2087"</f>
        <v>64.2087</v>
      </c>
      <c r="D2270" s="1" t="s">
        <v>2261</v>
      </c>
      <c r="E2270" t="s">
        <v>6377</v>
      </c>
    </row>
    <row r="2271" spans="1:5" x14ac:dyDescent="0.35">
      <c r="A2271" t="str">
        <f>"2019-01-18"</f>
        <v>2019-01-18</v>
      </c>
      <c r="B2271" s="1" t="str">
        <f t="shared" si="35"/>
        <v>01/18/2019</v>
      </c>
      <c r="C2271" t="str">
        <f>"65.4413"</f>
        <v>65.4413</v>
      </c>
      <c r="D2271" s="1" t="s">
        <v>2262</v>
      </c>
      <c r="E2271" t="s">
        <v>6378</v>
      </c>
    </row>
    <row r="2272" spans="1:5" x14ac:dyDescent="0.35">
      <c r="A2272" t="str">
        <f>"2019-01-22"</f>
        <v>2019-01-22</v>
      </c>
      <c r="B2272" s="1" t="str">
        <f t="shared" si="35"/>
        <v>01/22/2019</v>
      </c>
      <c r="C2272" t="str">
        <f>"65.5737"</f>
        <v>65.5737</v>
      </c>
      <c r="D2272" s="1" t="s">
        <v>2263</v>
      </c>
      <c r="E2272" t="s">
        <v>6379</v>
      </c>
    </row>
    <row r="2273" spans="1:5" x14ac:dyDescent="0.35">
      <c r="A2273" t="str">
        <f>"2019-01-23"</f>
        <v>2019-01-23</v>
      </c>
      <c r="B2273" s="1" t="str">
        <f t="shared" si="35"/>
        <v>01/23/2019</v>
      </c>
      <c r="C2273" t="str">
        <f>"66.5552"</f>
        <v>66.5552</v>
      </c>
      <c r="D2273" s="1" t="s">
        <v>2264</v>
      </c>
      <c r="E2273" t="s">
        <v>6380</v>
      </c>
    </row>
    <row r="2274" spans="1:5" x14ac:dyDescent="0.35">
      <c r="A2274" t="str">
        <f>"2019-01-24"</f>
        <v>2019-01-24</v>
      </c>
      <c r="B2274" s="1" t="str">
        <f t="shared" si="35"/>
        <v>01/24/2019</v>
      </c>
      <c r="C2274" t="str">
        <f>"67.7329"</f>
        <v>67.7329</v>
      </c>
      <c r="D2274" s="1" t="s">
        <v>2265</v>
      </c>
      <c r="E2274" t="s">
        <v>6381</v>
      </c>
    </row>
    <row r="2275" spans="1:5" x14ac:dyDescent="0.35">
      <c r="A2275" t="str">
        <f>"2019-01-25"</f>
        <v>2019-01-25</v>
      </c>
      <c r="B2275" s="1" t="str">
        <f t="shared" si="35"/>
        <v>01/25/2019</v>
      </c>
      <c r="C2275" t="str">
        <f>"66.8401"</f>
        <v>66.8401</v>
      </c>
      <c r="D2275" s="1" t="s">
        <v>2266</v>
      </c>
      <c r="E2275" t="s">
        <v>6382</v>
      </c>
    </row>
    <row r="2276" spans="1:5" x14ac:dyDescent="0.35">
      <c r="A2276" t="str">
        <f>"2019-01-28"</f>
        <v>2019-01-28</v>
      </c>
      <c r="B2276" s="1" t="str">
        <f t="shared" si="35"/>
        <v>01/28/2019</v>
      </c>
      <c r="C2276" t="str">
        <f>"68.2606"</f>
        <v>68.2606</v>
      </c>
      <c r="D2276" s="1" t="s">
        <v>2267</v>
      </c>
      <c r="E2276" t="s">
        <v>6383</v>
      </c>
    </row>
    <row r="2277" spans="1:5" x14ac:dyDescent="0.35">
      <c r="A2277" t="str">
        <f>"2019-01-29"</f>
        <v>2019-01-29</v>
      </c>
      <c r="B2277" s="1" t="str">
        <f t="shared" si="35"/>
        <v>01/29/2019</v>
      </c>
      <c r="C2277" t="str">
        <f>"67.8492"</f>
        <v>67.8492</v>
      </c>
      <c r="D2277" s="1" t="s">
        <v>2268</v>
      </c>
      <c r="E2277" t="s">
        <v>6384</v>
      </c>
    </row>
    <row r="2278" spans="1:5" x14ac:dyDescent="0.35">
      <c r="A2278" t="str">
        <f>"2019-01-30"</f>
        <v>2019-01-30</v>
      </c>
      <c r="B2278" s="1" t="str">
        <f t="shared" si="35"/>
        <v>01/30/2019</v>
      </c>
      <c r="C2278" t="str">
        <f>"70.7643"</f>
        <v>70.7643</v>
      </c>
      <c r="D2278" s="1" t="s">
        <v>2269</v>
      </c>
      <c r="E2278" t="s">
        <v>6385</v>
      </c>
    </row>
    <row r="2279" spans="1:5" x14ac:dyDescent="0.35">
      <c r="A2279" t="str">
        <f>"2019-01-31"</f>
        <v>2019-01-31</v>
      </c>
      <c r="B2279" s="1" t="str">
        <f t="shared" si="35"/>
        <v>01/31/2019</v>
      </c>
      <c r="C2279" t="str">
        <f>"69.6137"</f>
        <v>69.6137</v>
      </c>
      <c r="D2279" s="1" t="s">
        <v>2270</v>
      </c>
      <c r="E2279" t="s">
        <v>6386</v>
      </c>
    </row>
    <row r="2280" spans="1:5" x14ac:dyDescent="0.35">
      <c r="A2280" t="str">
        <f>"2019-02-01"</f>
        <v>2019-02-01</v>
      </c>
      <c r="B2280" s="1" t="str">
        <f t="shared" si="35"/>
        <v>02/01/2019</v>
      </c>
      <c r="C2280" t="str">
        <f>"67.0691"</f>
        <v>67.0691</v>
      </c>
      <c r="D2280" s="1" t="s">
        <v>2271</v>
      </c>
      <c r="E2280" t="s">
        <v>6387</v>
      </c>
    </row>
    <row r="2281" spans="1:5" x14ac:dyDescent="0.35">
      <c r="A2281" t="str">
        <f>"2019-02-04"</f>
        <v>2019-02-04</v>
      </c>
      <c r="B2281" s="1" t="str">
        <f t="shared" si="35"/>
        <v>02/04/2019</v>
      </c>
      <c r="C2281" t="str">
        <f>"67.8369"</f>
        <v>67.8369</v>
      </c>
      <c r="D2281" s="1" t="s">
        <v>2272</v>
      </c>
      <c r="E2281" t="s">
        <v>6388</v>
      </c>
    </row>
    <row r="2282" spans="1:5" x14ac:dyDescent="0.35">
      <c r="A2282" t="str">
        <f>"2019-02-05"</f>
        <v>2019-02-05</v>
      </c>
      <c r="B2282" s="1" t="str">
        <f t="shared" si="35"/>
        <v>02/05/2019</v>
      </c>
      <c r="C2282" t="str">
        <f>"65.8579"</f>
        <v>65.8579</v>
      </c>
      <c r="D2282" s="1" t="s">
        <v>2273</v>
      </c>
      <c r="E2282" t="s">
        <v>6389</v>
      </c>
    </row>
    <row r="2283" spans="1:5" x14ac:dyDescent="0.35">
      <c r="A2283" t="str">
        <f>"2019-02-06"</f>
        <v>2019-02-06</v>
      </c>
      <c r="B2283" s="1" t="str">
        <f t="shared" si="35"/>
        <v>02/06/2019</v>
      </c>
      <c r="C2283" t="str">
        <f>"67.9159"</f>
        <v>67.9159</v>
      </c>
      <c r="D2283" s="1" t="s">
        <v>2274</v>
      </c>
      <c r="E2283" t="s">
        <v>6390</v>
      </c>
    </row>
    <row r="2284" spans="1:5" x14ac:dyDescent="0.35">
      <c r="A2284" t="str">
        <f>"2019-02-07"</f>
        <v>2019-02-07</v>
      </c>
      <c r="B2284" s="1" t="str">
        <f t="shared" si="35"/>
        <v>02/07/2019</v>
      </c>
      <c r="C2284" t="str">
        <f>"66.8154"</f>
        <v>66.8154</v>
      </c>
      <c r="D2284" s="1" t="s">
        <v>2275</v>
      </c>
      <c r="E2284" t="s">
        <v>6391</v>
      </c>
    </row>
    <row r="2285" spans="1:5" x14ac:dyDescent="0.35">
      <c r="A2285" t="str">
        <f>"2019-02-08"</f>
        <v>2019-02-08</v>
      </c>
      <c r="B2285" s="1" t="str">
        <f t="shared" si="35"/>
        <v>02/08/2019</v>
      </c>
      <c r="C2285" t="str">
        <f>"66.0719"</f>
        <v>66.0719</v>
      </c>
      <c r="D2285" s="1" t="s">
        <v>2276</v>
      </c>
      <c r="E2285" t="s">
        <v>6392</v>
      </c>
    </row>
    <row r="2286" spans="1:5" x14ac:dyDescent="0.35">
      <c r="A2286" t="str">
        <f>"2019-02-11"</f>
        <v>2019-02-11</v>
      </c>
      <c r="B2286" s="1" t="str">
        <f t="shared" si="35"/>
        <v>02/11/2019</v>
      </c>
      <c r="C2286" t="str">
        <f>"68.9799"</f>
        <v>68.9799</v>
      </c>
      <c r="D2286" s="1" t="s">
        <v>2277</v>
      </c>
      <c r="E2286" t="s">
        <v>6393</v>
      </c>
    </row>
    <row r="2287" spans="1:5" x14ac:dyDescent="0.35">
      <c r="A2287" t="str">
        <f>"2019-02-12"</f>
        <v>2019-02-12</v>
      </c>
      <c r="B2287" s="1" t="str">
        <f t="shared" si="35"/>
        <v>02/12/2019</v>
      </c>
      <c r="C2287" t="str">
        <f>"65.1073"</f>
        <v>65.1073</v>
      </c>
      <c r="D2287" s="1" t="s">
        <v>2278</v>
      </c>
      <c r="E2287" t="s">
        <v>6394</v>
      </c>
    </row>
    <row r="2288" spans="1:5" x14ac:dyDescent="0.35">
      <c r="A2288" t="str">
        <f>"2019-02-13"</f>
        <v>2019-02-13</v>
      </c>
      <c r="B2288" s="1" t="str">
        <f t="shared" si="35"/>
        <v>02/13/2019</v>
      </c>
      <c r="C2288" t="str">
        <f>"62.3081"</f>
        <v>62.3081</v>
      </c>
      <c r="D2288" s="1" t="s">
        <v>2279</v>
      </c>
      <c r="E2288" t="s">
        <v>6395</v>
      </c>
    </row>
    <row r="2289" spans="1:5" x14ac:dyDescent="0.35">
      <c r="A2289" t="str">
        <f>"2019-02-14"</f>
        <v>2019-02-14</v>
      </c>
      <c r="B2289" s="1" t="str">
        <f t="shared" si="35"/>
        <v>02/14/2019</v>
      </c>
      <c r="C2289" t="str">
        <f>"63.6391"</f>
        <v>63.6391</v>
      </c>
      <c r="D2289" s="1" t="s">
        <v>2280</v>
      </c>
      <c r="E2289" t="s">
        <v>6396</v>
      </c>
    </row>
    <row r="2290" spans="1:5" x14ac:dyDescent="0.35">
      <c r="A2290" t="str">
        <f>"2019-02-15"</f>
        <v>2019-02-15</v>
      </c>
      <c r="B2290" s="1" t="str">
        <f t="shared" si="35"/>
        <v>02/15/2019</v>
      </c>
      <c r="C2290" t="str">
        <f>"61.3647"</f>
        <v>61.3647</v>
      </c>
      <c r="D2290" s="1" t="s">
        <v>2281</v>
      </c>
      <c r="E2290" t="s">
        <v>6397</v>
      </c>
    </row>
    <row r="2291" spans="1:5" x14ac:dyDescent="0.35">
      <c r="A2291" t="str">
        <f>"2019-02-19"</f>
        <v>2019-02-19</v>
      </c>
      <c r="B2291" s="1" t="str">
        <f t="shared" si="35"/>
        <v>02/19/2019</v>
      </c>
      <c r="C2291" t="str">
        <f>"58.3859"</f>
        <v>58.3859</v>
      </c>
      <c r="D2291" s="1" t="s">
        <v>2282</v>
      </c>
      <c r="E2291" t="s">
        <v>6398</v>
      </c>
    </row>
    <row r="2292" spans="1:5" x14ac:dyDescent="0.35">
      <c r="A2292" t="str">
        <f>"2019-02-20"</f>
        <v>2019-02-20</v>
      </c>
      <c r="B2292" s="1" t="str">
        <f t="shared" si="35"/>
        <v>02/20/2019</v>
      </c>
      <c r="C2292" t="str">
        <f>"58.8668"</f>
        <v>58.8668</v>
      </c>
      <c r="D2292" s="1" t="s">
        <v>2283</v>
      </c>
      <c r="E2292" t="s">
        <v>6399</v>
      </c>
    </row>
    <row r="2293" spans="1:5" x14ac:dyDescent="0.35">
      <c r="A2293" t="str">
        <f>"2019-02-21"</f>
        <v>2019-02-21</v>
      </c>
      <c r="B2293" s="1" t="str">
        <f t="shared" si="35"/>
        <v>02/21/2019</v>
      </c>
      <c r="C2293" t="str">
        <f>"60.2198"</f>
        <v>60.2198</v>
      </c>
      <c r="D2293" s="1" t="s">
        <v>2284</v>
      </c>
      <c r="E2293" t="s">
        <v>6400</v>
      </c>
    </row>
    <row r="2294" spans="1:5" x14ac:dyDescent="0.35">
      <c r="A2294" t="str">
        <f>"2019-02-22"</f>
        <v>2019-02-22</v>
      </c>
      <c r="B2294" s="1" t="str">
        <f t="shared" si="35"/>
        <v>02/22/2019</v>
      </c>
      <c r="C2294" t="str">
        <f>"62.2092"</f>
        <v>62.2092</v>
      </c>
      <c r="D2294" s="1" t="s">
        <v>2285</v>
      </c>
      <c r="E2294" t="s">
        <v>6401</v>
      </c>
    </row>
    <row r="2295" spans="1:5" x14ac:dyDescent="0.35">
      <c r="A2295" t="str">
        <f>"2019-02-25"</f>
        <v>2019-02-25</v>
      </c>
      <c r="B2295" s="1" t="str">
        <f t="shared" si="35"/>
        <v>02/25/2019</v>
      </c>
      <c r="C2295" t="str">
        <f>"61.7837"</f>
        <v>61.7837</v>
      </c>
      <c r="D2295" s="1" t="s">
        <v>2286</v>
      </c>
      <c r="E2295" t="s">
        <v>6402</v>
      </c>
    </row>
    <row r="2296" spans="1:5" x14ac:dyDescent="0.35">
      <c r="A2296" t="str">
        <f>"2019-02-26"</f>
        <v>2019-02-26</v>
      </c>
      <c r="B2296" s="1" t="str">
        <f t="shared" si="35"/>
        <v>02/26/2019</v>
      </c>
      <c r="C2296" t="str">
        <f>"63.6081"</f>
        <v>63.6081</v>
      </c>
      <c r="D2296" s="1" t="s">
        <v>2287</v>
      </c>
      <c r="E2296" t="s">
        <v>6403</v>
      </c>
    </row>
    <row r="2297" spans="1:5" x14ac:dyDescent="0.35">
      <c r="A2297" t="str">
        <f>"2019-02-27"</f>
        <v>2019-02-27</v>
      </c>
      <c r="B2297" s="1" t="str">
        <f t="shared" si="35"/>
        <v>02/27/2019</v>
      </c>
      <c r="C2297" t="str">
        <f>"62.2175"</f>
        <v>62.2175</v>
      </c>
      <c r="D2297" s="1" t="s">
        <v>2288</v>
      </c>
      <c r="E2297" t="s">
        <v>6404</v>
      </c>
    </row>
    <row r="2298" spans="1:5" x14ac:dyDescent="0.35">
      <c r="A2298" t="str">
        <f>"2019-02-28"</f>
        <v>2019-02-28</v>
      </c>
      <c r="B2298" s="1" t="str">
        <f t="shared" si="35"/>
        <v>02/28/2019</v>
      </c>
      <c r="C2298" t="str">
        <f>"63.2321"</f>
        <v>63.2321</v>
      </c>
      <c r="D2298" s="1" t="s">
        <v>2289</v>
      </c>
      <c r="E2298" t="s">
        <v>6405</v>
      </c>
    </row>
    <row r="2299" spans="1:5" x14ac:dyDescent="0.35">
      <c r="A2299" t="str">
        <f>"2019-03-01"</f>
        <v>2019-03-01</v>
      </c>
      <c r="B2299" s="1" t="str">
        <f t="shared" si="35"/>
        <v>03/01/2019</v>
      </c>
      <c r="C2299" t="str">
        <f>"62.88"</f>
        <v>62.88</v>
      </c>
      <c r="D2299" s="1" t="s">
        <v>2290</v>
      </c>
      <c r="E2299" t="s">
        <v>6406</v>
      </c>
    </row>
    <row r="2300" spans="1:5" x14ac:dyDescent="0.35">
      <c r="A2300" t="str">
        <f>"2019-03-04"</f>
        <v>2019-03-04</v>
      </c>
      <c r="B2300" s="1" t="str">
        <f t="shared" si="35"/>
        <v>03/04/2019</v>
      </c>
      <c r="C2300" t="str">
        <f>"62.6448"</f>
        <v>62.6448</v>
      </c>
      <c r="D2300" s="1" t="s">
        <v>2291</v>
      </c>
      <c r="E2300" t="s">
        <v>6407</v>
      </c>
    </row>
    <row r="2301" spans="1:5" x14ac:dyDescent="0.35">
      <c r="A2301" t="str">
        <f>"2019-03-05"</f>
        <v>2019-03-05</v>
      </c>
      <c r="B2301" s="1" t="str">
        <f t="shared" si="35"/>
        <v>03/05/2019</v>
      </c>
      <c r="C2301" t="str">
        <f>"64.3346"</f>
        <v>64.3346</v>
      </c>
      <c r="D2301" s="1" t="s">
        <v>2292</v>
      </c>
      <c r="E2301" t="s">
        <v>6408</v>
      </c>
    </row>
    <row r="2302" spans="1:5" x14ac:dyDescent="0.35">
      <c r="A2302" t="str">
        <f>"2019-03-06"</f>
        <v>2019-03-06</v>
      </c>
      <c r="B2302" s="1" t="str">
        <f t="shared" si="35"/>
        <v>03/06/2019</v>
      </c>
      <c r="C2302" t="str">
        <f>"63.5889"</f>
        <v>63.5889</v>
      </c>
      <c r="D2302" s="1" t="s">
        <v>2293</v>
      </c>
      <c r="E2302" t="s">
        <v>6409</v>
      </c>
    </row>
    <row r="2303" spans="1:5" x14ac:dyDescent="0.35">
      <c r="A2303" t="str">
        <f>"2019-03-07"</f>
        <v>2019-03-07</v>
      </c>
      <c r="B2303" s="1" t="str">
        <f t="shared" si="35"/>
        <v>03/07/2019</v>
      </c>
      <c r="C2303" t="str">
        <f>"61.1569"</f>
        <v>61.1569</v>
      </c>
      <c r="D2303" s="1" t="s">
        <v>2294</v>
      </c>
      <c r="E2303" t="s">
        <v>6410</v>
      </c>
    </row>
    <row r="2304" spans="1:5" x14ac:dyDescent="0.35">
      <c r="A2304" t="str">
        <f>"2019-03-08"</f>
        <v>2019-03-08</v>
      </c>
      <c r="B2304" s="1" t="str">
        <f t="shared" si="35"/>
        <v>03/08/2019</v>
      </c>
      <c r="C2304" t="str">
        <f>"57.8467"</f>
        <v>57.8467</v>
      </c>
      <c r="D2304" s="1" t="s">
        <v>2295</v>
      </c>
      <c r="E2304" t="s">
        <v>6411</v>
      </c>
    </row>
    <row r="2305" spans="1:5" x14ac:dyDescent="0.35">
      <c r="A2305" t="str">
        <f>"2019-03-11"</f>
        <v>2019-03-11</v>
      </c>
      <c r="B2305" s="1" t="str">
        <f t="shared" si="35"/>
        <v>03/11/2019</v>
      </c>
      <c r="C2305" t="str">
        <f>"57.9325"</f>
        <v>57.9325</v>
      </c>
      <c r="D2305" s="1" t="s">
        <v>2296</v>
      </c>
      <c r="E2305" t="s">
        <v>6412</v>
      </c>
    </row>
    <row r="2306" spans="1:5" x14ac:dyDescent="0.35">
      <c r="A2306" t="str">
        <f>"2019-03-12"</f>
        <v>2019-03-12</v>
      </c>
      <c r="B2306" s="1" t="str">
        <f t="shared" si="35"/>
        <v>03/12/2019</v>
      </c>
      <c r="C2306" t="str">
        <f>"57.4734"</f>
        <v>57.4734</v>
      </c>
      <c r="D2306" s="1" t="s">
        <v>2297</v>
      </c>
      <c r="E2306" t="s">
        <v>6413</v>
      </c>
    </row>
    <row r="2307" spans="1:5" x14ac:dyDescent="0.35">
      <c r="A2307" t="str">
        <f>"2019-03-13"</f>
        <v>2019-03-13</v>
      </c>
      <c r="B2307" s="1" t="str">
        <f t="shared" ref="B2307:B2370" si="36">LEFT(RIGHT(A2307,5),2)&amp;"/"&amp;RIGHT(A2307,2)&amp;"/"&amp;LEFT(A2307,4)</f>
        <v>03/13/2019</v>
      </c>
      <c r="C2307" t="str">
        <f>"55.9376"</f>
        <v>55.9376</v>
      </c>
      <c r="D2307" s="1" t="s">
        <v>2298</v>
      </c>
      <c r="E2307" t="s">
        <v>6414</v>
      </c>
    </row>
    <row r="2308" spans="1:5" x14ac:dyDescent="0.35">
      <c r="A2308" t="str">
        <f>"2019-03-14"</f>
        <v>2019-03-14</v>
      </c>
      <c r="B2308" s="1" t="str">
        <f t="shared" si="36"/>
        <v>03/14/2019</v>
      </c>
      <c r="C2308" t="str">
        <f>"57.3859"</f>
        <v>57.3859</v>
      </c>
      <c r="D2308" s="1" t="s">
        <v>2299</v>
      </c>
      <c r="E2308" t="s">
        <v>6415</v>
      </c>
    </row>
    <row r="2309" spans="1:5" x14ac:dyDescent="0.35">
      <c r="A2309" t="str">
        <f>"2019-03-15"</f>
        <v>2019-03-15</v>
      </c>
      <c r="B2309" s="1" t="str">
        <f t="shared" si="36"/>
        <v>03/15/2019</v>
      </c>
      <c r="C2309" t="str">
        <f>"56.7366"</f>
        <v>56.7366</v>
      </c>
      <c r="D2309" s="1" t="s">
        <v>2300</v>
      </c>
      <c r="E2309" t="s">
        <v>6416</v>
      </c>
    </row>
    <row r="2310" spans="1:5" x14ac:dyDescent="0.35">
      <c r="A2310" t="str">
        <f>"2019-03-18"</f>
        <v>2019-03-18</v>
      </c>
      <c r="B2310" s="1" t="str">
        <f t="shared" si="36"/>
        <v>03/18/2019</v>
      </c>
      <c r="C2310" t="str">
        <f>"60.9502"</f>
        <v>60.9502</v>
      </c>
      <c r="D2310" s="1" t="s">
        <v>2301</v>
      </c>
      <c r="E2310" t="s">
        <v>6417</v>
      </c>
    </row>
    <row r="2311" spans="1:5" x14ac:dyDescent="0.35">
      <c r="A2311" t="str">
        <f>"2019-03-19"</f>
        <v>2019-03-19</v>
      </c>
      <c r="B2311" s="1" t="str">
        <f t="shared" si="36"/>
        <v>03/19/2019</v>
      </c>
      <c r="C2311" t="str">
        <f>"62.0686"</f>
        <v>62.0686</v>
      </c>
      <c r="D2311" s="1" t="s">
        <v>2302</v>
      </c>
      <c r="E2311" t="s">
        <v>6418</v>
      </c>
    </row>
    <row r="2312" spans="1:5" x14ac:dyDescent="0.35">
      <c r="A2312" t="str">
        <f>"2019-03-20"</f>
        <v>2019-03-20</v>
      </c>
      <c r="B2312" s="1" t="str">
        <f t="shared" si="36"/>
        <v>03/20/2019</v>
      </c>
      <c r="C2312" t="str">
        <f>"62.1176"</f>
        <v>62.1176</v>
      </c>
      <c r="D2312" s="1" t="s">
        <v>2303</v>
      </c>
      <c r="E2312" t="s">
        <v>6419</v>
      </c>
    </row>
    <row r="2313" spans="1:5" x14ac:dyDescent="0.35">
      <c r="A2313" t="str">
        <f>"2019-03-21"</f>
        <v>2019-03-21</v>
      </c>
      <c r="B2313" s="1" t="str">
        <f t="shared" si="36"/>
        <v>03/21/2019</v>
      </c>
      <c r="C2313" t="str">
        <f>"61.6421"</f>
        <v>61.6421</v>
      </c>
      <c r="D2313" s="1" t="s">
        <v>2304</v>
      </c>
      <c r="E2313" t="s">
        <v>6420</v>
      </c>
    </row>
    <row r="2314" spans="1:5" x14ac:dyDescent="0.35">
      <c r="A2314" t="str">
        <f>"2019-03-22"</f>
        <v>2019-03-22</v>
      </c>
      <c r="B2314" s="1" t="str">
        <f t="shared" si="36"/>
        <v>03/22/2019</v>
      </c>
      <c r="C2314" t="str">
        <f>"58.8918"</f>
        <v>58.8918</v>
      </c>
      <c r="D2314" s="1" t="s">
        <v>2305</v>
      </c>
      <c r="E2314" t="s">
        <v>6421</v>
      </c>
    </row>
    <row r="2315" spans="1:5" x14ac:dyDescent="0.35">
      <c r="A2315" t="str">
        <f>"2019-03-25"</f>
        <v>2019-03-25</v>
      </c>
      <c r="B2315" s="1" t="str">
        <f t="shared" si="36"/>
        <v>03/25/2019</v>
      </c>
      <c r="C2315" t="str">
        <f>"57.986"</f>
        <v>57.986</v>
      </c>
      <c r="D2315" s="1" t="s">
        <v>2306</v>
      </c>
      <c r="E2315" t="s">
        <v>6422</v>
      </c>
    </row>
    <row r="2316" spans="1:5" x14ac:dyDescent="0.35">
      <c r="A2316" t="str">
        <f>"2019-03-26"</f>
        <v>2019-03-26</v>
      </c>
      <c r="B2316" s="1" t="str">
        <f t="shared" si="36"/>
        <v>03/26/2019</v>
      </c>
      <c r="C2316" t="str">
        <f>"57.507"</f>
        <v>57.507</v>
      </c>
      <c r="D2316" s="1" t="s">
        <v>2307</v>
      </c>
      <c r="E2316" t="s">
        <v>6423</v>
      </c>
    </row>
    <row r="2317" spans="1:5" x14ac:dyDescent="0.35">
      <c r="A2317" t="str">
        <f>"2019-03-27"</f>
        <v>2019-03-27</v>
      </c>
      <c r="B2317" s="1" t="str">
        <f t="shared" si="36"/>
        <v>03/27/2019</v>
      </c>
      <c r="C2317" t="str">
        <f>"56.3817"</f>
        <v>56.3817</v>
      </c>
      <c r="D2317" s="1" t="s">
        <v>2308</v>
      </c>
      <c r="E2317" t="s">
        <v>6424</v>
      </c>
    </row>
    <row r="2318" spans="1:5" x14ac:dyDescent="0.35">
      <c r="A2318" t="str">
        <f>"2019-03-28"</f>
        <v>2019-03-28</v>
      </c>
      <c r="B2318" s="1" t="str">
        <f t="shared" si="36"/>
        <v>03/28/2019</v>
      </c>
      <c r="C2318" t="str">
        <f>"56.2789"</f>
        <v>56.2789</v>
      </c>
      <c r="D2318" s="1" t="s">
        <v>2309</v>
      </c>
      <c r="E2318" t="s">
        <v>6425</v>
      </c>
    </row>
    <row r="2319" spans="1:5" x14ac:dyDescent="0.35">
      <c r="A2319" t="str">
        <f>"2019-03-29"</f>
        <v>2019-03-29</v>
      </c>
      <c r="B2319" s="1" t="str">
        <f t="shared" si="36"/>
        <v>03/29/2019</v>
      </c>
      <c r="C2319" t="str">
        <f>"55.7377"</f>
        <v>55.7377</v>
      </c>
      <c r="D2319" s="1" t="s">
        <v>2310</v>
      </c>
      <c r="E2319" t="s">
        <v>6426</v>
      </c>
    </row>
    <row r="2320" spans="1:5" x14ac:dyDescent="0.35">
      <c r="A2320" t="str">
        <f>"2019-04-01"</f>
        <v>2019-04-01</v>
      </c>
      <c r="B2320" s="1" t="str">
        <f t="shared" si="36"/>
        <v>04/01/2019</v>
      </c>
      <c r="C2320" t="str">
        <f>"55.6502"</f>
        <v>55.6502</v>
      </c>
      <c r="D2320" s="1" t="s">
        <v>2311</v>
      </c>
      <c r="E2320" t="s">
        <v>6427</v>
      </c>
    </row>
    <row r="2321" spans="1:5" x14ac:dyDescent="0.35">
      <c r="A2321" t="str">
        <f>"2019-04-02"</f>
        <v>2019-04-02</v>
      </c>
      <c r="B2321" s="1" t="str">
        <f t="shared" si="36"/>
        <v>04/02/2019</v>
      </c>
      <c r="C2321" t="str">
        <f>"57.1808"</f>
        <v>57.1808</v>
      </c>
      <c r="D2321" s="1" t="s">
        <v>2312</v>
      </c>
      <c r="E2321" t="s">
        <v>6428</v>
      </c>
    </row>
    <row r="2322" spans="1:5" x14ac:dyDescent="0.35">
      <c r="A2322" t="str">
        <f>"2019-04-03"</f>
        <v>2019-04-03</v>
      </c>
      <c r="B2322" s="1" t="str">
        <f t="shared" si="36"/>
        <v>04/03/2019</v>
      </c>
      <c r="C2322" t="str">
        <f>"56.9378"</f>
        <v>56.9378</v>
      </c>
      <c r="D2322" s="1" t="s">
        <v>2313</v>
      </c>
      <c r="E2322" t="s">
        <v>6429</v>
      </c>
    </row>
    <row r="2323" spans="1:5" x14ac:dyDescent="0.35">
      <c r="A2323" t="str">
        <f>"2019-04-04"</f>
        <v>2019-04-04</v>
      </c>
      <c r="B2323" s="1" t="str">
        <f t="shared" si="36"/>
        <v>04/04/2019</v>
      </c>
      <c r="C2323" t="str">
        <f>"60.9396"</f>
        <v>60.9396</v>
      </c>
      <c r="D2323" s="1" t="s">
        <v>2314</v>
      </c>
      <c r="E2323" t="s">
        <v>6430</v>
      </c>
    </row>
    <row r="2324" spans="1:5" x14ac:dyDescent="0.35">
      <c r="A2324" t="str">
        <f>"2019-04-05"</f>
        <v>2019-04-05</v>
      </c>
      <c r="B2324" s="1" t="str">
        <f t="shared" si="36"/>
        <v>04/05/2019</v>
      </c>
      <c r="C2324" t="str">
        <f>"62.1794"</f>
        <v>62.1794</v>
      </c>
      <c r="D2324" s="1" t="s">
        <v>2315</v>
      </c>
      <c r="E2324" t="s">
        <v>6431</v>
      </c>
    </row>
    <row r="2325" spans="1:5" x14ac:dyDescent="0.35">
      <c r="A2325" t="str">
        <f>"2019-04-08"</f>
        <v>2019-04-08</v>
      </c>
      <c r="B2325" s="1" t="str">
        <f t="shared" si="36"/>
        <v>04/08/2019</v>
      </c>
      <c r="C2325" t="str">
        <f>"60.3937"</f>
        <v>60.3937</v>
      </c>
      <c r="D2325" s="1" t="s">
        <v>2316</v>
      </c>
      <c r="E2325" t="s">
        <v>6432</v>
      </c>
    </row>
    <row r="2326" spans="1:5" x14ac:dyDescent="0.35">
      <c r="A2326" t="str">
        <f>"2019-04-09"</f>
        <v>2019-04-09</v>
      </c>
      <c r="B2326" s="1" t="str">
        <f t="shared" si="36"/>
        <v>04/09/2019</v>
      </c>
      <c r="C2326" t="str">
        <f>"60.1213"</f>
        <v>60.1213</v>
      </c>
      <c r="D2326" s="1" t="s">
        <v>2317</v>
      </c>
      <c r="E2326" t="s">
        <v>6433</v>
      </c>
    </row>
    <row r="2327" spans="1:5" x14ac:dyDescent="0.35">
      <c r="A2327" t="str">
        <f>"2019-04-10"</f>
        <v>2019-04-10</v>
      </c>
      <c r="B2327" s="1" t="str">
        <f t="shared" si="36"/>
        <v>04/10/2019</v>
      </c>
      <c r="C2327" t="str">
        <f>"59.4619"</f>
        <v>59.4619</v>
      </c>
      <c r="D2327" s="1" t="s">
        <v>2318</v>
      </c>
      <c r="E2327" t="s">
        <v>6434</v>
      </c>
    </row>
    <row r="2328" spans="1:5" x14ac:dyDescent="0.35">
      <c r="A2328" t="str">
        <f>"2019-04-11"</f>
        <v>2019-04-11</v>
      </c>
      <c r="B2328" s="1" t="str">
        <f t="shared" si="36"/>
        <v>04/11/2019</v>
      </c>
      <c r="C2328" t="str">
        <f>"60.145"</f>
        <v>60.145</v>
      </c>
      <c r="D2328" s="1" t="s">
        <v>2319</v>
      </c>
      <c r="E2328" t="s">
        <v>6435</v>
      </c>
    </row>
    <row r="2329" spans="1:5" x14ac:dyDescent="0.35">
      <c r="A2329" t="str">
        <f>"2019-04-12"</f>
        <v>2019-04-12</v>
      </c>
      <c r="B2329" s="1" t="str">
        <f t="shared" si="36"/>
        <v>04/12/2019</v>
      </c>
      <c r="C2329" t="str">
        <f>"58.4833"</f>
        <v>58.4833</v>
      </c>
      <c r="D2329" s="1" t="s">
        <v>2320</v>
      </c>
      <c r="E2329" t="s">
        <v>6436</v>
      </c>
    </row>
    <row r="2330" spans="1:5" x14ac:dyDescent="0.35">
      <c r="A2330" t="str">
        <f>"2019-04-15"</f>
        <v>2019-04-15</v>
      </c>
      <c r="B2330" s="1" t="str">
        <f t="shared" si="36"/>
        <v>04/15/2019</v>
      </c>
      <c r="C2330" t="str">
        <f>"58.2539"</f>
        <v>58.2539</v>
      </c>
      <c r="D2330" s="1" t="s">
        <v>2321</v>
      </c>
      <c r="E2330" t="s">
        <v>6437</v>
      </c>
    </row>
    <row r="2331" spans="1:5" x14ac:dyDescent="0.35">
      <c r="A2331" t="str">
        <f>"2019-04-16"</f>
        <v>2019-04-16</v>
      </c>
      <c r="B2331" s="1" t="str">
        <f t="shared" si="36"/>
        <v>04/16/2019</v>
      </c>
      <c r="C2331" t="str">
        <f>"60.5106"</f>
        <v>60.5106</v>
      </c>
      <c r="D2331" s="1" t="s">
        <v>2322</v>
      </c>
      <c r="E2331" t="s">
        <v>6438</v>
      </c>
    </row>
    <row r="2332" spans="1:5" x14ac:dyDescent="0.35">
      <c r="A2332" t="str">
        <f>"2019-04-17"</f>
        <v>2019-04-17</v>
      </c>
      <c r="B2332" s="1" t="str">
        <f t="shared" si="36"/>
        <v>04/17/2019</v>
      </c>
      <c r="C2332" t="str">
        <f>"60.7423"</f>
        <v>60.7423</v>
      </c>
      <c r="D2332" s="1" t="s">
        <v>2323</v>
      </c>
      <c r="E2332" t="s">
        <v>6439</v>
      </c>
    </row>
    <row r="2333" spans="1:5" x14ac:dyDescent="0.35">
      <c r="A2333" t="str">
        <f>"2019-04-18"</f>
        <v>2019-04-18</v>
      </c>
      <c r="B2333" s="1" t="str">
        <f t="shared" si="36"/>
        <v>04/18/2019</v>
      </c>
      <c r="C2333" t="str">
        <f>"60.8514"</f>
        <v>60.8514</v>
      </c>
      <c r="D2333" s="1" t="s">
        <v>2324</v>
      </c>
      <c r="E2333" t="s">
        <v>6440</v>
      </c>
    </row>
    <row r="2334" spans="1:5" x14ac:dyDescent="0.35">
      <c r="A2334" t="str">
        <f>"2019-04-22"</f>
        <v>2019-04-22</v>
      </c>
      <c r="B2334" s="1" t="str">
        <f t="shared" si="36"/>
        <v>04/22/2019</v>
      </c>
      <c r="C2334" t="str">
        <f>"58.4869"</f>
        <v>58.4869</v>
      </c>
      <c r="D2334" s="1" t="s">
        <v>2325</v>
      </c>
      <c r="E2334" t="s">
        <v>6441</v>
      </c>
    </row>
    <row r="2335" spans="1:5" x14ac:dyDescent="0.35">
      <c r="A2335" t="str">
        <f>"2019-04-23"</f>
        <v>2019-04-23</v>
      </c>
      <c r="B2335" s="1" t="str">
        <f t="shared" si="36"/>
        <v>04/23/2019</v>
      </c>
      <c r="C2335" t="str">
        <f>"58.6623"</f>
        <v>58.6623</v>
      </c>
      <c r="D2335" s="1" t="s">
        <v>2326</v>
      </c>
      <c r="E2335" t="s">
        <v>6442</v>
      </c>
    </row>
    <row r="2336" spans="1:5" x14ac:dyDescent="0.35">
      <c r="A2336" t="str">
        <f>"2019-04-24"</f>
        <v>2019-04-24</v>
      </c>
      <c r="B2336" s="1" t="str">
        <f t="shared" si="36"/>
        <v>04/24/2019</v>
      </c>
      <c r="C2336" t="str">
        <f>"58.7271"</f>
        <v>58.7271</v>
      </c>
      <c r="D2336" s="1" t="s">
        <v>2327</v>
      </c>
      <c r="E2336" t="s">
        <v>6443</v>
      </c>
    </row>
    <row r="2337" spans="1:5" x14ac:dyDescent="0.35">
      <c r="A2337" t="str">
        <f>"2019-04-25"</f>
        <v>2019-04-25</v>
      </c>
      <c r="B2337" s="1" t="str">
        <f t="shared" si="36"/>
        <v>04/25/2019</v>
      </c>
      <c r="C2337" t="str">
        <f>"56.9154"</f>
        <v>56.9154</v>
      </c>
      <c r="D2337" s="1" t="s">
        <v>2328</v>
      </c>
      <c r="E2337" t="s">
        <v>6444</v>
      </c>
    </row>
    <row r="2338" spans="1:5" x14ac:dyDescent="0.35">
      <c r="A2338" t="str">
        <f>"2019-04-26"</f>
        <v>2019-04-26</v>
      </c>
      <c r="B2338" s="1" t="str">
        <f t="shared" si="36"/>
        <v>04/26/2019</v>
      </c>
      <c r="C2338" t="str">
        <f>"56.6325"</f>
        <v>56.6325</v>
      </c>
      <c r="D2338" s="1" t="s">
        <v>2329</v>
      </c>
      <c r="E2338" t="s">
        <v>6445</v>
      </c>
    </row>
    <row r="2339" spans="1:5" x14ac:dyDescent="0.35">
      <c r="A2339" t="str">
        <f>"2019-04-29"</f>
        <v>2019-04-29</v>
      </c>
      <c r="B2339" s="1" t="str">
        <f t="shared" si="36"/>
        <v>04/29/2019</v>
      </c>
      <c r="C2339" t="str">
        <f>"58.1485"</f>
        <v>58.1485</v>
      </c>
      <c r="D2339" s="1" t="s">
        <v>2330</v>
      </c>
      <c r="E2339" t="s">
        <v>6446</v>
      </c>
    </row>
    <row r="2340" spans="1:5" x14ac:dyDescent="0.35">
      <c r="A2340" t="str">
        <f>"2019-04-30"</f>
        <v>2019-04-30</v>
      </c>
      <c r="B2340" s="1" t="str">
        <f t="shared" si="36"/>
        <v>04/30/2019</v>
      </c>
      <c r="C2340" t="str">
        <f>"58.3248"</f>
        <v>58.3248</v>
      </c>
      <c r="D2340" s="1" t="s">
        <v>2331</v>
      </c>
      <c r="E2340" t="s">
        <v>6447</v>
      </c>
    </row>
    <row r="2341" spans="1:5" x14ac:dyDescent="0.35">
      <c r="A2341" t="str">
        <f>"2019-05-01"</f>
        <v>2019-05-01</v>
      </c>
      <c r="B2341" s="1" t="str">
        <f t="shared" si="36"/>
        <v>05/01/2019</v>
      </c>
      <c r="C2341" t="str">
        <f>"58.2309"</f>
        <v>58.2309</v>
      </c>
      <c r="D2341" s="1" t="s">
        <v>2332</v>
      </c>
      <c r="E2341" t="s">
        <v>6448</v>
      </c>
    </row>
    <row r="2342" spans="1:5" x14ac:dyDescent="0.35">
      <c r="A2342" t="str">
        <f>"2019-05-02"</f>
        <v>2019-05-02</v>
      </c>
      <c r="B2342" s="1" t="str">
        <f t="shared" si="36"/>
        <v>05/02/2019</v>
      </c>
      <c r="C2342" t="str">
        <f>"57.7278"</f>
        <v>57.7278</v>
      </c>
      <c r="D2342" s="1" t="s">
        <v>2333</v>
      </c>
      <c r="E2342" t="s">
        <v>6449</v>
      </c>
    </row>
    <row r="2343" spans="1:5" x14ac:dyDescent="0.35">
      <c r="A2343" t="str">
        <f>"2019-05-03"</f>
        <v>2019-05-03</v>
      </c>
      <c r="B2343" s="1" t="str">
        <f t="shared" si="36"/>
        <v>05/03/2019</v>
      </c>
      <c r="C2343" t="str">
        <f>"56.7432"</f>
        <v>56.7432</v>
      </c>
      <c r="D2343" s="1" t="s">
        <v>2334</v>
      </c>
      <c r="E2343" t="s">
        <v>6450</v>
      </c>
    </row>
    <row r="2344" spans="1:5" x14ac:dyDescent="0.35">
      <c r="A2344" t="str">
        <f>"2019-05-06"</f>
        <v>2019-05-06</v>
      </c>
      <c r="B2344" s="1" t="str">
        <f t="shared" si="36"/>
        <v>05/06/2019</v>
      </c>
      <c r="C2344" t="str">
        <f>"55.9043"</f>
        <v>55.9043</v>
      </c>
      <c r="D2344" s="1" t="s">
        <v>2335</v>
      </c>
      <c r="E2344" t="s">
        <v>6451</v>
      </c>
    </row>
    <row r="2345" spans="1:5" x14ac:dyDescent="0.35">
      <c r="A2345" t="str">
        <f>"2019-05-07"</f>
        <v>2019-05-07</v>
      </c>
      <c r="B2345" s="1" t="str">
        <f t="shared" si="36"/>
        <v>05/07/2019</v>
      </c>
      <c r="C2345" t="str">
        <f>"53.8382"</f>
        <v>53.8382</v>
      </c>
      <c r="D2345" s="1" t="s">
        <v>2336</v>
      </c>
      <c r="E2345" t="s">
        <v>6452</v>
      </c>
    </row>
    <row r="2346" spans="1:5" x14ac:dyDescent="0.35">
      <c r="A2346" t="str">
        <f>"2019-05-08"</f>
        <v>2019-05-08</v>
      </c>
      <c r="B2346" s="1" t="str">
        <f t="shared" si="36"/>
        <v>05/08/2019</v>
      </c>
      <c r="C2346" t="str">
        <f>"51.1727"</f>
        <v>51.1727</v>
      </c>
      <c r="D2346" s="1" t="s">
        <v>2337</v>
      </c>
      <c r="E2346" t="s">
        <v>6453</v>
      </c>
    </row>
    <row r="2347" spans="1:5" x14ac:dyDescent="0.35">
      <c r="A2347" t="str">
        <f>"2019-05-09"</f>
        <v>2019-05-09</v>
      </c>
      <c r="B2347" s="1" t="str">
        <f t="shared" si="36"/>
        <v>05/09/2019</v>
      </c>
      <c r="C2347" t="str">
        <f>"49.0496"</f>
        <v>49.0496</v>
      </c>
      <c r="D2347" s="1" t="s">
        <v>2338</v>
      </c>
      <c r="E2347" t="s">
        <v>6454</v>
      </c>
    </row>
    <row r="2348" spans="1:5" x14ac:dyDescent="0.35">
      <c r="A2348" t="str">
        <f>"2019-05-10"</f>
        <v>2019-05-10</v>
      </c>
      <c r="B2348" s="1" t="str">
        <f t="shared" si="36"/>
        <v>05/10/2019</v>
      </c>
      <c r="C2348" t="str">
        <f>"47.6399"</f>
        <v>47.6399</v>
      </c>
      <c r="D2348" s="1" t="s">
        <v>2339</v>
      </c>
      <c r="E2348" t="s">
        <v>6455</v>
      </c>
    </row>
    <row r="2349" spans="1:5" x14ac:dyDescent="0.35">
      <c r="A2349" t="str">
        <f>"2019-05-13"</f>
        <v>2019-05-13</v>
      </c>
      <c r="B2349" s="1" t="str">
        <f t="shared" si="36"/>
        <v>05/13/2019</v>
      </c>
      <c r="C2349" t="str">
        <f>"49.1454"</f>
        <v>49.1454</v>
      </c>
      <c r="D2349" s="1" t="s">
        <v>2340</v>
      </c>
      <c r="E2349" t="s">
        <v>6456</v>
      </c>
    </row>
    <row r="2350" spans="1:5" x14ac:dyDescent="0.35">
      <c r="A2350" t="str">
        <f>"2019-05-14"</f>
        <v>2019-05-14</v>
      </c>
      <c r="B2350" s="1" t="str">
        <f t="shared" si="36"/>
        <v>05/14/2019</v>
      </c>
      <c r="C2350" t="str">
        <f>"49.3079"</f>
        <v>49.3079</v>
      </c>
      <c r="D2350" s="1" t="s">
        <v>2341</v>
      </c>
      <c r="E2350" t="s">
        <v>6457</v>
      </c>
    </row>
    <row r="2351" spans="1:5" x14ac:dyDescent="0.35">
      <c r="A2351" t="str">
        <f>"2019-05-15"</f>
        <v>2019-05-15</v>
      </c>
      <c r="B2351" s="1" t="str">
        <f t="shared" si="36"/>
        <v>05/15/2019</v>
      </c>
      <c r="C2351" t="str">
        <f>"48.14"</f>
        <v>48.14</v>
      </c>
      <c r="D2351" s="1" t="s">
        <v>2342</v>
      </c>
      <c r="E2351" t="s">
        <v>6458</v>
      </c>
    </row>
    <row r="2352" spans="1:5" x14ac:dyDescent="0.35">
      <c r="A2352" t="str">
        <f>"2019-05-16"</f>
        <v>2019-05-16</v>
      </c>
      <c r="B2352" s="1" t="str">
        <f t="shared" si="36"/>
        <v>05/16/2019</v>
      </c>
      <c r="C2352" t="str">
        <f>"49.2609"</f>
        <v>49.2609</v>
      </c>
      <c r="D2352" s="1" t="s">
        <v>2343</v>
      </c>
      <c r="E2352" t="s">
        <v>6459</v>
      </c>
    </row>
    <row r="2353" spans="1:5" x14ac:dyDescent="0.35">
      <c r="A2353" t="str">
        <f>"2019-05-17"</f>
        <v>2019-05-17</v>
      </c>
      <c r="B2353" s="1" t="str">
        <f t="shared" si="36"/>
        <v>05/17/2019</v>
      </c>
      <c r="C2353" t="str">
        <f>"48.4478"</f>
        <v>48.4478</v>
      </c>
      <c r="D2353" s="1" t="s">
        <v>2344</v>
      </c>
      <c r="E2353" t="s">
        <v>6460</v>
      </c>
    </row>
    <row r="2354" spans="1:5" x14ac:dyDescent="0.35">
      <c r="A2354" t="str">
        <f>"2019-05-20"</f>
        <v>2019-05-20</v>
      </c>
      <c r="B2354" s="1" t="str">
        <f t="shared" si="36"/>
        <v>05/20/2019</v>
      </c>
      <c r="C2354" t="str">
        <f>"48.6207"</f>
        <v>48.6207</v>
      </c>
      <c r="D2354" s="1" t="s">
        <v>2345</v>
      </c>
      <c r="E2354" t="s">
        <v>6461</v>
      </c>
    </row>
    <row r="2355" spans="1:5" x14ac:dyDescent="0.35">
      <c r="A2355" t="str">
        <f>"2019-05-21"</f>
        <v>2019-05-21</v>
      </c>
      <c r="B2355" s="1" t="str">
        <f t="shared" si="36"/>
        <v>05/21/2019</v>
      </c>
      <c r="C2355" t="str">
        <f>"47.4805"</f>
        <v>47.4805</v>
      </c>
      <c r="D2355" s="1" t="s">
        <v>2346</v>
      </c>
      <c r="E2355" t="s">
        <v>6462</v>
      </c>
    </row>
    <row r="2356" spans="1:5" x14ac:dyDescent="0.35">
      <c r="A2356" t="str">
        <f>"2019-05-23"</f>
        <v>2019-05-23</v>
      </c>
      <c r="B2356" s="1" t="str">
        <f t="shared" si="36"/>
        <v>05/23/2019</v>
      </c>
      <c r="C2356" t="str">
        <f>"46.7075"</f>
        <v>46.7075</v>
      </c>
      <c r="D2356" s="1" t="s">
        <v>2347</v>
      </c>
      <c r="E2356" t="s">
        <v>6463</v>
      </c>
    </row>
    <row r="2357" spans="1:5" x14ac:dyDescent="0.35">
      <c r="A2357" t="str">
        <f>"2019-05-24"</f>
        <v>2019-05-24</v>
      </c>
      <c r="B2357" s="1" t="str">
        <f t="shared" si="36"/>
        <v>05/24/2019</v>
      </c>
      <c r="C2357" t="str">
        <f>"47.3973"</f>
        <v>47.3973</v>
      </c>
      <c r="D2357" s="1" t="s">
        <v>2348</v>
      </c>
      <c r="E2357" t="s">
        <v>6464</v>
      </c>
    </row>
    <row r="2358" spans="1:5" x14ac:dyDescent="0.35">
      <c r="A2358" t="str">
        <f>"2019-05-28"</f>
        <v>2019-05-28</v>
      </c>
      <c r="B2358" s="1" t="str">
        <f t="shared" si="36"/>
        <v>05/28/2019</v>
      </c>
      <c r="C2358" t="str">
        <f>"48.6465"</f>
        <v>48.6465</v>
      </c>
      <c r="D2358" s="1" t="s">
        <v>2349</v>
      </c>
      <c r="E2358" t="s">
        <v>6465</v>
      </c>
    </row>
    <row r="2359" spans="1:5" x14ac:dyDescent="0.35">
      <c r="A2359" t="str">
        <f>"2019-05-29"</f>
        <v>2019-05-29</v>
      </c>
      <c r="B2359" s="1" t="str">
        <f t="shared" si="36"/>
        <v>05/29/2019</v>
      </c>
      <c r="C2359" t="str">
        <f>"48.9823"</f>
        <v>48.9823</v>
      </c>
      <c r="D2359" s="1" t="s">
        <v>2350</v>
      </c>
      <c r="E2359" t="s">
        <v>6466</v>
      </c>
    </row>
    <row r="2360" spans="1:5" x14ac:dyDescent="0.35">
      <c r="A2360" t="str">
        <f>"2019-05-30"</f>
        <v>2019-05-30</v>
      </c>
      <c r="B2360" s="1" t="str">
        <f t="shared" si="36"/>
        <v>05/30/2019</v>
      </c>
      <c r="C2360" t="str">
        <f>"49.8044"</f>
        <v>49.8044</v>
      </c>
      <c r="D2360" s="1" t="s">
        <v>2351</v>
      </c>
      <c r="E2360" t="s">
        <v>6467</v>
      </c>
    </row>
    <row r="2361" spans="1:5" x14ac:dyDescent="0.35">
      <c r="A2361" t="str">
        <f>"2019-05-31"</f>
        <v>2019-05-31</v>
      </c>
      <c r="B2361" s="1" t="str">
        <f t="shared" si="36"/>
        <v>05/31/2019</v>
      </c>
      <c r="C2361" t="str">
        <f>"50.2778"</f>
        <v>50.2778</v>
      </c>
      <c r="D2361" s="1" t="s">
        <v>2352</v>
      </c>
      <c r="E2361" t="s">
        <v>6468</v>
      </c>
    </row>
    <row r="2362" spans="1:5" x14ac:dyDescent="0.35">
      <c r="A2362" t="str">
        <f>"2019-06-03"</f>
        <v>2019-06-03</v>
      </c>
      <c r="B2362" s="1" t="str">
        <f t="shared" si="36"/>
        <v>06/03/2019</v>
      </c>
      <c r="C2362" t="str">
        <f>"49.8846"</f>
        <v>49.8846</v>
      </c>
      <c r="D2362" s="1" t="s">
        <v>2353</v>
      </c>
      <c r="E2362" t="s">
        <v>6469</v>
      </c>
    </row>
    <row r="2363" spans="1:5" x14ac:dyDescent="0.35">
      <c r="A2363" t="str">
        <f>"2019-06-04"</f>
        <v>2019-06-04</v>
      </c>
      <c r="B2363" s="1" t="str">
        <f t="shared" si="36"/>
        <v>06/04/2019</v>
      </c>
      <c r="C2363" t="str">
        <f>"50.1078"</f>
        <v>50.1078</v>
      </c>
      <c r="D2363" s="1" t="s">
        <v>2354</v>
      </c>
      <c r="E2363" t="s">
        <v>6470</v>
      </c>
    </row>
    <row r="2364" spans="1:5" x14ac:dyDescent="0.35">
      <c r="A2364" t="str">
        <f>"2019-06-05"</f>
        <v>2019-06-05</v>
      </c>
      <c r="B2364" s="1" t="str">
        <f t="shared" si="36"/>
        <v>06/05/2019</v>
      </c>
      <c r="C2364" t="str">
        <f>"50.4432"</f>
        <v>50.4432</v>
      </c>
      <c r="D2364" s="1" t="s">
        <v>2355</v>
      </c>
      <c r="E2364" t="s">
        <v>6471</v>
      </c>
    </row>
    <row r="2365" spans="1:5" x14ac:dyDescent="0.35">
      <c r="A2365" t="str">
        <f>"2019-06-06"</f>
        <v>2019-06-06</v>
      </c>
      <c r="B2365" s="1" t="str">
        <f t="shared" si="36"/>
        <v>06/06/2019</v>
      </c>
      <c r="C2365" t="str">
        <f>"50.5905"</f>
        <v>50.5905</v>
      </c>
      <c r="D2365" s="1" t="s">
        <v>2356</v>
      </c>
      <c r="E2365" t="s">
        <v>6472</v>
      </c>
    </row>
    <row r="2366" spans="1:5" x14ac:dyDescent="0.35">
      <c r="A2366" t="str">
        <f>"2019-06-07"</f>
        <v>2019-06-07</v>
      </c>
      <c r="B2366" s="1" t="str">
        <f t="shared" si="36"/>
        <v>06/07/2019</v>
      </c>
      <c r="C2366" t="str">
        <f>"52.0966"</f>
        <v>52.0966</v>
      </c>
      <c r="D2366" s="1" t="s">
        <v>2357</v>
      </c>
      <c r="E2366" t="s">
        <v>6473</v>
      </c>
    </row>
    <row r="2367" spans="1:5" x14ac:dyDescent="0.35">
      <c r="A2367" t="str">
        <f>"2019-06-10"</f>
        <v>2019-06-10</v>
      </c>
      <c r="B2367" s="1" t="str">
        <f t="shared" si="36"/>
        <v>06/10/2019</v>
      </c>
      <c r="C2367" t="str">
        <f>"53.2551"</f>
        <v>53.2551</v>
      </c>
      <c r="D2367" s="1" t="s">
        <v>2358</v>
      </c>
      <c r="E2367" t="s">
        <v>6474</v>
      </c>
    </row>
    <row r="2368" spans="1:5" x14ac:dyDescent="0.35">
      <c r="A2368" t="str">
        <f>"2019-06-11"</f>
        <v>2019-06-11</v>
      </c>
      <c r="B2368" s="1" t="str">
        <f t="shared" si="36"/>
        <v>06/11/2019</v>
      </c>
      <c r="C2368" t="str">
        <f>"52.3549"</f>
        <v>52.3549</v>
      </c>
      <c r="D2368" s="1" t="s">
        <v>2359</v>
      </c>
      <c r="E2368" t="s">
        <v>6475</v>
      </c>
    </row>
    <row r="2369" spans="1:5" x14ac:dyDescent="0.35">
      <c r="A2369" t="str">
        <f>"2019-06-12"</f>
        <v>2019-06-12</v>
      </c>
      <c r="B2369" s="1" t="str">
        <f t="shared" si="36"/>
        <v>06/12/2019</v>
      </c>
      <c r="C2369" t="str">
        <f>"52.1006"</f>
        <v>52.1006</v>
      </c>
      <c r="D2369" s="1" t="s">
        <v>2360</v>
      </c>
      <c r="E2369" t="s">
        <v>6476</v>
      </c>
    </row>
    <row r="2370" spans="1:5" x14ac:dyDescent="0.35">
      <c r="A2370" t="str">
        <f>"2019-06-13"</f>
        <v>2019-06-13</v>
      </c>
      <c r="B2370" s="1" t="str">
        <f t="shared" si="36"/>
        <v>06/13/2019</v>
      </c>
      <c r="C2370" t="str">
        <f>"50.6238"</f>
        <v>50.6238</v>
      </c>
      <c r="D2370" s="1" t="s">
        <v>2361</v>
      </c>
      <c r="E2370" t="s">
        <v>6477</v>
      </c>
    </row>
    <row r="2371" spans="1:5" x14ac:dyDescent="0.35">
      <c r="A2371" t="str">
        <f>"2019-06-14"</f>
        <v>2019-06-14</v>
      </c>
      <c r="B2371" s="1" t="str">
        <f t="shared" ref="B2371:B2434" si="37">LEFT(RIGHT(A2371,5),2)&amp;"/"&amp;RIGHT(A2371,2)&amp;"/"&amp;LEFT(A2371,4)</f>
        <v>06/14/2019</v>
      </c>
      <c r="C2371" t="str">
        <f>"50.2046"</f>
        <v>50.2046</v>
      </c>
      <c r="D2371" s="1" t="s">
        <v>2362</v>
      </c>
      <c r="E2371" t="s">
        <v>6478</v>
      </c>
    </row>
    <row r="2372" spans="1:5" x14ac:dyDescent="0.35">
      <c r="A2372" t="str">
        <f>"2019-06-17"</f>
        <v>2019-06-17</v>
      </c>
      <c r="B2372" s="1" t="str">
        <f t="shared" si="37"/>
        <v>06/17/2019</v>
      </c>
      <c r="C2372" t="str">
        <f>"51.1732"</f>
        <v>51.1732</v>
      </c>
      <c r="D2372" s="1" t="s">
        <v>2363</v>
      </c>
      <c r="E2372" t="s">
        <v>6479</v>
      </c>
    </row>
    <row r="2373" spans="1:5" x14ac:dyDescent="0.35">
      <c r="A2373" t="str">
        <f>"2019-06-18"</f>
        <v>2019-06-18</v>
      </c>
      <c r="B2373" s="1" t="str">
        <f t="shared" si="37"/>
        <v>06/18/2019</v>
      </c>
      <c r="C2373" t="str">
        <f>"51.9808"</f>
        <v>51.9808</v>
      </c>
      <c r="D2373" s="1" t="s">
        <v>2364</v>
      </c>
      <c r="E2373" t="s">
        <v>6480</v>
      </c>
    </row>
    <row r="2374" spans="1:5" x14ac:dyDescent="0.35">
      <c r="A2374" t="str">
        <f>"2019-06-19"</f>
        <v>2019-06-19</v>
      </c>
      <c r="B2374" s="1" t="str">
        <f t="shared" si="37"/>
        <v>06/19/2019</v>
      </c>
      <c r="C2374" t="str">
        <f>"51.4563"</f>
        <v>51.4563</v>
      </c>
      <c r="D2374" s="1" t="s">
        <v>2365</v>
      </c>
      <c r="E2374" t="s">
        <v>6481</v>
      </c>
    </row>
    <row r="2375" spans="1:5" x14ac:dyDescent="0.35">
      <c r="A2375" t="str">
        <f>"2019-06-20"</f>
        <v>2019-06-20</v>
      </c>
      <c r="B2375" s="1" t="str">
        <f t="shared" si="37"/>
        <v>06/20/2019</v>
      </c>
      <c r="C2375" t="str">
        <f>"50.2026"</f>
        <v>50.2026</v>
      </c>
      <c r="D2375" s="1" t="s">
        <v>2366</v>
      </c>
      <c r="E2375" t="s">
        <v>6482</v>
      </c>
    </row>
    <row r="2376" spans="1:5" x14ac:dyDescent="0.35">
      <c r="A2376" t="str">
        <f>"2019-06-21"</f>
        <v>2019-06-21</v>
      </c>
      <c r="B2376" s="1" t="str">
        <f t="shared" si="37"/>
        <v>06/21/2019</v>
      </c>
      <c r="C2376" t="str">
        <f>"49.4689"</f>
        <v>49.4689</v>
      </c>
      <c r="D2376" s="1" t="s">
        <v>2367</v>
      </c>
      <c r="E2376" t="s">
        <v>6483</v>
      </c>
    </row>
    <row r="2377" spans="1:5" x14ac:dyDescent="0.35">
      <c r="A2377" t="str">
        <f>"2019-06-24"</f>
        <v>2019-06-24</v>
      </c>
      <c r="B2377" s="1" t="str">
        <f t="shared" si="37"/>
        <v>06/24/2019</v>
      </c>
      <c r="C2377" t="str">
        <f>"49.1775"</f>
        <v>49.1775</v>
      </c>
      <c r="D2377" s="1" t="s">
        <v>2368</v>
      </c>
      <c r="E2377" t="s">
        <v>6484</v>
      </c>
    </row>
    <row r="2378" spans="1:5" x14ac:dyDescent="0.35">
      <c r="A2378" t="str">
        <f>"2019-06-25"</f>
        <v>2019-06-25</v>
      </c>
      <c r="B2378" s="1" t="str">
        <f t="shared" si="37"/>
        <v>06/25/2019</v>
      </c>
      <c r="C2378" t="str">
        <f>"48.3315"</f>
        <v>48.3315</v>
      </c>
      <c r="D2378" s="1" t="s">
        <v>2369</v>
      </c>
      <c r="E2378" t="s">
        <v>6485</v>
      </c>
    </row>
    <row r="2379" spans="1:5" x14ac:dyDescent="0.35">
      <c r="A2379" t="str">
        <f>"2019-06-26"</f>
        <v>2019-06-26</v>
      </c>
      <c r="B2379" s="1" t="str">
        <f t="shared" si="37"/>
        <v>06/26/2019</v>
      </c>
      <c r="C2379" t="str">
        <f>"47.4647"</f>
        <v>47.4647</v>
      </c>
      <c r="D2379" s="1" t="s">
        <v>2370</v>
      </c>
      <c r="E2379" t="s">
        <v>6486</v>
      </c>
    </row>
    <row r="2380" spans="1:5" x14ac:dyDescent="0.35">
      <c r="A2380" t="str">
        <f>"2019-06-27"</f>
        <v>2019-06-27</v>
      </c>
      <c r="B2380" s="1" t="str">
        <f t="shared" si="37"/>
        <v>06/27/2019</v>
      </c>
      <c r="C2380" t="str">
        <f>"48.3329"</f>
        <v>48.3329</v>
      </c>
      <c r="D2380" s="1" t="s">
        <v>2371</v>
      </c>
      <c r="E2380" t="s">
        <v>6487</v>
      </c>
    </row>
    <row r="2381" spans="1:5" x14ac:dyDescent="0.35">
      <c r="A2381" t="str">
        <f>"2019-06-28"</f>
        <v>2019-06-28</v>
      </c>
      <c r="B2381" s="1" t="str">
        <f t="shared" si="37"/>
        <v>06/28/2019</v>
      </c>
      <c r="C2381" t="str">
        <f>"49.2747"</f>
        <v>49.2747</v>
      </c>
      <c r="D2381" s="1" t="s">
        <v>2372</v>
      </c>
      <c r="E2381" t="s">
        <v>6488</v>
      </c>
    </row>
    <row r="2382" spans="1:5" x14ac:dyDescent="0.35">
      <c r="A2382" t="str">
        <f>"2019-07-01"</f>
        <v>2019-07-01</v>
      </c>
      <c r="B2382" s="1" t="str">
        <f t="shared" si="37"/>
        <v>07/01/2019</v>
      </c>
      <c r="C2382" t="str">
        <f>"51.5621"</f>
        <v>51.5621</v>
      </c>
      <c r="D2382" s="1" t="s">
        <v>2373</v>
      </c>
      <c r="E2382" t="s">
        <v>6489</v>
      </c>
    </row>
    <row r="2383" spans="1:5" x14ac:dyDescent="0.35">
      <c r="A2383" t="str">
        <f>"2019-07-02"</f>
        <v>2019-07-02</v>
      </c>
      <c r="B2383" s="1" t="str">
        <f t="shared" si="37"/>
        <v>07/02/2019</v>
      </c>
      <c r="C2383" t="str">
        <f>"52.8545"</f>
        <v>52.8545</v>
      </c>
      <c r="D2383" s="1" t="s">
        <v>2374</v>
      </c>
      <c r="E2383" t="s">
        <v>6490</v>
      </c>
    </row>
    <row r="2384" spans="1:5" x14ac:dyDescent="0.35">
      <c r="A2384" t="str">
        <f>"2019-07-03"</f>
        <v>2019-07-03</v>
      </c>
      <c r="B2384" s="1" t="str">
        <f t="shared" si="37"/>
        <v>07/03/2019</v>
      </c>
      <c r="C2384" t="str">
        <f>"51.2286"</f>
        <v>51.2286</v>
      </c>
      <c r="D2384" s="1" t="s">
        <v>2375</v>
      </c>
      <c r="E2384" t="s">
        <v>6491</v>
      </c>
    </row>
    <row r="2385" spans="1:5" x14ac:dyDescent="0.35">
      <c r="A2385" t="str">
        <f>"2019-07-05"</f>
        <v>2019-07-05</v>
      </c>
      <c r="B2385" s="1" t="str">
        <f t="shared" si="37"/>
        <v>07/05/2019</v>
      </c>
      <c r="C2385" t="str">
        <f>"53.0925"</f>
        <v>53.0925</v>
      </c>
      <c r="D2385" s="1" t="s">
        <v>2376</v>
      </c>
      <c r="E2385" t="s">
        <v>6492</v>
      </c>
    </row>
    <row r="2386" spans="1:5" x14ac:dyDescent="0.35">
      <c r="A2386" t="str">
        <f>"2019-07-08"</f>
        <v>2019-07-08</v>
      </c>
      <c r="B2386" s="1" t="str">
        <f t="shared" si="37"/>
        <v>07/08/2019</v>
      </c>
      <c r="C2386" t="str">
        <f>"50.0938"</f>
        <v>50.0938</v>
      </c>
      <c r="D2386" s="1" t="s">
        <v>2377</v>
      </c>
      <c r="E2386" t="s">
        <v>6493</v>
      </c>
    </row>
    <row r="2387" spans="1:5" x14ac:dyDescent="0.35">
      <c r="A2387" t="str">
        <f>"2019-07-09"</f>
        <v>2019-07-09</v>
      </c>
      <c r="B2387" s="1" t="str">
        <f t="shared" si="37"/>
        <v>07/09/2019</v>
      </c>
      <c r="C2387" t="str">
        <f>"47.6168"</f>
        <v>47.6168</v>
      </c>
      <c r="D2387" s="1" t="s">
        <v>2378</v>
      </c>
      <c r="E2387" t="s">
        <v>6494</v>
      </c>
    </row>
    <row r="2388" spans="1:5" x14ac:dyDescent="0.35">
      <c r="A2388" t="str">
        <f>"2019-07-10"</f>
        <v>2019-07-10</v>
      </c>
      <c r="B2388" s="1" t="str">
        <f t="shared" si="37"/>
        <v>07/10/2019</v>
      </c>
      <c r="C2388" t="str">
        <f>"47.6146"</f>
        <v>47.6146</v>
      </c>
      <c r="D2388" s="1" t="s">
        <v>2379</v>
      </c>
      <c r="E2388" t="s">
        <v>6495</v>
      </c>
    </row>
    <row r="2389" spans="1:5" x14ac:dyDescent="0.35">
      <c r="A2389" t="str">
        <f>"2019-07-11"</f>
        <v>2019-07-11</v>
      </c>
      <c r="B2389" s="1" t="str">
        <f t="shared" si="37"/>
        <v>07/11/2019</v>
      </c>
      <c r="C2389" t="str">
        <f>"47.8427"</f>
        <v>47.8427</v>
      </c>
      <c r="D2389" s="1" t="s">
        <v>2380</v>
      </c>
      <c r="E2389" t="s">
        <v>6496</v>
      </c>
    </row>
    <row r="2390" spans="1:5" x14ac:dyDescent="0.35">
      <c r="A2390" t="str">
        <f>"2019-07-12"</f>
        <v>2019-07-12</v>
      </c>
      <c r="B2390" s="1" t="str">
        <f t="shared" si="37"/>
        <v>07/12/2019</v>
      </c>
      <c r="C2390" t="str">
        <f>"46.3102"</f>
        <v>46.3102</v>
      </c>
      <c r="D2390" s="1" t="s">
        <v>2381</v>
      </c>
      <c r="E2390" t="s">
        <v>6497</v>
      </c>
    </row>
    <row r="2391" spans="1:5" x14ac:dyDescent="0.35">
      <c r="A2391" t="str">
        <f>"2019-07-15"</f>
        <v>2019-07-15</v>
      </c>
      <c r="B2391" s="1" t="str">
        <f t="shared" si="37"/>
        <v>07/15/2019</v>
      </c>
      <c r="C2391" t="str">
        <f>"45.963"</f>
        <v>45.963</v>
      </c>
      <c r="D2391" s="1" t="s">
        <v>2382</v>
      </c>
      <c r="E2391" t="s">
        <v>6498</v>
      </c>
    </row>
    <row r="2392" spans="1:5" x14ac:dyDescent="0.35">
      <c r="A2392" t="str">
        <f>"2019-07-16"</f>
        <v>2019-07-16</v>
      </c>
      <c r="B2392" s="1" t="str">
        <f t="shared" si="37"/>
        <v>07/16/2019</v>
      </c>
      <c r="C2392" t="str">
        <f>"47.9564"</f>
        <v>47.9564</v>
      </c>
      <c r="D2392" s="1" t="s">
        <v>2383</v>
      </c>
      <c r="E2392" t="s">
        <v>6499</v>
      </c>
    </row>
    <row r="2393" spans="1:5" x14ac:dyDescent="0.35">
      <c r="A2393" t="str">
        <f>"2019-07-17"</f>
        <v>2019-07-17</v>
      </c>
      <c r="B2393" s="1" t="str">
        <f t="shared" si="37"/>
        <v>07/17/2019</v>
      </c>
      <c r="C2393" t="str">
        <f>"48.6759"</f>
        <v>48.6759</v>
      </c>
      <c r="D2393" s="1" t="s">
        <v>2384</v>
      </c>
      <c r="E2393" t="s">
        <v>6500</v>
      </c>
    </row>
    <row r="2394" spans="1:5" x14ac:dyDescent="0.35">
      <c r="A2394" t="str">
        <f>"2019-07-18"</f>
        <v>2019-07-18</v>
      </c>
      <c r="B2394" s="1" t="str">
        <f t="shared" si="37"/>
        <v>07/18/2019</v>
      </c>
      <c r="C2394" t="str">
        <f>"50.1216"</f>
        <v>50.1216</v>
      </c>
      <c r="D2394" s="1" t="s">
        <v>2385</v>
      </c>
      <c r="E2394" t="s">
        <v>6501</v>
      </c>
    </row>
    <row r="2395" spans="1:5" x14ac:dyDescent="0.35">
      <c r="A2395" t="str">
        <f>"2019-07-19"</f>
        <v>2019-07-19</v>
      </c>
      <c r="B2395" s="1" t="str">
        <f t="shared" si="37"/>
        <v>07/19/2019</v>
      </c>
      <c r="C2395" t="str">
        <f>"50.3074"</f>
        <v>50.3074</v>
      </c>
      <c r="D2395" s="1" t="s">
        <v>2386</v>
      </c>
      <c r="E2395" t="s">
        <v>6502</v>
      </c>
    </row>
    <row r="2396" spans="1:5" x14ac:dyDescent="0.35">
      <c r="A2396" t="str">
        <f>"2019-07-22"</f>
        <v>2019-07-22</v>
      </c>
      <c r="B2396" s="1" t="str">
        <f t="shared" si="37"/>
        <v>07/22/2019</v>
      </c>
      <c r="C2396" t="str">
        <f>"49.2122"</f>
        <v>49.2122</v>
      </c>
      <c r="D2396" s="1" t="s">
        <v>2387</v>
      </c>
      <c r="E2396" t="s">
        <v>6503</v>
      </c>
    </row>
    <row r="2397" spans="1:5" x14ac:dyDescent="0.35">
      <c r="A2397" t="str">
        <f>"2019-07-23"</f>
        <v>2019-07-23</v>
      </c>
      <c r="B2397" s="1" t="str">
        <f t="shared" si="37"/>
        <v>07/23/2019</v>
      </c>
      <c r="C2397" t="str">
        <f>"50.4146"</f>
        <v>50.4146</v>
      </c>
      <c r="D2397" s="1" t="s">
        <v>2388</v>
      </c>
      <c r="E2397" t="s">
        <v>6504</v>
      </c>
    </row>
    <row r="2398" spans="1:5" x14ac:dyDescent="0.35">
      <c r="A2398" t="str">
        <f>"2019-07-24"</f>
        <v>2019-07-24</v>
      </c>
      <c r="B2398" s="1" t="str">
        <f t="shared" si="37"/>
        <v>07/24/2019</v>
      </c>
      <c r="C2398" t="str">
        <f>"49.513"</f>
        <v>49.513</v>
      </c>
      <c r="D2398" s="1" t="s">
        <v>2389</v>
      </c>
      <c r="E2398" t="s">
        <v>6505</v>
      </c>
    </row>
    <row r="2399" spans="1:5" x14ac:dyDescent="0.35">
      <c r="A2399" t="str">
        <f>"2019-07-25"</f>
        <v>2019-07-25</v>
      </c>
      <c r="B2399" s="1" t="str">
        <f t="shared" si="37"/>
        <v>07/25/2019</v>
      </c>
      <c r="C2399" t="str">
        <f>"48.7438"</f>
        <v>48.7438</v>
      </c>
      <c r="D2399" s="1" t="s">
        <v>2390</v>
      </c>
      <c r="E2399" t="s">
        <v>6506</v>
      </c>
    </row>
    <row r="2400" spans="1:5" x14ac:dyDescent="0.35">
      <c r="A2400" t="str">
        <f>"2019-07-26"</f>
        <v>2019-07-26</v>
      </c>
      <c r="B2400" s="1" t="str">
        <f t="shared" si="37"/>
        <v>07/26/2019</v>
      </c>
      <c r="C2400" t="str">
        <f>"49.1012"</f>
        <v>49.1012</v>
      </c>
      <c r="D2400" s="1" t="s">
        <v>2391</v>
      </c>
      <c r="E2400" t="s">
        <v>6507</v>
      </c>
    </row>
    <row r="2401" spans="1:5" x14ac:dyDescent="0.35">
      <c r="A2401" t="str">
        <f>"2019-07-29"</f>
        <v>2019-07-29</v>
      </c>
      <c r="B2401" s="1" t="str">
        <f t="shared" si="37"/>
        <v>07/29/2019</v>
      </c>
      <c r="C2401" t="str">
        <f>"49.4654"</f>
        <v>49.4654</v>
      </c>
      <c r="D2401" s="1" t="s">
        <v>2392</v>
      </c>
      <c r="E2401" t="s">
        <v>6508</v>
      </c>
    </row>
    <row r="2402" spans="1:5" x14ac:dyDescent="0.35">
      <c r="A2402" t="str">
        <f>"2019-07-30"</f>
        <v>2019-07-30</v>
      </c>
      <c r="B2402" s="1" t="str">
        <f t="shared" si="37"/>
        <v>07/30/2019</v>
      </c>
      <c r="C2402" t="str">
        <f>"49.3426"</f>
        <v>49.3426</v>
      </c>
      <c r="D2402" s="1" t="s">
        <v>2393</v>
      </c>
      <c r="E2402" t="s">
        <v>6509</v>
      </c>
    </row>
    <row r="2403" spans="1:5" x14ac:dyDescent="0.35">
      <c r="A2403" t="str">
        <f>"2019-07-31"</f>
        <v>2019-07-31</v>
      </c>
      <c r="B2403" s="1" t="str">
        <f t="shared" si="37"/>
        <v>07/31/2019</v>
      </c>
      <c r="C2403" t="str">
        <f>"48.9362"</f>
        <v>48.9362</v>
      </c>
      <c r="D2403" s="1" t="s">
        <v>2394</v>
      </c>
      <c r="E2403" t="s">
        <v>6510</v>
      </c>
    </row>
    <row r="2404" spans="1:5" x14ac:dyDescent="0.35">
      <c r="A2404" t="str">
        <f>"2019-08-01"</f>
        <v>2019-08-01</v>
      </c>
      <c r="B2404" s="1" t="str">
        <f t="shared" si="37"/>
        <v>08/01/2019</v>
      </c>
      <c r="C2404" t="str">
        <f>"48.763"</f>
        <v>48.763</v>
      </c>
      <c r="D2404" s="1" t="s">
        <v>2395</v>
      </c>
      <c r="E2404" t="s">
        <v>6511</v>
      </c>
    </row>
    <row r="2405" spans="1:5" x14ac:dyDescent="0.35">
      <c r="A2405" t="str">
        <f>"2019-08-02"</f>
        <v>2019-08-02</v>
      </c>
      <c r="B2405" s="1" t="str">
        <f t="shared" si="37"/>
        <v>08/02/2019</v>
      </c>
      <c r="C2405" t="str">
        <f>"47.2621"</f>
        <v>47.2621</v>
      </c>
      <c r="D2405" s="1" t="s">
        <v>2396</v>
      </c>
      <c r="E2405" t="s">
        <v>6512</v>
      </c>
    </row>
    <row r="2406" spans="1:5" x14ac:dyDescent="0.35">
      <c r="A2406" t="str">
        <f>"2019-08-05"</f>
        <v>2019-08-05</v>
      </c>
      <c r="B2406" s="1" t="str">
        <f t="shared" si="37"/>
        <v>08/05/2019</v>
      </c>
      <c r="C2406" t="str">
        <f>"47.8086"</f>
        <v>47.8086</v>
      </c>
      <c r="D2406" s="1" t="s">
        <v>2397</v>
      </c>
      <c r="E2406" t="s">
        <v>6513</v>
      </c>
    </row>
    <row r="2407" spans="1:5" x14ac:dyDescent="0.35">
      <c r="A2407" t="str">
        <f>"2019-08-06"</f>
        <v>2019-08-06</v>
      </c>
      <c r="B2407" s="1" t="str">
        <f t="shared" si="37"/>
        <v>08/06/2019</v>
      </c>
      <c r="C2407" t="str">
        <f>"46.7818"</f>
        <v>46.7818</v>
      </c>
      <c r="D2407" s="1" t="s">
        <v>2398</v>
      </c>
      <c r="E2407" t="s">
        <v>6514</v>
      </c>
    </row>
    <row r="2408" spans="1:5" x14ac:dyDescent="0.35">
      <c r="A2408" t="str">
        <f>"2019-08-07"</f>
        <v>2019-08-07</v>
      </c>
      <c r="B2408" s="1" t="str">
        <f t="shared" si="37"/>
        <v>08/07/2019</v>
      </c>
      <c r="C2408" t="str">
        <f>"44.8043"</f>
        <v>44.8043</v>
      </c>
      <c r="D2408" s="1" t="s">
        <v>2399</v>
      </c>
      <c r="E2408" t="s">
        <v>6515</v>
      </c>
    </row>
    <row r="2409" spans="1:5" x14ac:dyDescent="0.35">
      <c r="A2409" t="str">
        <f>"2019-08-08"</f>
        <v>2019-08-08</v>
      </c>
      <c r="B2409" s="1" t="str">
        <f t="shared" si="37"/>
        <v>08/08/2019</v>
      </c>
      <c r="C2409" t="str">
        <f>"45.5249"</f>
        <v>45.5249</v>
      </c>
      <c r="D2409" s="1" t="s">
        <v>2400</v>
      </c>
      <c r="E2409" t="s">
        <v>6516</v>
      </c>
    </row>
    <row r="2410" spans="1:5" x14ac:dyDescent="0.35">
      <c r="A2410" t="str">
        <f>"2019-08-09"</f>
        <v>2019-08-09</v>
      </c>
      <c r="B2410" s="1" t="str">
        <f t="shared" si="37"/>
        <v>08/09/2019</v>
      </c>
      <c r="C2410" t="str">
        <f>"46.0399"</f>
        <v>46.0399</v>
      </c>
      <c r="D2410" s="1" t="s">
        <v>2401</v>
      </c>
      <c r="E2410" t="s">
        <v>6517</v>
      </c>
    </row>
    <row r="2411" spans="1:5" x14ac:dyDescent="0.35">
      <c r="A2411" t="str">
        <f>"2019-08-12"</f>
        <v>2019-08-12</v>
      </c>
      <c r="B2411" s="1" t="str">
        <f t="shared" si="37"/>
        <v>08/12/2019</v>
      </c>
      <c r="C2411" t="str">
        <f>"45.7502"</f>
        <v>45.7502</v>
      </c>
      <c r="D2411" s="1" t="s">
        <v>2402</v>
      </c>
      <c r="E2411" t="s">
        <v>6518</v>
      </c>
    </row>
    <row r="2412" spans="1:5" x14ac:dyDescent="0.35">
      <c r="A2412" t="str">
        <f>"2019-08-13"</f>
        <v>2019-08-13</v>
      </c>
      <c r="B2412" s="1" t="str">
        <f t="shared" si="37"/>
        <v>08/13/2019</v>
      </c>
      <c r="C2412" t="str">
        <f>"45.2186"</f>
        <v>45.2186</v>
      </c>
      <c r="D2412" s="1" t="s">
        <v>2403</v>
      </c>
      <c r="E2412" t="s">
        <v>6519</v>
      </c>
    </row>
    <row r="2413" spans="1:5" x14ac:dyDescent="0.35">
      <c r="A2413" t="str">
        <f>"2019-08-14"</f>
        <v>2019-08-14</v>
      </c>
      <c r="B2413" s="1" t="str">
        <f t="shared" si="37"/>
        <v>08/14/2019</v>
      </c>
      <c r="C2413" t="str">
        <f>"44.8176"</f>
        <v>44.8176</v>
      </c>
      <c r="D2413" s="1" t="s">
        <v>2404</v>
      </c>
      <c r="E2413" t="s">
        <v>6520</v>
      </c>
    </row>
    <row r="2414" spans="1:5" x14ac:dyDescent="0.35">
      <c r="A2414" t="str">
        <f>"2019-08-15"</f>
        <v>2019-08-15</v>
      </c>
      <c r="B2414" s="1" t="str">
        <f t="shared" si="37"/>
        <v>08/15/2019</v>
      </c>
      <c r="C2414" t="str">
        <f>"42.9651"</f>
        <v>42.9651</v>
      </c>
      <c r="D2414" s="1" t="s">
        <v>2405</v>
      </c>
      <c r="E2414" t="s">
        <v>6521</v>
      </c>
    </row>
    <row r="2415" spans="1:5" x14ac:dyDescent="0.35">
      <c r="A2415" t="str">
        <f>"2019-08-16"</f>
        <v>2019-08-16</v>
      </c>
      <c r="B2415" s="1" t="str">
        <f t="shared" si="37"/>
        <v>08/16/2019</v>
      </c>
      <c r="C2415" t="str">
        <f>"42.1692"</f>
        <v>42.1692</v>
      </c>
      <c r="D2415" s="1" t="s">
        <v>2406</v>
      </c>
      <c r="E2415" t="s">
        <v>6522</v>
      </c>
    </row>
    <row r="2416" spans="1:5" x14ac:dyDescent="0.35">
      <c r="A2416" t="str">
        <f>"2019-08-19"</f>
        <v>2019-08-19</v>
      </c>
      <c r="B2416" s="1" t="str">
        <f t="shared" si="37"/>
        <v>08/19/2019</v>
      </c>
      <c r="C2416" t="str">
        <f>"41.5256"</f>
        <v>41.5256</v>
      </c>
      <c r="D2416" s="1" t="s">
        <v>2407</v>
      </c>
      <c r="E2416" t="s">
        <v>6523</v>
      </c>
    </row>
    <row r="2417" spans="1:5" x14ac:dyDescent="0.35">
      <c r="A2417" t="str">
        <f>"2019-08-20"</f>
        <v>2019-08-20</v>
      </c>
      <c r="B2417" s="1" t="str">
        <f t="shared" si="37"/>
        <v>08/20/2019</v>
      </c>
      <c r="C2417" t="str">
        <f>"41.0218"</f>
        <v>41.0218</v>
      </c>
      <c r="D2417" s="1" t="s">
        <v>2408</v>
      </c>
      <c r="E2417" t="s">
        <v>6524</v>
      </c>
    </row>
    <row r="2418" spans="1:5" x14ac:dyDescent="0.35">
      <c r="A2418" t="str">
        <f>"2019-08-21"</f>
        <v>2019-08-21</v>
      </c>
      <c r="B2418" s="1" t="str">
        <f t="shared" si="37"/>
        <v>08/21/2019</v>
      </c>
      <c r="C2418" t="str">
        <f>"40.1407"</f>
        <v>40.1407</v>
      </c>
      <c r="D2418" s="1" t="s">
        <v>2409</v>
      </c>
      <c r="E2418" t="s">
        <v>6525</v>
      </c>
    </row>
    <row r="2419" spans="1:5" x14ac:dyDescent="0.35">
      <c r="A2419" t="str">
        <f>"2019-08-22"</f>
        <v>2019-08-22</v>
      </c>
      <c r="B2419" s="1" t="str">
        <f t="shared" si="37"/>
        <v>08/22/2019</v>
      </c>
      <c r="C2419" t="str">
        <f>"40.8204"</f>
        <v>40.8204</v>
      </c>
      <c r="D2419" s="1" t="s">
        <v>2410</v>
      </c>
      <c r="E2419" t="s">
        <v>6526</v>
      </c>
    </row>
    <row r="2420" spans="1:5" x14ac:dyDescent="0.35">
      <c r="A2420" t="str">
        <f>"2019-08-23"</f>
        <v>2019-08-23</v>
      </c>
      <c r="B2420" s="1" t="str">
        <f t="shared" si="37"/>
        <v>08/23/2019</v>
      </c>
      <c r="C2420" t="str">
        <f>"39.5612"</f>
        <v>39.5612</v>
      </c>
      <c r="D2420" s="1" t="s">
        <v>2411</v>
      </c>
      <c r="E2420" t="s">
        <v>6527</v>
      </c>
    </row>
    <row r="2421" spans="1:5" x14ac:dyDescent="0.35">
      <c r="A2421" t="str">
        <f>"2019-08-26"</f>
        <v>2019-08-26</v>
      </c>
      <c r="B2421" s="1" t="str">
        <f t="shared" si="37"/>
        <v>08/26/2019</v>
      </c>
      <c r="C2421" t="str">
        <f>"40.4896"</f>
        <v>40.4896</v>
      </c>
      <c r="D2421" s="1" t="s">
        <v>2412</v>
      </c>
      <c r="E2421" t="s">
        <v>6528</v>
      </c>
    </row>
    <row r="2422" spans="1:5" x14ac:dyDescent="0.35">
      <c r="A2422" t="str">
        <f>"2019-08-27"</f>
        <v>2019-08-27</v>
      </c>
      <c r="B2422" s="1" t="str">
        <f t="shared" si="37"/>
        <v>08/27/2019</v>
      </c>
      <c r="C2422" t="str">
        <f>"40.032"</f>
        <v>40.032</v>
      </c>
      <c r="D2422" s="1" t="s">
        <v>2413</v>
      </c>
      <c r="E2422" t="s">
        <v>6529</v>
      </c>
    </row>
    <row r="2423" spans="1:5" x14ac:dyDescent="0.35">
      <c r="A2423" t="str">
        <f>"2019-08-28"</f>
        <v>2019-08-28</v>
      </c>
      <c r="B2423" s="1" t="str">
        <f t="shared" si="37"/>
        <v>08/28/2019</v>
      </c>
      <c r="C2423" t="str">
        <f>"39.3717"</f>
        <v>39.3717</v>
      </c>
      <c r="D2423" s="1" t="s">
        <v>2414</v>
      </c>
      <c r="E2423" t="s">
        <v>6530</v>
      </c>
    </row>
    <row r="2424" spans="1:5" x14ac:dyDescent="0.35">
      <c r="A2424" t="str">
        <f>"2019-08-29"</f>
        <v>2019-08-29</v>
      </c>
      <c r="B2424" s="1" t="str">
        <f t="shared" si="37"/>
        <v>08/29/2019</v>
      </c>
      <c r="C2424" t="str">
        <f>"39.5441"</f>
        <v>39.5441</v>
      </c>
      <c r="D2424" s="1" t="s">
        <v>2415</v>
      </c>
      <c r="E2424" t="s">
        <v>6531</v>
      </c>
    </row>
    <row r="2425" spans="1:5" x14ac:dyDescent="0.35">
      <c r="A2425" t="str">
        <f>"2019-08-30"</f>
        <v>2019-08-30</v>
      </c>
      <c r="B2425" s="1" t="str">
        <f t="shared" si="37"/>
        <v>08/30/2019</v>
      </c>
      <c r="C2425" t="str">
        <f>"39.6672"</f>
        <v>39.6672</v>
      </c>
      <c r="D2425" s="1" t="s">
        <v>2416</v>
      </c>
      <c r="E2425" t="s">
        <v>6532</v>
      </c>
    </row>
    <row r="2426" spans="1:5" x14ac:dyDescent="0.35">
      <c r="A2426" t="str">
        <f>"2019-09-03"</f>
        <v>2019-09-03</v>
      </c>
      <c r="B2426" s="1" t="str">
        <f t="shared" si="37"/>
        <v>09/03/2019</v>
      </c>
      <c r="C2426" t="str">
        <f>"39.9136"</f>
        <v>39.9136</v>
      </c>
      <c r="D2426" s="1" t="s">
        <v>2417</v>
      </c>
      <c r="E2426" t="s">
        <v>6533</v>
      </c>
    </row>
    <row r="2427" spans="1:5" x14ac:dyDescent="0.35">
      <c r="A2427" t="str">
        <f>"2019-09-04"</f>
        <v>2019-09-04</v>
      </c>
      <c r="B2427" s="1" t="str">
        <f t="shared" si="37"/>
        <v>09/04/2019</v>
      </c>
      <c r="C2427" t="str">
        <f>"40.2129"</f>
        <v>40.2129</v>
      </c>
      <c r="D2427" s="1" t="s">
        <v>2418</v>
      </c>
      <c r="E2427" t="s">
        <v>6534</v>
      </c>
    </row>
    <row r="2428" spans="1:5" x14ac:dyDescent="0.35">
      <c r="A2428" t="str">
        <f>"2019-09-05"</f>
        <v>2019-09-05</v>
      </c>
      <c r="B2428" s="1" t="str">
        <f t="shared" si="37"/>
        <v>09/05/2019</v>
      </c>
      <c r="C2428" t="str">
        <f>"43.064"</f>
        <v>43.064</v>
      </c>
      <c r="D2428" s="1" t="s">
        <v>2419</v>
      </c>
      <c r="E2428" t="s">
        <v>6535</v>
      </c>
    </row>
    <row r="2429" spans="1:5" x14ac:dyDescent="0.35">
      <c r="A2429" t="str">
        <f>"2019-09-06"</f>
        <v>2019-09-06</v>
      </c>
      <c r="B2429" s="1" t="str">
        <f t="shared" si="37"/>
        <v>09/06/2019</v>
      </c>
      <c r="C2429" t="str">
        <f>"42.3805"</f>
        <v>42.3805</v>
      </c>
      <c r="D2429" s="1" t="s">
        <v>2420</v>
      </c>
      <c r="E2429" t="s">
        <v>6536</v>
      </c>
    </row>
    <row r="2430" spans="1:5" x14ac:dyDescent="0.35">
      <c r="A2430" t="str">
        <f>"2019-09-09"</f>
        <v>2019-09-09</v>
      </c>
      <c r="B2430" s="1" t="str">
        <f t="shared" si="37"/>
        <v>09/09/2019</v>
      </c>
      <c r="C2430" t="str">
        <f>"42.9716"</f>
        <v>42.9716</v>
      </c>
      <c r="D2430" s="1" t="s">
        <v>2421</v>
      </c>
      <c r="E2430" t="s">
        <v>6537</v>
      </c>
    </row>
    <row r="2431" spans="1:5" x14ac:dyDescent="0.35">
      <c r="A2431" t="str">
        <f>"2019-09-10"</f>
        <v>2019-09-10</v>
      </c>
      <c r="B2431" s="1" t="str">
        <f t="shared" si="37"/>
        <v>09/10/2019</v>
      </c>
      <c r="C2431" t="str">
        <f>"44.2193"</f>
        <v>44.2193</v>
      </c>
      <c r="D2431" s="1" t="s">
        <v>2422</v>
      </c>
      <c r="E2431" t="s">
        <v>6538</v>
      </c>
    </row>
    <row r="2432" spans="1:5" x14ac:dyDescent="0.35">
      <c r="A2432" t="str">
        <f>"2019-09-11"</f>
        <v>2019-09-11</v>
      </c>
      <c r="B2432" s="1" t="str">
        <f t="shared" si="37"/>
        <v>09/11/2019</v>
      </c>
      <c r="C2432" t="str">
        <f>"44.0306"</f>
        <v>44.0306</v>
      </c>
      <c r="D2432" s="1" t="s">
        <v>2423</v>
      </c>
      <c r="E2432" t="s">
        <v>6539</v>
      </c>
    </row>
    <row r="2433" spans="1:5" x14ac:dyDescent="0.35">
      <c r="A2433" t="str">
        <f>"2019-09-12"</f>
        <v>2019-09-12</v>
      </c>
      <c r="B2433" s="1" t="str">
        <f t="shared" si="37"/>
        <v>09/12/2019</v>
      </c>
      <c r="C2433" t="str">
        <f>"43.3338"</f>
        <v>43.3338</v>
      </c>
      <c r="D2433" s="1" t="s">
        <v>2424</v>
      </c>
      <c r="E2433" t="s">
        <v>6540</v>
      </c>
    </row>
    <row r="2434" spans="1:5" x14ac:dyDescent="0.35">
      <c r="A2434" t="str">
        <f>"2019-09-13"</f>
        <v>2019-09-13</v>
      </c>
      <c r="B2434" s="1" t="str">
        <f t="shared" si="37"/>
        <v>09/13/2019</v>
      </c>
      <c r="C2434" t="str">
        <f>"45.5177"</f>
        <v>45.5177</v>
      </c>
      <c r="D2434" s="1" t="s">
        <v>2425</v>
      </c>
      <c r="E2434" t="s">
        <v>6541</v>
      </c>
    </row>
    <row r="2435" spans="1:5" x14ac:dyDescent="0.35">
      <c r="A2435" t="str">
        <f>"2019-09-16"</f>
        <v>2019-09-16</v>
      </c>
      <c r="B2435" s="1" t="str">
        <f t="shared" ref="B2435:B2498" si="38">LEFT(RIGHT(A2435,5),2)&amp;"/"&amp;RIGHT(A2435,2)&amp;"/"&amp;LEFT(A2435,4)</f>
        <v>09/16/2019</v>
      </c>
      <c r="C2435" t="str">
        <f>"42.8107"</f>
        <v>42.8107</v>
      </c>
      <c r="D2435" s="1" t="s">
        <v>2426</v>
      </c>
      <c r="E2435" t="s">
        <v>6542</v>
      </c>
    </row>
    <row r="2436" spans="1:5" x14ac:dyDescent="0.35">
      <c r="A2436" t="str">
        <f>"2019-09-17"</f>
        <v>2019-09-17</v>
      </c>
      <c r="B2436" s="1" t="str">
        <f t="shared" si="38"/>
        <v>09/17/2019</v>
      </c>
      <c r="C2436" t="str">
        <f>"42.7471"</f>
        <v>42.7471</v>
      </c>
      <c r="D2436" s="1" t="s">
        <v>2427</v>
      </c>
      <c r="E2436" t="s">
        <v>6543</v>
      </c>
    </row>
    <row r="2437" spans="1:5" x14ac:dyDescent="0.35">
      <c r="A2437" t="str">
        <f>"2019-09-18"</f>
        <v>2019-09-18</v>
      </c>
      <c r="B2437" s="1" t="str">
        <f t="shared" si="38"/>
        <v>09/18/2019</v>
      </c>
      <c r="C2437" t="str">
        <f>"42.5547"</f>
        <v>42.5547</v>
      </c>
      <c r="D2437" s="1" t="s">
        <v>2428</v>
      </c>
      <c r="E2437" t="s">
        <v>6544</v>
      </c>
    </row>
    <row r="2438" spans="1:5" x14ac:dyDescent="0.35">
      <c r="A2438" t="str">
        <f>"2019-09-19"</f>
        <v>2019-09-19</v>
      </c>
      <c r="B2438" s="1" t="str">
        <f t="shared" si="38"/>
        <v>09/19/2019</v>
      </c>
      <c r="C2438" t="str">
        <f>"41.9147"</f>
        <v>41.9147</v>
      </c>
      <c r="D2438" s="1" t="s">
        <v>2429</v>
      </c>
      <c r="E2438" t="s">
        <v>6545</v>
      </c>
    </row>
    <row r="2439" spans="1:5" x14ac:dyDescent="0.35">
      <c r="A2439" t="str">
        <f>"2019-09-20"</f>
        <v>2019-09-20</v>
      </c>
      <c r="B2439" s="1" t="str">
        <f t="shared" si="38"/>
        <v>09/20/2019</v>
      </c>
      <c r="C2439" t="str">
        <f>"41.1456"</f>
        <v>41.1456</v>
      </c>
      <c r="D2439" s="1" t="s">
        <v>2430</v>
      </c>
      <c r="E2439" t="s">
        <v>6546</v>
      </c>
    </row>
    <row r="2440" spans="1:5" x14ac:dyDescent="0.35">
      <c r="A2440" t="str">
        <f>"2019-09-23"</f>
        <v>2019-09-23</v>
      </c>
      <c r="B2440" s="1" t="str">
        <f t="shared" si="38"/>
        <v>09/23/2019</v>
      </c>
      <c r="C2440" t="str">
        <f>"40.5368"</f>
        <v>40.5368</v>
      </c>
      <c r="D2440" s="1" t="s">
        <v>2431</v>
      </c>
      <c r="E2440" t="s">
        <v>6547</v>
      </c>
    </row>
    <row r="2441" spans="1:5" x14ac:dyDescent="0.35">
      <c r="A2441" t="str">
        <f>"2019-09-24"</f>
        <v>2019-09-24</v>
      </c>
      <c r="B2441" s="1" t="str">
        <f t="shared" si="38"/>
        <v>09/24/2019</v>
      </c>
      <c r="C2441" t="str">
        <f>"41.3535"</f>
        <v>41.3535</v>
      </c>
      <c r="D2441" s="1" t="s">
        <v>2432</v>
      </c>
      <c r="E2441" t="s">
        <v>6548</v>
      </c>
    </row>
    <row r="2442" spans="1:5" x14ac:dyDescent="0.35">
      <c r="A2442" t="str">
        <f>"2019-09-25"</f>
        <v>2019-09-25</v>
      </c>
      <c r="B2442" s="1" t="str">
        <f t="shared" si="38"/>
        <v>09/25/2019</v>
      </c>
      <c r="C2442" t="str">
        <f>"42.6105"</f>
        <v>42.6105</v>
      </c>
      <c r="D2442" s="1" t="s">
        <v>2433</v>
      </c>
      <c r="E2442" t="s">
        <v>6549</v>
      </c>
    </row>
    <row r="2443" spans="1:5" x14ac:dyDescent="0.35">
      <c r="A2443" t="str">
        <f>"2019-09-26"</f>
        <v>2019-09-26</v>
      </c>
      <c r="B2443" s="1" t="str">
        <f t="shared" si="38"/>
        <v>09/26/2019</v>
      </c>
      <c r="C2443" t="str">
        <f>"42.1205"</f>
        <v>42.1205</v>
      </c>
      <c r="D2443" s="1" t="s">
        <v>2434</v>
      </c>
      <c r="E2443" t="s">
        <v>6550</v>
      </c>
    </row>
    <row r="2444" spans="1:5" x14ac:dyDescent="0.35">
      <c r="A2444" t="str">
        <f>"2019-09-27"</f>
        <v>2019-09-27</v>
      </c>
      <c r="B2444" s="1" t="str">
        <f t="shared" si="38"/>
        <v>09/27/2019</v>
      </c>
      <c r="C2444" t="str">
        <f>"44.3515"</f>
        <v>44.3515</v>
      </c>
      <c r="D2444" s="1" t="s">
        <v>2435</v>
      </c>
      <c r="E2444" t="s">
        <v>6551</v>
      </c>
    </row>
    <row r="2445" spans="1:5" x14ac:dyDescent="0.35">
      <c r="A2445" t="str">
        <f>"2019-09-30"</f>
        <v>2019-09-30</v>
      </c>
      <c r="B2445" s="1" t="str">
        <f t="shared" si="38"/>
        <v>09/30/2019</v>
      </c>
      <c r="C2445" t="str">
        <f>"46.4279"</f>
        <v>46.4279</v>
      </c>
      <c r="D2445" s="1" t="s">
        <v>2436</v>
      </c>
      <c r="E2445" t="s">
        <v>6552</v>
      </c>
    </row>
    <row r="2446" spans="1:5" x14ac:dyDescent="0.35">
      <c r="A2446" t="str">
        <f>"2019-10-01"</f>
        <v>2019-10-01</v>
      </c>
      <c r="B2446" s="1" t="str">
        <f t="shared" si="38"/>
        <v>10/01/2019</v>
      </c>
      <c r="C2446" t="str">
        <f>"43.8084"</f>
        <v>43.8084</v>
      </c>
      <c r="D2446" s="1" t="s">
        <v>2437</v>
      </c>
      <c r="E2446" t="s">
        <v>6553</v>
      </c>
    </row>
    <row r="2447" spans="1:5" x14ac:dyDescent="0.35">
      <c r="A2447" t="str">
        <f>"2019-10-02"</f>
        <v>2019-10-02</v>
      </c>
      <c r="B2447" s="1" t="str">
        <f t="shared" si="38"/>
        <v>10/02/2019</v>
      </c>
      <c r="C2447" t="str">
        <f>"42.9469"</f>
        <v>42.9469</v>
      </c>
      <c r="D2447" s="1" t="s">
        <v>2438</v>
      </c>
      <c r="E2447" t="s">
        <v>6554</v>
      </c>
    </row>
    <row r="2448" spans="1:5" x14ac:dyDescent="0.35">
      <c r="A2448" t="str">
        <f>"2019-10-03"</f>
        <v>2019-10-03</v>
      </c>
      <c r="B2448" s="1" t="str">
        <f t="shared" si="38"/>
        <v>10/03/2019</v>
      </c>
      <c r="C2448" t="str">
        <f>"42.5231"</f>
        <v>42.5231</v>
      </c>
      <c r="D2448" s="1" t="s">
        <v>2439</v>
      </c>
      <c r="E2448" t="s">
        <v>6555</v>
      </c>
    </row>
    <row r="2449" spans="1:5" x14ac:dyDescent="0.35">
      <c r="A2449" t="str">
        <f>"2019-10-04"</f>
        <v>2019-10-04</v>
      </c>
      <c r="B2449" s="1" t="str">
        <f t="shared" si="38"/>
        <v>10/04/2019</v>
      </c>
      <c r="C2449" t="str">
        <f>"43.0457"</f>
        <v>43.0457</v>
      </c>
      <c r="D2449" s="1" t="s">
        <v>2440</v>
      </c>
      <c r="E2449" t="s">
        <v>6556</v>
      </c>
    </row>
    <row r="2450" spans="1:5" x14ac:dyDescent="0.35">
      <c r="A2450" t="str">
        <f>"2019-10-07"</f>
        <v>2019-10-07</v>
      </c>
      <c r="B2450" s="1" t="str">
        <f t="shared" si="38"/>
        <v>10/07/2019</v>
      </c>
      <c r="C2450" t="str">
        <f>"43.633"</f>
        <v>43.633</v>
      </c>
      <c r="D2450" s="1" t="s">
        <v>2441</v>
      </c>
      <c r="E2450" t="s">
        <v>6557</v>
      </c>
    </row>
    <row r="2451" spans="1:5" x14ac:dyDescent="0.35">
      <c r="A2451" t="str">
        <f>"2019-10-08"</f>
        <v>2019-10-08</v>
      </c>
      <c r="B2451" s="1" t="str">
        <f t="shared" si="38"/>
        <v>10/08/2019</v>
      </c>
      <c r="C2451" t="str">
        <f>"42.2248"</f>
        <v>42.2248</v>
      </c>
      <c r="D2451" s="1" t="s">
        <v>2442</v>
      </c>
      <c r="E2451" t="s">
        <v>6558</v>
      </c>
    </row>
    <row r="2452" spans="1:5" x14ac:dyDescent="0.35">
      <c r="A2452" t="str">
        <f>"2019-10-09"</f>
        <v>2019-10-09</v>
      </c>
      <c r="B2452" s="1" t="str">
        <f t="shared" si="38"/>
        <v>10/09/2019</v>
      </c>
      <c r="C2452" t="str">
        <f>"41.3118"</f>
        <v>41.3118</v>
      </c>
      <c r="D2452" s="1" t="s">
        <v>2443</v>
      </c>
      <c r="E2452" t="s">
        <v>6559</v>
      </c>
    </row>
    <row r="2453" spans="1:5" x14ac:dyDescent="0.35">
      <c r="A2453" t="str">
        <f>"2019-10-10"</f>
        <v>2019-10-10</v>
      </c>
      <c r="B2453" s="1" t="str">
        <f t="shared" si="38"/>
        <v>10/10/2019</v>
      </c>
      <c r="C2453" t="str">
        <f>"41.0745"</f>
        <v>41.0745</v>
      </c>
      <c r="D2453" s="1" t="s">
        <v>2444</v>
      </c>
      <c r="E2453" t="s">
        <v>6560</v>
      </c>
    </row>
    <row r="2454" spans="1:5" x14ac:dyDescent="0.35">
      <c r="A2454" t="str">
        <f>"2019-10-11"</f>
        <v>2019-10-11</v>
      </c>
      <c r="B2454" s="1" t="str">
        <f t="shared" si="38"/>
        <v>10/11/2019</v>
      </c>
      <c r="C2454" t="str">
        <f>"41.7922"</f>
        <v>41.7922</v>
      </c>
      <c r="D2454" s="1" t="s">
        <v>2445</v>
      </c>
      <c r="E2454" t="s">
        <v>6561</v>
      </c>
    </row>
    <row r="2455" spans="1:5" x14ac:dyDescent="0.35">
      <c r="A2455" t="str">
        <f>"2019-10-14"</f>
        <v>2019-10-14</v>
      </c>
      <c r="B2455" s="1" t="str">
        <f t="shared" si="38"/>
        <v>10/14/2019</v>
      </c>
      <c r="C2455" t="str">
        <f>"38.5587"</f>
        <v>38.5587</v>
      </c>
      <c r="D2455" s="1" t="s">
        <v>2446</v>
      </c>
      <c r="E2455" t="s">
        <v>6562</v>
      </c>
    </row>
    <row r="2456" spans="1:5" x14ac:dyDescent="0.35">
      <c r="A2456" t="str">
        <f>"2019-10-15"</f>
        <v>2019-10-15</v>
      </c>
      <c r="B2456" s="1" t="str">
        <f t="shared" si="38"/>
        <v>10/15/2019</v>
      </c>
      <c r="C2456" t="str">
        <f>"39.1709"</f>
        <v>39.1709</v>
      </c>
      <c r="D2456" s="1" t="s">
        <v>2447</v>
      </c>
      <c r="E2456" t="s">
        <v>6563</v>
      </c>
    </row>
    <row r="2457" spans="1:5" x14ac:dyDescent="0.35">
      <c r="A2457" t="str">
        <f>"2019-10-16"</f>
        <v>2019-10-16</v>
      </c>
      <c r="B2457" s="1" t="str">
        <f t="shared" si="38"/>
        <v>10/16/2019</v>
      </c>
      <c r="C2457" t="str">
        <f>"37.7691"</f>
        <v>37.7691</v>
      </c>
      <c r="D2457" s="1" t="s">
        <v>2448</v>
      </c>
      <c r="E2457" t="s">
        <v>6564</v>
      </c>
    </row>
    <row r="2458" spans="1:5" x14ac:dyDescent="0.35">
      <c r="A2458" t="str">
        <f>"2019-10-17"</f>
        <v>2019-10-17</v>
      </c>
      <c r="B2458" s="1" t="str">
        <f t="shared" si="38"/>
        <v>10/17/2019</v>
      </c>
      <c r="C2458" t="str">
        <f>"39.3184"</f>
        <v>39.3184</v>
      </c>
      <c r="D2458" s="1" t="s">
        <v>2449</v>
      </c>
      <c r="E2458" t="s">
        <v>6565</v>
      </c>
    </row>
    <row r="2459" spans="1:5" x14ac:dyDescent="0.35">
      <c r="A2459" t="str">
        <f>"2019-10-18"</f>
        <v>2019-10-18</v>
      </c>
      <c r="B2459" s="1" t="str">
        <f t="shared" si="38"/>
        <v>10/18/2019</v>
      </c>
      <c r="C2459" t="str">
        <f>"41.461"</f>
        <v>41.461</v>
      </c>
      <c r="D2459" s="1" t="s">
        <v>2450</v>
      </c>
      <c r="E2459" t="s">
        <v>6566</v>
      </c>
    </row>
    <row r="2460" spans="1:5" x14ac:dyDescent="0.35">
      <c r="A2460" t="str">
        <f>"2019-10-21"</f>
        <v>2019-10-21</v>
      </c>
      <c r="B2460" s="1" t="str">
        <f t="shared" si="38"/>
        <v>10/21/2019</v>
      </c>
      <c r="C2460" t="str">
        <f>"41.5077"</f>
        <v>41.5077</v>
      </c>
      <c r="D2460" s="1" t="s">
        <v>2451</v>
      </c>
      <c r="E2460" t="s">
        <v>6567</v>
      </c>
    </row>
    <row r="2461" spans="1:5" x14ac:dyDescent="0.35">
      <c r="A2461" t="str">
        <f>"2019-10-22"</f>
        <v>2019-10-22</v>
      </c>
      <c r="B2461" s="1" t="str">
        <f t="shared" si="38"/>
        <v>10/22/2019</v>
      </c>
      <c r="C2461" t="str">
        <f>"41.4208"</f>
        <v>41.4208</v>
      </c>
      <c r="D2461" s="1" t="s">
        <v>2452</v>
      </c>
      <c r="E2461" t="s">
        <v>6568</v>
      </c>
    </row>
    <row r="2462" spans="1:5" x14ac:dyDescent="0.35">
      <c r="A2462" t="str">
        <f>"2019-10-23"</f>
        <v>2019-10-23</v>
      </c>
      <c r="B2462" s="1" t="str">
        <f t="shared" si="38"/>
        <v>10/23/2019</v>
      </c>
      <c r="C2462" t="str">
        <f>"42.8351"</f>
        <v>42.8351</v>
      </c>
      <c r="D2462" s="1" t="s">
        <v>2453</v>
      </c>
      <c r="E2462" t="s">
        <v>6569</v>
      </c>
    </row>
    <row r="2463" spans="1:5" x14ac:dyDescent="0.35">
      <c r="A2463" t="str">
        <f>"2019-10-24"</f>
        <v>2019-10-24</v>
      </c>
      <c r="B2463" s="1" t="str">
        <f t="shared" si="38"/>
        <v>10/24/2019</v>
      </c>
      <c r="C2463" t="str">
        <f>"42.7986"</f>
        <v>42.7986</v>
      </c>
      <c r="D2463" s="1" t="s">
        <v>2454</v>
      </c>
      <c r="E2463" t="s">
        <v>6570</v>
      </c>
    </row>
    <row r="2464" spans="1:5" x14ac:dyDescent="0.35">
      <c r="A2464" t="str">
        <f>"2019-10-25"</f>
        <v>2019-10-25</v>
      </c>
      <c r="B2464" s="1" t="str">
        <f t="shared" si="38"/>
        <v>10/25/2019</v>
      </c>
      <c r="C2464" t="str">
        <f>"42.8442"</f>
        <v>42.8442</v>
      </c>
      <c r="D2464" s="1" t="s">
        <v>2455</v>
      </c>
      <c r="E2464" t="s">
        <v>6571</v>
      </c>
    </row>
    <row r="2465" spans="1:5" x14ac:dyDescent="0.35">
      <c r="A2465" t="str">
        <f>"2019-10-28"</f>
        <v>2019-10-28</v>
      </c>
      <c r="B2465" s="1" t="str">
        <f t="shared" si="38"/>
        <v>10/28/2019</v>
      </c>
      <c r="C2465" t="str">
        <f>"42.8202"</f>
        <v>42.8202</v>
      </c>
      <c r="D2465" s="1" t="s">
        <v>2456</v>
      </c>
      <c r="E2465" t="s">
        <v>6572</v>
      </c>
    </row>
    <row r="2466" spans="1:5" x14ac:dyDescent="0.35">
      <c r="A2466" t="str">
        <f>"2019-10-30"</f>
        <v>2019-10-30</v>
      </c>
      <c r="B2466" s="1" t="str">
        <f t="shared" si="38"/>
        <v>10/30/2019</v>
      </c>
      <c r="C2466" t="str">
        <f>"42.1608"</f>
        <v>42.1608</v>
      </c>
      <c r="D2466" s="1" t="s">
        <v>2457</v>
      </c>
      <c r="E2466" t="s">
        <v>6573</v>
      </c>
    </row>
    <row r="2467" spans="1:5" x14ac:dyDescent="0.35">
      <c r="A2467" t="str">
        <f>"2019-10-31"</f>
        <v>2019-10-31</v>
      </c>
      <c r="B2467" s="1" t="str">
        <f t="shared" si="38"/>
        <v>10/31/2019</v>
      </c>
      <c r="C2467" t="str">
        <f>"41.9455"</f>
        <v>41.9455</v>
      </c>
      <c r="D2467" s="1" t="s">
        <v>2458</v>
      </c>
      <c r="E2467" t="s">
        <v>6574</v>
      </c>
    </row>
    <row r="2468" spans="1:5" x14ac:dyDescent="0.35">
      <c r="A2468" t="str">
        <f>"2019-11-01"</f>
        <v>2019-11-01</v>
      </c>
      <c r="B2468" s="1" t="str">
        <f t="shared" si="38"/>
        <v>11/01/2019</v>
      </c>
      <c r="C2468" t="str">
        <f>"41.8234"</f>
        <v>41.8234</v>
      </c>
      <c r="D2468" s="1" t="s">
        <v>2459</v>
      </c>
      <c r="E2468" t="s">
        <v>6575</v>
      </c>
    </row>
    <row r="2469" spans="1:5" x14ac:dyDescent="0.35">
      <c r="A2469" t="str">
        <f>"2019-11-04"</f>
        <v>2019-11-04</v>
      </c>
      <c r="B2469" s="1" t="str">
        <f t="shared" si="38"/>
        <v>11/04/2019</v>
      </c>
      <c r="C2469" t="str">
        <f>"42.7501"</f>
        <v>42.7501</v>
      </c>
      <c r="D2469" s="1" t="s">
        <v>2460</v>
      </c>
      <c r="E2469" t="s">
        <v>6576</v>
      </c>
    </row>
    <row r="2470" spans="1:5" x14ac:dyDescent="0.35">
      <c r="A2470" t="str">
        <f>"2019-11-05"</f>
        <v>2019-11-05</v>
      </c>
      <c r="B2470" s="1" t="str">
        <f t="shared" si="38"/>
        <v>11/05/2019</v>
      </c>
      <c r="C2470" t="str">
        <f>"43.4869"</f>
        <v>43.4869</v>
      </c>
      <c r="D2470" s="1" t="s">
        <v>2461</v>
      </c>
      <c r="E2470" t="s">
        <v>6577</v>
      </c>
    </row>
    <row r="2471" spans="1:5" x14ac:dyDescent="0.35">
      <c r="A2471" t="str">
        <f>"2019-11-06"</f>
        <v>2019-11-06</v>
      </c>
      <c r="B2471" s="1" t="str">
        <f t="shared" si="38"/>
        <v>11/06/2019</v>
      </c>
      <c r="C2471" t="str">
        <f>"43.3549"</f>
        <v>43.3549</v>
      </c>
      <c r="D2471" s="1" t="s">
        <v>2462</v>
      </c>
      <c r="E2471" t="s">
        <v>6578</v>
      </c>
    </row>
    <row r="2472" spans="1:5" x14ac:dyDescent="0.35">
      <c r="A2472" t="str">
        <f>"2019-11-07"</f>
        <v>2019-11-07</v>
      </c>
      <c r="B2472" s="1" t="str">
        <f t="shared" si="38"/>
        <v>11/07/2019</v>
      </c>
      <c r="C2472" t="str">
        <f>"46.7314"</f>
        <v>46.7314</v>
      </c>
      <c r="D2472" s="1" t="s">
        <v>2463</v>
      </c>
      <c r="E2472" t="s">
        <v>6579</v>
      </c>
    </row>
    <row r="2473" spans="1:5" x14ac:dyDescent="0.35">
      <c r="A2473" t="str">
        <f>"2019-11-08"</f>
        <v>2019-11-08</v>
      </c>
      <c r="B2473" s="1" t="str">
        <f t="shared" si="38"/>
        <v>11/08/2019</v>
      </c>
      <c r="C2473" t="str">
        <f>"47.2151"</f>
        <v>47.2151</v>
      </c>
      <c r="D2473" s="1" t="s">
        <v>2464</v>
      </c>
      <c r="E2473" t="s">
        <v>6580</v>
      </c>
    </row>
    <row r="2474" spans="1:5" x14ac:dyDescent="0.35">
      <c r="A2474" t="str">
        <f>"2019-11-11"</f>
        <v>2019-11-11</v>
      </c>
      <c r="B2474" s="1" t="str">
        <f t="shared" si="38"/>
        <v>11/11/2019</v>
      </c>
      <c r="C2474" t="str">
        <f>"48.0707"</f>
        <v>48.0707</v>
      </c>
      <c r="D2474" s="1" t="s">
        <v>2465</v>
      </c>
      <c r="E2474" t="s">
        <v>6581</v>
      </c>
    </row>
    <row r="2475" spans="1:5" x14ac:dyDescent="0.35">
      <c r="A2475" t="str">
        <f>"2019-11-12"</f>
        <v>2019-11-12</v>
      </c>
      <c r="B2475" s="1" t="str">
        <f t="shared" si="38"/>
        <v>11/12/2019</v>
      </c>
      <c r="C2475" t="str">
        <f>"49.532"</f>
        <v>49.532</v>
      </c>
      <c r="D2475" s="1" t="s">
        <v>2466</v>
      </c>
      <c r="E2475" t="s">
        <v>6582</v>
      </c>
    </row>
    <row r="2476" spans="1:5" x14ac:dyDescent="0.35">
      <c r="A2476" t="str">
        <f>"2019-11-13"</f>
        <v>2019-11-13</v>
      </c>
      <c r="B2476" s="1" t="str">
        <f t="shared" si="38"/>
        <v>11/13/2019</v>
      </c>
      <c r="C2476" t="str">
        <f>"50.6565"</f>
        <v>50.6565</v>
      </c>
      <c r="D2476" s="1" t="s">
        <v>2467</v>
      </c>
      <c r="E2476" t="s">
        <v>6583</v>
      </c>
    </row>
    <row r="2477" spans="1:5" x14ac:dyDescent="0.35">
      <c r="A2477" t="str">
        <f>"2019-11-14"</f>
        <v>2019-11-14</v>
      </c>
      <c r="B2477" s="1" t="str">
        <f t="shared" si="38"/>
        <v>11/14/2019</v>
      </c>
      <c r="C2477" t="str">
        <f>"49.9175"</f>
        <v>49.9175</v>
      </c>
      <c r="D2477" s="1" t="s">
        <v>2468</v>
      </c>
      <c r="E2477" t="s">
        <v>6584</v>
      </c>
    </row>
    <row r="2478" spans="1:5" x14ac:dyDescent="0.35">
      <c r="A2478" t="str">
        <f>"2019-11-15"</f>
        <v>2019-11-15</v>
      </c>
      <c r="B2478" s="1" t="str">
        <f t="shared" si="38"/>
        <v>11/15/2019</v>
      </c>
      <c r="C2478" t="str">
        <f>"50.4375"</f>
        <v>50.4375</v>
      </c>
      <c r="D2478" s="1" t="s">
        <v>2469</v>
      </c>
      <c r="E2478" t="s">
        <v>6585</v>
      </c>
    </row>
    <row r="2479" spans="1:5" x14ac:dyDescent="0.35">
      <c r="A2479" t="str">
        <f>"2019-11-18"</f>
        <v>2019-11-18</v>
      </c>
      <c r="B2479" s="1" t="str">
        <f t="shared" si="38"/>
        <v>11/18/2019</v>
      </c>
      <c r="C2479" t="str">
        <f>"52.3823"</f>
        <v>52.3823</v>
      </c>
      <c r="D2479" s="1" t="s">
        <v>2470</v>
      </c>
      <c r="E2479" t="s">
        <v>6586</v>
      </c>
    </row>
    <row r="2480" spans="1:5" x14ac:dyDescent="0.35">
      <c r="A2480" t="str">
        <f>"2019-11-19"</f>
        <v>2019-11-19</v>
      </c>
      <c r="B2480" s="1" t="str">
        <f t="shared" si="38"/>
        <v>11/19/2019</v>
      </c>
      <c r="C2480" t="str">
        <f>"52.0981"</f>
        <v>52.0981</v>
      </c>
      <c r="D2480" s="1" t="s">
        <v>2471</v>
      </c>
      <c r="E2480" t="s">
        <v>6587</v>
      </c>
    </row>
    <row r="2481" spans="1:5" x14ac:dyDescent="0.35">
      <c r="A2481" t="str">
        <f>"2019-11-20"</f>
        <v>2019-11-20</v>
      </c>
      <c r="B2481" s="1" t="str">
        <f t="shared" si="38"/>
        <v>11/20/2019</v>
      </c>
      <c r="C2481" t="str">
        <f>"51.6837"</f>
        <v>51.6837</v>
      </c>
      <c r="D2481" s="1" t="s">
        <v>2472</v>
      </c>
      <c r="E2481" t="s">
        <v>6588</v>
      </c>
    </row>
    <row r="2482" spans="1:5" x14ac:dyDescent="0.35">
      <c r="A2482" t="str">
        <f>"2019-11-21"</f>
        <v>2019-11-21</v>
      </c>
      <c r="B2482" s="1" t="str">
        <f t="shared" si="38"/>
        <v>11/21/2019</v>
      </c>
      <c r="C2482" t="str">
        <f>"51.3272"</f>
        <v>51.3272</v>
      </c>
      <c r="D2482" s="1" t="s">
        <v>2473</v>
      </c>
      <c r="E2482" t="s">
        <v>6589</v>
      </c>
    </row>
    <row r="2483" spans="1:5" x14ac:dyDescent="0.35">
      <c r="A2483" t="str">
        <f>"2019-11-22"</f>
        <v>2019-11-22</v>
      </c>
      <c r="B2483" s="1" t="str">
        <f t="shared" si="38"/>
        <v>11/22/2019</v>
      </c>
      <c r="C2483" t="str">
        <f>"50.8974"</f>
        <v>50.8974</v>
      </c>
      <c r="D2483" s="1" t="s">
        <v>2474</v>
      </c>
      <c r="E2483" t="s">
        <v>6590</v>
      </c>
    </row>
    <row r="2484" spans="1:5" x14ac:dyDescent="0.35">
      <c r="A2484" t="str">
        <f>"2019-11-25"</f>
        <v>2019-11-25</v>
      </c>
      <c r="B2484" s="1" t="str">
        <f t="shared" si="38"/>
        <v>11/25/2019</v>
      </c>
      <c r="C2484" t="str">
        <f>"50.2542"</f>
        <v>50.2542</v>
      </c>
      <c r="D2484" s="1" t="s">
        <v>2475</v>
      </c>
      <c r="E2484" t="s">
        <v>6591</v>
      </c>
    </row>
    <row r="2485" spans="1:5" x14ac:dyDescent="0.35">
      <c r="A2485" t="str">
        <f>"2019-11-26"</f>
        <v>2019-11-26</v>
      </c>
      <c r="B2485" s="1" t="str">
        <f t="shared" si="38"/>
        <v>11/26/2019</v>
      </c>
      <c r="C2485" t="str">
        <f>"50.9502"</f>
        <v>50.9502</v>
      </c>
      <c r="D2485" s="1" t="s">
        <v>2476</v>
      </c>
      <c r="E2485" t="s">
        <v>6592</v>
      </c>
    </row>
    <row r="2486" spans="1:5" x14ac:dyDescent="0.35">
      <c r="A2486" t="str">
        <f>"2019-11-27"</f>
        <v>2019-11-27</v>
      </c>
      <c r="B2486" s="1" t="str">
        <f t="shared" si="38"/>
        <v>11/27/2019</v>
      </c>
      <c r="C2486" t="str">
        <f>"50.4608"</f>
        <v>50.4608</v>
      </c>
      <c r="D2486" s="1" t="s">
        <v>2477</v>
      </c>
      <c r="E2486" t="s">
        <v>6593</v>
      </c>
    </row>
    <row r="2487" spans="1:5" x14ac:dyDescent="0.35">
      <c r="A2487" t="str">
        <f>"2019-11-29"</f>
        <v>2019-11-29</v>
      </c>
      <c r="B2487" s="1" t="str">
        <f t="shared" si="38"/>
        <v>11/29/2019</v>
      </c>
      <c r="C2487" t="str">
        <f>"50.3101"</f>
        <v>50.3101</v>
      </c>
      <c r="D2487" s="1" t="s">
        <v>2478</v>
      </c>
      <c r="E2487" t="s">
        <v>6594</v>
      </c>
    </row>
    <row r="2488" spans="1:5" x14ac:dyDescent="0.35">
      <c r="A2488" t="str">
        <f>"2019-12-02"</f>
        <v>2019-12-02</v>
      </c>
      <c r="B2488" s="1" t="str">
        <f t="shared" si="38"/>
        <v>12/02/2019</v>
      </c>
      <c r="C2488" t="str">
        <f>"51.44"</f>
        <v>51.44</v>
      </c>
      <c r="D2488" s="1" t="s">
        <v>2479</v>
      </c>
      <c r="E2488" t="s">
        <v>6595</v>
      </c>
    </row>
    <row r="2489" spans="1:5" x14ac:dyDescent="0.35">
      <c r="A2489" t="str">
        <f>"2019-12-03"</f>
        <v>2019-12-03</v>
      </c>
      <c r="B2489" s="1" t="str">
        <f t="shared" si="38"/>
        <v>12/03/2019</v>
      </c>
      <c r="C2489" t="str">
        <f>"49.889"</f>
        <v>49.889</v>
      </c>
      <c r="D2489" s="1" t="s">
        <v>2480</v>
      </c>
      <c r="E2489" t="s">
        <v>6596</v>
      </c>
    </row>
    <row r="2490" spans="1:5" x14ac:dyDescent="0.35">
      <c r="A2490" t="str">
        <f>"2019-12-04"</f>
        <v>2019-12-04</v>
      </c>
      <c r="B2490" s="1" t="str">
        <f t="shared" si="38"/>
        <v>12/04/2019</v>
      </c>
      <c r="C2490" t="str">
        <f>"50.4891"</f>
        <v>50.4891</v>
      </c>
      <c r="D2490" s="1" t="s">
        <v>2481</v>
      </c>
      <c r="E2490" t="s">
        <v>6597</v>
      </c>
    </row>
    <row r="2491" spans="1:5" x14ac:dyDescent="0.35">
      <c r="A2491" t="str">
        <f>"2019-12-05"</f>
        <v>2019-12-05</v>
      </c>
      <c r="B2491" s="1" t="str">
        <f t="shared" si="38"/>
        <v>12/05/2019</v>
      </c>
      <c r="C2491" t="str">
        <f>"50.5453"</f>
        <v>50.5453</v>
      </c>
      <c r="D2491" s="1" t="s">
        <v>2482</v>
      </c>
      <c r="E2491" t="s">
        <v>6598</v>
      </c>
    </row>
    <row r="2492" spans="1:5" x14ac:dyDescent="0.35">
      <c r="A2492" t="str">
        <f>"2019-12-06"</f>
        <v>2019-12-06</v>
      </c>
      <c r="B2492" s="1" t="str">
        <f t="shared" si="38"/>
        <v>12/06/2019</v>
      </c>
      <c r="C2492" t="str">
        <f>"50.8682"</f>
        <v>50.8682</v>
      </c>
      <c r="D2492" s="1" t="s">
        <v>2483</v>
      </c>
      <c r="E2492" t="s">
        <v>6599</v>
      </c>
    </row>
    <row r="2493" spans="1:5" x14ac:dyDescent="0.35">
      <c r="A2493" t="str">
        <f>"2019-12-09"</f>
        <v>2019-12-09</v>
      </c>
      <c r="B2493" s="1" t="str">
        <f t="shared" si="38"/>
        <v>12/09/2019</v>
      </c>
      <c r="C2493" t="str">
        <f>"50.8257"</f>
        <v>50.8257</v>
      </c>
      <c r="D2493" s="1" t="s">
        <v>2484</v>
      </c>
      <c r="E2493" t="s">
        <v>6600</v>
      </c>
    </row>
    <row r="2494" spans="1:5" x14ac:dyDescent="0.35">
      <c r="A2494" t="str">
        <f>"2019-12-10"</f>
        <v>2019-12-10</v>
      </c>
      <c r="B2494" s="1" t="str">
        <f t="shared" si="38"/>
        <v>12/10/2019</v>
      </c>
      <c r="C2494" t="str">
        <f>"50.1416"</f>
        <v>50.1416</v>
      </c>
      <c r="D2494" s="1" t="s">
        <v>2485</v>
      </c>
      <c r="E2494" t="s">
        <v>6601</v>
      </c>
    </row>
    <row r="2495" spans="1:5" x14ac:dyDescent="0.35">
      <c r="A2495" t="str">
        <f>"2019-12-11"</f>
        <v>2019-12-11</v>
      </c>
      <c r="B2495" s="1" t="str">
        <f t="shared" si="38"/>
        <v>12/11/2019</v>
      </c>
      <c r="C2495" t="str">
        <f>"49.6287"</f>
        <v>49.6287</v>
      </c>
      <c r="D2495" s="1" t="s">
        <v>2486</v>
      </c>
      <c r="E2495" t="s">
        <v>6602</v>
      </c>
    </row>
    <row r="2496" spans="1:5" x14ac:dyDescent="0.35">
      <c r="A2496" t="str">
        <f>"2019-12-12"</f>
        <v>2019-12-12</v>
      </c>
      <c r="B2496" s="1" t="str">
        <f t="shared" si="38"/>
        <v>12/12/2019</v>
      </c>
      <c r="C2496" t="str">
        <f>"51.3363"</f>
        <v>51.3363</v>
      </c>
      <c r="D2496" s="1" t="s">
        <v>2487</v>
      </c>
      <c r="E2496" t="s">
        <v>6603</v>
      </c>
    </row>
    <row r="2497" spans="1:5" x14ac:dyDescent="0.35">
      <c r="A2497" t="str">
        <f>"2019-12-13"</f>
        <v>2019-12-13</v>
      </c>
      <c r="B2497" s="1" t="str">
        <f t="shared" si="38"/>
        <v>12/13/2019</v>
      </c>
      <c r="C2497" t="str">
        <f>"50.4687"</f>
        <v>50.4687</v>
      </c>
      <c r="D2497" s="1" t="s">
        <v>2488</v>
      </c>
      <c r="E2497" t="s">
        <v>6604</v>
      </c>
    </row>
    <row r="2498" spans="1:5" x14ac:dyDescent="0.35">
      <c r="A2498" t="str">
        <f>"2019-12-16"</f>
        <v>2019-12-16</v>
      </c>
      <c r="B2498" s="1" t="str">
        <f t="shared" si="38"/>
        <v>12/16/2019</v>
      </c>
      <c r="C2498" t="str">
        <f>"50.8018"</f>
        <v>50.8018</v>
      </c>
      <c r="D2498" s="1" t="s">
        <v>2489</v>
      </c>
      <c r="E2498" t="s">
        <v>6605</v>
      </c>
    </row>
    <row r="2499" spans="1:5" x14ac:dyDescent="0.35">
      <c r="A2499" t="str">
        <f>"2019-12-17"</f>
        <v>2019-12-17</v>
      </c>
      <c r="B2499" s="1" t="str">
        <f t="shared" ref="B2499:B2562" si="39">LEFT(RIGHT(A2499,5),2)&amp;"/"&amp;RIGHT(A2499,2)&amp;"/"&amp;LEFT(A2499,4)</f>
        <v>12/17/2019</v>
      </c>
      <c r="C2499" t="str">
        <f>"50.1349"</f>
        <v>50.1349</v>
      </c>
      <c r="D2499" s="1" t="s">
        <v>2490</v>
      </c>
      <c r="E2499" t="s">
        <v>6606</v>
      </c>
    </row>
    <row r="2500" spans="1:5" x14ac:dyDescent="0.35">
      <c r="A2500" t="str">
        <f>"2019-12-18"</f>
        <v>2019-12-18</v>
      </c>
      <c r="B2500" s="1" t="str">
        <f t="shared" si="39"/>
        <v>12/18/2019</v>
      </c>
      <c r="C2500" t="str">
        <f>"49.3125"</f>
        <v>49.3125</v>
      </c>
      <c r="D2500" s="1" t="s">
        <v>2491</v>
      </c>
      <c r="E2500" t="s">
        <v>6607</v>
      </c>
    </row>
    <row r="2501" spans="1:5" x14ac:dyDescent="0.35">
      <c r="A2501" t="str">
        <f>"2019-12-19"</f>
        <v>2019-12-19</v>
      </c>
      <c r="B2501" s="1" t="str">
        <f t="shared" si="39"/>
        <v>12/19/2019</v>
      </c>
      <c r="C2501" t="str">
        <f>"48.8891"</f>
        <v>48.8891</v>
      </c>
      <c r="D2501" s="1" t="s">
        <v>2492</v>
      </c>
      <c r="E2501" t="s">
        <v>6608</v>
      </c>
    </row>
    <row r="2502" spans="1:5" x14ac:dyDescent="0.35">
      <c r="A2502" t="str">
        <f>"2019-12-20"</f>
        <v>2019-12-20</v>
      </c>
      <c r="B2502" s="1" t="str">
        <f t="shared" si="39"/>
        <v>12/20/2019</v>
      </c>
      <c r="C2502" t="str">
        <f>"48.8929"</f>
        <v>48.8929</v>
      </c>
      <c r="D2502" s="1" t="s">
        <v>2493</v>
      </c>
      <c r="E2502" t="s">
        <v>6609</v>
      </c>
    </row>
    <row r="2503" spans="1:5" x14ac:dyDescent="0.35">
      <c r="A2503" t="str">
        <f>"2019-12-23"</f>
        <v>2019-12-23</v>
      </c>
      <c r="B2503" s="1" t="str">
        <f t="shared" si="39"/>
        <v>12/23/2019</v>
      </c>
      <c r="C2503" t="str">
        <f>"48.6705"</f>
        <v>48.6705</v>
      </c>
      <c r="D2503" s="1" t="s">
        <v>2494</v>
      </c>
      <c r="E2503" t="s">
        <v>6610</v>
      </c>
    </row>
    <row r="2504" spans="1:5" x14ac:dyDescent="0.35">
      <c r="A2504" t="str">
        <f>"2019-12-24"</f>
        <v>2019-12-24</v>
      </c>
      <c r="B2504" s="1" t="str">
        <f t="shared" si="39"/>
        <v>12/24/2019</v>
      </c>
      <c r="C2504" t="str">
        <f>"48.8072"</f>
        <v>48.8072</v>
      </c>
      <c r="D2504" s="1" t="s">
        <v>2495</v>
      </c>
      <c r="E2504" t="s">
        <v>6611</v>
      </c>
    </row>
    <row r="2505" spans="1:5" x14ac:dyDescent="0.35">
      <c r="A2505" t="str">
        <f>"2019-12-26"</f>
        <v>2019-12-26</v>
      </c>
      <c r="B2505" s="1" t="str">
        <f t="shared" si="39"/>
        <v>12/26/2019</v>
      </c>
      <c r="C2505" t="str">
        <f>"48.4759"</f>
        <v>48.4759</v>
      </c>
      <c r="D2505" s="1" t="s">
        <v>2496</v>
      </c>
      <c r="E2505" t="s">
        <v>6612</v>
      </c>
    </row>
    <row r="2506" spans="1:5" x14ac:dyDescent="0.35">
      <c r="A2506" t="str">
        <f>"2019-12-27"</f>
        <v>2019-12-27</v>
      </c>
      <c r="B2506" s="1" t="str">
        <f t="shared" si="39"/>
        <v>12/27/2019</v>
      </c>
      <c r="C2506" t="str">
        <f>"48.3507"</f>
        <v>48.3507</v>
      </c>
      <c r="D2506" s="1" t="s">
        <v>2497</v>
      </c>
      <c r="E2506" t="s">
        <v>6613</v>
      </c>
    </row>
    <row r="2507" spans="1:5" x14ac:dyDescent="0.35">
      <c r="A2507" t="str">
        <f>"2019-12-30"</f>
        <v>2019-12-30</v>
      </c>
      <c r="B2507" s="1" t="str">
        <f t="shared" si="39"/>
        <v>12/30/2019</v>
      </c>
      <c r="C2507" t="str">
        <f>"49.3682"</f>
        <v>49.3682</v>
      </c>
      <c r="D2507" s="1" t="s">
        <v>2498</v>
      </c>
      <c r="E2507" t="s">
        <v>6614</v>
      </c>
    </row>
    <row r="2508" spans="1:5" x14ac:dyDescent="0.35">
      <c r="A2508" t="str">
        <f>"2019-12-31"</f>
        <v>2019-12-31</v>
      </c>
      <c r="B2508" s="1" t="str">
        <f t="shared" si="39"/>
        <v>12/31/2019</v>
      </c>
      <c r="C2508" t="str">
        <f>"49.7695"</f>
        <v>49.7695</v>
      </c>
      <c r="D2508" s="1" t="s">
        <v>2499</v>
      </c>
      <c r="E2508" t="s">
        <v>6615</v>
      </c>
    </row>
    <row r="2509" spans="1:5" x14ac:dyDescent="0.35">
      <c r="A2509" t="str">
        <f>"2020-01-02"</f>
        <v>2020-01-02</v>
      </c>
      <c r="B2509" s="1" t="str">
        <f t="shared" si="39"/>
        <v>01/02/2020</v>
      </c>
      <c r="C2509" t="str">
        <f>"50.8834"</f>
        <v>50.8834</v>
      </c>
      <c r="D2509" s="1" t="s">
        <v>2500</v>
      </c>
      <c r="E2509" t="s">
        <v>6616</v>
      </c>
    </row>
    <row r="2510" spans="1:5" x14ac:dyDescent="0.35">
      <c r="A2510" t="str">
        <f>"2020-01-03"</f>
        <v>2020-01-03</v>
      </c>
      <c r="B2510" s="1" t="str">
        <f t="shared" si="39"/>
        <v>01/03/2020</v>
      </c>
      <c r="C2510" t="str">
        <f>"48.1053"</f>
        <v>48.1053</v>
      </c>
      <c r="D2510" s="1" t="s">
        <v>2501</v>
      </c>
      <c r="E2510" t="s">
        <v>6617</v>
      </c>
    </row>
    <row r="2511" spans="1:5" x14ac:dyDescent="0.35">
      <c r="A2511" t="str">
        <f>"2020-01-06"</f>
        <v>2020-01-06</v>
      </c>
      <c r="B2511" s="1" t="str">
        <f t="shared" si="39"/>
        <v>01/06/2020</v>
      </c>
      <c r="C2511" t="str">
        <f>"45.1561"</f>
        <v>45.1561</v>
      </c>
      <c r="D2511" s="1" t="s">
        <v>2502</v>
      </c>
      <c r="E2511" t="s">
        <v>6618</v>
      </c>
    </row>
    <row r="2512" spans="1:5" x14ac:dyDescent="0.35">
      <c r="A2512" t="str">
        <f>"2020-01-07"</f>
        <v>2020-01-07</v>
      </c>
      <c r="B2512" s="1" t="str">
        <f t="shared" si="39"/>
        <v>01/07/2020</v>
      </c>
      <c r="C2512" t="str">
        <f>"44.8879"</f>
        <v>44.8879</v>
      </c>
      <c r="D2512" s="1" t="s">
        <v>2503</v>
      </c>
      <c r="E2512" t="s">
        <v>6619</v>
      </c>
    </row>
    <row r="2513" spans="1:5" x14ac:dyDescent="0.35">
      <c r="A2513" t="str">
        <f>"2020-01-08"</f>
        <v>2020-01-08</v>
      </c>
      <c r="B2513" s="1" t="str">
        <f t="shared" si="39"/>
        <v>01/08/2020</v>
      </c>
      <c r="C2513" t="str">
        <f>"45.1285"</f>
        <v>45.1285</v>
      </c>
      <c r="D2513" s="1" t="s">
        <v>2504</v>
      </c>
      <c r="E2513" t="s">
        <v>6620</v>
      </c>
    </row>
    <row r="2514" spans="1:5" x14ac:dyDescent="0.35">
      <c r="A2514" t="str">
        <f>"2020-01-09"</f>
        <v>2020-01-09</v>
      </c>
      <c r="B2514" s="1" t="str">
        <f t="shared" si="39"/>
        <v>01/09/2020</v>
      </c>
      <c r="C2514" t="str">
        <f>"48.3743"</f>
        <v>48.3743</v>
      </c>
      <c r="D2514" s="1" t="s">
        <v>2505</v>
      </c>
      <c r="E2514" t="s">
        <v>6621</v>
      </c>
    </row>
    <row r="2515" spans="1:5" x14ac:dyDescent="0.35">
      <c r="A2515" t="str">
        <f>"2020-01-10"</f>
        <v>2020-01-10</v>
      </c>
      <c r="B2515" s="1" t="str">
        <f t="shared" si="39"/>
        <v>01/10/2020</v>
      </c>
      <c r="C2515" t="str">
        <f>"48.895"</f>
        <v>48.895</v>
      </c>
      <c r="D2515" s="1" t="s">
        <v>2506</v>
      </c>
      <c r="E2515" t="s">
        <v>6622</v>
      </c>
    </row>
    <row r="2516" spans="1:5" x14ac:dyDescent="0.35">
      <c r="A2516" t="str">
        <f>"2020-01-13"</f>
        <v>2020-01-13</v>
      </c>
      <c r="B2516" s="1" t="str">
        <f t="shared" si="39"/>
        <v>01/13/2020</v>
      </c>
      <c r="C2516" t="str">
        <f>"50.7032"</f>
        <v>50.7032</v>
      </c>
      <c r="D2516" s="1" t="s">
        <v>2507</v>
      </c>
      <c r="E2516" t="s">
        <v>6623</v>
      </c>
    </row>
    <row r="2517" spans="1:5" x14ac:dyDescent="0.35">
      <c r="A2517" t="str">
        <f>"2020-01-14"</f>
        <v>2020-01-14</v>
      </c>
      <c r="B2517" s="1" t="str">
        <f t="shared" si="39"/>
        <v>01/14/2020</v>
      </c>
      <c r="C2517" t="str">
        <f>"50.9513"</f>
        <v>50.9513</v>
      </c>
      <c r="D2517" s="1" t="s">
        <v>2508</v>
      </c>
      <c r="E2517" t="s">
        <v>6624</v>
      </c>
    </row>
    <row r="2518" spans="1:5" x14ac:dyDescent="0.35">
      <c r="A2518" t="str">
        <f>"2020-01-15"</f>
        <v>2020-01-15</v>
      </c>
      <c r="B2518" s="1" t="str">
        <f t="shared" si="39"/>
        <v>01/15/2020</v>
      </c>
      <c r="C2518" t="str">
        <f>"50.1067"</f>
        <v>50.1067</v>
      </c>
      <c r="D2518" s="1" t="s">
        <v>2509</v>
      </c>
      <c r="E2518" t="s">
        <v>6625</v>
      </c>
    </row>
    <row r="2519" spans="1:5" x14ac:dyDescent="0.35">
      <c r="A2519" t="str">
        <f>"2020-01-16"</f>
        <v>2020-01-16</v>
      </c>
      <c r="B2519" s="1" t="str">
        <f t="shared" si="39"/>
        <v>01/16/2020</v>
      </c>
      <c r="C2519" t="str">
        <f>"51.401"</f>
        <v>51.401</v>
      </c>
      <c r="D2519" s="1" t="s">
        <v>2510</v>
      </c>
      <c r="E2519" t="s">
        <v>6626</v>
      </c>
    </row>
    <row r="2520" spans="1:5" x14ac:dyDescent="0.35">
      <c r="A2520" t="str">
        <f>"2020-01-17"</f>
        <v>2020-01-17</v>
      </c>
      <c r="B2520" s="1" t="str">
        <f t="shared" si="39"/>
        <v>01/17/2020</v>
      </c>
      <c r="C2520" t="str">
        <f>"51.1864"</f>
        <v>51.1864</v>
      </c>
      <c r="D2520" s="1" t="s">
        <v>2511</v>
      </c>
      <c r="E2520" t="s">
        <v>6627</v>
      </c>
    </row>
    <row r="2521" spans="1:5" x14ac:dyDescent="0.35">
      <c r="A2521" t="str">
        <f>"2020-01-21"</f>
        <v>2020-01-21</v>
      </c>
      <c r="B2521" s="1" t="str">
        <f t="shared" si="39"/>
        <v>01/21/2020</v>
      </c>
      <c r="C2521" t="str">
        <f>"50.2076"</f>
        <v>50.2076</v>
      </c>
      <c r="D2521" s="1" t="s">
        <v>2512</v>
      </c>
      <c r="E2521" t="s">
        <v>6628</v>
      </c>
    </row>
    <row r="2522" spans="1:5" x14ac:dyDescent="0.35">
      <c r="A2522" t="str">
        <f>"2020-01-22"</f>
        <v>2020-01-22</v>
      </c>
      <c r="B2522" s="1" t="str">
        <f t="shared" si="39"/>
        <v>01/22/2020</v>
      </c>
      <c r="C2522" t="str">
        <f>"49.7508"</f>
        <v>49.7508</v>
      </c>
      <c r="D2522" s="1" t="s">
        <v>2513</v>
      </c>
      <c r="E2522" t="s">
        <v>6629</v>
      </c>
    </row>
    <row r="2523" spans="1:5" x14ac:dyDescent="0.35">
      <c r="A2523" t="str">
        <f>"2020-01-23"</f>
        <v>2020-01-23</v>
      </c>
      <c r="B2523" s="1" t="str">
        <f t="shared" si="39"/>
        <v>01/23/2020</v>
      </c>
      <c r="C2523" t="str">
        <f>"47.8882"</f>
        <v>47.8882</v>
      </c>
      <c r="D2523" s="1" t="s">
        <v>2514</v>
      </c>
      <c r="E2523" t="s">
        <v>6630</v>
      </c>
    </row>
    <row r="2524" spans="1:5" x14ac:dyDescent="0.35">
      <c r="A2524" t="str">
        <f>"2020-01-24"</f>
        <v>2020-01-24</v>
      </c>
      <c r="B2524" s="1" t="str">
        <f t="shared" si="39"/>
        <v>01/24/2020</v>
      </c>
      <c r="C2524" t="str">
        <f>"48.5483"</f>
        <v>48.5483</v>
      </c>
      <c r="D2524" s="1" t="s">
        <v>2515</v>
      </c>
      <c r="E2524" t="s">
        <v>6631</v>
      </c>
    </row>
    <row r="2525" spans="1:5" x14ac:dyDescent="0.35">
      <c r="A2525" t="str">
        <f>"2020-01-27"</f>
        <v>2020-01-27</v>
      </c>
      <c r="B2525" s="1" t="str">
        <f t="shared" si="39"/>
        <v>01/27/2020</v>
      </c>
      <c r="C2525" t="str">
        <f>"46.786"</f>
        <v>46.786</v>
      </c>
      <c r="D2525" s="1" t="s">
        <v>2516</v>
      </c>
      <c r="E2525" t="s">
        <v>6632</v>
      </c>
    </row>
    <row r="2526" spans="1:5" x14ac:dyDescent="0.35">
      <c r="A2526" t="str">
        <f>"2020-01-28"</f>
        <v>2020-01-28</v>
      </c>
      <c r="B2526" s="1" t="str">
        <f t="shared" si="39"/>
        <v>01/28/2020</v>
      </c>
      <c r="C2526" t="str">
        <f>"47.2284"</f>
        <v>47.2284</v>
      </c>
      <c r="D2526" s="1" t="s">
        <v>2517</v>
      </c>
      <c r="E2526" t="s">
        <v>6633</v>
      </c>
    </row>
    <row r="2527" spans="1:5" x14ac:dyDescent="0.35">
      <c r="A2527" t="str">
        <f>"2020-01-29"</f>
        <v>2020-01-29</v>
      </c>
      <c r="B2527" s="1" t="str">
        <f t="shared" si="39"/>
        <v>01/29/2020</v>
      </c>
      <c r="C2527" t="str">
        <f>"47.0579"</f>
        <v>47.0579</v>
      </c>
      <c r="D2527" s="1" t="s">
        <v>2518</v>
      </c>
      <c r="E2527" t="s">
        <v>6634</v>
      </c>
    </row>
    <row r="2528" spans="1:5" x14ac:dyDescent="0.35">
      <c r="A2528" t="str">
        <f>"2020-01-30"</f>
        <v>2020-01-30</v>
      </c>
      <c r="B2528" s="1" t="str">
        <f t="shared" si="39"/>
        <v>01/30/2020</v>
      </c>
      <c r="C2528" t="str">
        <f>"45.4729"</f>
        <v>45.4729</v>
      </c>
      <c r="D2528" s="1" t="s">
        <v>2519</v>
      </c>
      <c r="E2528" t="s">
        <v>6635</v>
      </c>
    </row>
    <row r="2529" spans="1:5" x14ac:dyDescent="0.35">
      <c r="A2529" t="str">
        <f>"2020-01-31"</f>
        <v>2020-01-31</v>
      </c>
      <c r="B2529" s="1" t="str">
        <f t="shared" si="39"/>
        <v>01/31/2020</v>
      </c>
      <c r="C2529" t="str">
        <f>"45.0609"</f>
        <v>45.0609</v>
      </c>
      <c r="D2529" s="1" t="s">
        <v>2520</v>
      </c>
      <c r="E2529" t="s">
        <v>6636</v>
      </c>
    </row>
    <row r="2530" spans="1:5" x14ac:dyDescent="0.35">
      <c r="A2530" t="str">
        <f>"2020-02-03"</f>
        <v>2020-02-03</v>
      </c>
      <c r="B2530" s="1" t="str">
        <f t="shared" si="39"/>
        <v>02/03/2020</v>
      </c>
      <c r="C2530" t="str">
        <f>"45.6461"</f>
        <v>45.6461</v>
      </c>
      <c r="D2530" s="1" t="s">
        <v>2521</v>
      </c>
      <c r="E2530" t="s">
        <v>6637</v>
      </c>
    </row>
    <row r="2531" spans="1:5" x14ac:dyDescent="0.35">
      <c r="A2531" t="str">
        <f>"2020-02-04"</f>
        <v>2020-02-04</v>
      </c>
      <c r="B2531" s="1" t="str">
        <f t="shared" si="39"/>
        <v>02/04/2020</v>
      </c>
      <c r="C2531" t="str">
        <f>"48.0786"</f>
        <v>48.0786</v>
      </c>
      <c r="D2531" s="1" t="s">
        <v>2522</v>
      </c>
      <c r="E2531" t="s">
        <v>6638</v>
      </c>
    </row>
    <row r="2532" spans="1:5" x14ac:dyDescent="0.35">
      <c r="A2532" t="str">
        <f>"2020-02-05"</f>
        <v>2020-02-05</v>
      </c>
      <c r="B2532" s="1" t="str">
        <f t="shared" si="39"/>
        <v>02/05/2020</v>
      </c>
      <c r="C2532" t="str">
        <f>"48.7991"</f>
        <v>48.7991</v>
      </c>
      <c r="D2532" s="1" t="s">
        <v>2523</v>
      </c>
      <c r="E2532" t="s">
        <v>6639</v>
      </c>
    </row>
    <row r="2533" spans="1:5" x14ac:dyDescent="0.35">
      <c r="A2533" t="str">
        <f>"2020-02-06"</f>
        <v>2020-02-06</v>
      </c>
      <c r="B2533" s="1" t="str">
        <f t="shared" si="39"/>
        <v>02/06/2020</v>
      </c>
      <c r="C2533" t="str">
        <f>"48.9444"</f>
        <v>48.9444</v>
      </c>
      <c r="D2533" s="1" t="s">
        <v>2524</v>
      </c>
      <c r="E2533" t="s">
        <v>6640</v>
      </c>
    </row>
    <row r="2534" spans="1:5" x14ac:dyDescent="0.35">
      <c r="A2534" t="str">
        <f>"2020-02-07"</f>
        <v>2020-02-07</v>
      </c>
      <c r="B2534" s="1" t="str">
        <f t="shared" si="39"/>
        <v>02/07/2020</v>
      </c>
      <c r="C2534" t="str">
        <f>"47.8856"</f>
        <v>47.8856</v>
      </c>
      <c r="D2534" s="1" t="s">
        <v>2525</v>
      </c>
      <c r="E2534" t="s">
        <v>6641</v>
      </c>
    </row>
    <row r="2535" spans="1:5" x14ac:dyDescent="0.35">
      <c r="A2535" t="str">
        <f>"2020-02-10"</f>
        <v>2020-02-10</v>
      </c>
      <c r="B2535" s="1" t="str">
        <f t="shared" si="39"/>
        <v>02/10/2020</v>
      </c>
      <c r="C2535" t="str">
        <f>"46.2546"</f>
        <v>46.2546</v>
      </c>
      <c r="D2535" s="1" t="s">
        <v>2526</v>
      </c>
      <c r="E2535" t="s">
        <v>6642</v>
      </c>
    </row>
    <row r="2536" spans="1:5" x14ac:dyDescent="0.35">
      <c r="A2536" t="str">
        <f>"2020-02-11"</f>
        <v>2020-02-11</v>
      </c>
      <c r="B2536" s="1" t="str">
        <f t="shared" si="39"/>
        <v>02/11/2020</v>
      </c>
      <c r="C2536" t="str">
        <f>"47.2712"</f>
        <v>47.2712</v>
      </c>
      <c r="D2536" s="1" t="s">
        <v>2527</v>
      </c>
      <c r="E2536" t="s">
        <v>6643</v>
      </c>
    </row>
    <row r="2537" spans="1:5" x14ac:dyDescent="0.35">
      <c r="A2537" t="str">
        <f>"2020-02-12"</f>
        <v>2020-02-12</v>
      </c>
      <c r="B2537" s="1" t="str">
        <f t="shared" si="39"/>
        <v>02/12/2020</v>
      </c>
      <c r="C2537" t="str">
        <f>"48.8843"</f>
        <v>48.8843</v>
      </c>
      <c r="D2537" s="1" t="s">
        <v>2528</v>
      </c>
      <c r="E2537" t="s">
        <v>6644</v>
      </c>
    </row>
    <row r="2538" spans="1:5" x14ac:dyDescent="0.35">
      <c r="A2538" t="str">
        <f>"2020-02-13"</f>
        <v>2020-02-13</v>
      </c>
      <c r="B2538" s="1" t="str">
        <f t="shared" si="39"/>
        <v>02/13/2020</v>
      </c>
      <c r="C2538" t="str">
        <f>"49.0392"</f>
        <v>49.0392</v>
      </c>
      <c r="D2538" s="1" t="s">
        <v>2529</v>
      </c>
      <c r="E2538" t="s">
        <v>6645</v>
      </c>
    </row>
    <row r="2539" spans="1:5" x14ac:dyDescent="0.35">
      <c r="A2539" t="str">
        <f>"2020-02-14"</f>
        <v>2020-02-14</v>
      </c>
      <c r="B2539" s="1" t="str">
        <f t="shared" si="39"/>
        <v>02/14/2020</v>
      </c>
      <c r="C2539" t="str">
        <f>"48.4496"</f>
        <v>48.4496</v>
      </c>
      <c r="D2539" s="1" t="s">
        <v>2530</v>
      </c>
      <c r="E2539" t="s">
        <v>6646</v>
      </c>
    </row>
    <row r="2540" spans="1:5" x14ac:dyDescent="0.35">
      <c r="A2540" t="str">
        <f>"2020-02-18"</f>
        <v>2020-02-18</v>
      </c>
      <c r="B2540" s="1" t="str">
        <f t="shared" si="39"/>
        <v>02/18/2020</v>
      </c>
      <c r="C2540" t="str">
        <f>"48.2239"</f>
        <v>48.2239</v>
      </c>
      <c r="D2540" s="1" t="s">
        <v>2531</v>
      </c>
      <c r="E2540" t="s">
        <v>6647</v>
      </c>
    </row>
    <row r="2541" spans="1:5" x14ac:dyDescent="0.35">
      <c r="A2541" t="str">
        <f>"2020-02-19"</f>
        <v>2020-02-19</v>
      </c>
      <c r="B2541" s="1" t="str">
        <f t="shared" si="39"/>
        <v>02/19/2020</v>
      </c>
      <c r="C2541" t="str">
        <f>"47.6386"</f>
        <v>47.6386</v>
      </c>
      <c r="D2541" s="1" t="s">
        <v>2532</v>
      </c>
      <c r="E2541" t="s">
        <v>6648</v>
      </c>
    </row>
    <row r="2542" spans="1:5" x14ac:dyDescent="0.35">
      <c r="A2542" t="str">
        <f>"2020-02-20"</f>
        <v>2020-02-20</v>
      </c>
      <c r="B2542" s="1" t="str">
        <f t="shared" si="39"/>
        <v>02/20/2020</v>
      </c>
      <c r="C2542" t="str">
        <f>"45.5145"</f>
        <v>45.5145</v>
      </c>
      <c r="D2542" s="1" t="s">
        <v>2533</v>
      </c>
      <c r="E2542" t="s">
        <v>6649</v>
      </c>
    </row>
    <row r="2543" spans="1:5" x14ac:dyDescent="0.35">
      <c r="A2543" t="str">
        <f>"2020-02-21"</f>
        <v>2020-02-21</v>
      </c>
      <c r="B2543" s="1" t="str">
        <f t="shared" si="39"/>
        <v>02/21/2020</v>
      </c>
      <c r="C2543" t="str">
        <f>"44.9073"</f>
        <v>44.9073</v>
      </c>
      <c r="D2543" s="1" t="s">
        <v>2534</v>
      </c>
      <c r="E2543" t="s">
        <v>6650</v>
      </c>
    </row>
    <row r="2544" spans="1:5" x14ac:dyDescent="0.35">
      <c r="A2544" t="str">
        <f>"2020-02-24"</f>
        <v>2020-02-24</v>
      </c>
      <c r="B2544" s="1" t="str">
        <f t="shared" si="39"/>
        <v>02/24/2020</v>
      </c>
      <c r="C2544" t="str">
        <f>"42.1938"</f>
        <v>42.1938</v>
      </c>
      <c r="D2544" s="1" t="s">
        <v>2535</v>
      </c>
      <c r="E2544" t="s">
        <v>6651</v>
      </c>
    </row>
    <row r="2545" spans="1:5" x14ac:dyDescent="0.35">
      <c r="A2545" t="str">
        <f>"2020-02-25"</f>
        <v>2020-02-25</v>
      </c>
      <c r="B2545" s="1" t="str">
        <f t="shared" si="39"/>
        <v>02/25/2020</v>
      </c>
      <c r="C2545" t="str">
        <f>"41.6932"</f>
        <v>41.6932</v>
      </c>
      <c r="D2545" s="1" t="s">
        <v>2536</v>
      </c>
      <c r="E2545" t="s">
        <v>6652</v>
      </c>
    </row>
    <row r="2546" spans="1:5" x14ac:dyDescent="0.35">
      <c r="A2546" t="str">
        <f>"2020-02-26"</f>
        <v>2020-02-26</v>
      </c>
      <c r="B2546" s="1" t="str">
        <f t="shared" si="39"/>
        <v>02/26/2020</v>
      </c>
      <c r="C2546" t="str">
        <f>"40.8787"</f>
        <v>40.8787</v>
      </c>
      <c r="D2546" s="1" t="s">
        <v>2537</v>
      </c>
      <c r="E2546" t="s">
        <v>6653</v>
      </c>
    </row>
    <row r="2547" spans="1:5" x14ac:dyDescent="0.35">
      <c r="A2547" t="str">
        <f>"2020-02-27"</f>
        <v>2020-02-27</v>
      </c>
      <c r="B2547" s="1" t="str">
        <f t="shared" si="39"/>
        <v>02/27/2020</v>
      </c>
      <c r="C2547" t="str">
        <f>"37.7765"</f>
        <v>37.7765</v>
      </c>
      <c r="D2547" s="1" t="s">
        <v>2538</v>
      </c>
      <c r="E2547" t="s">
        <v>6654</v>
      </c>
    </row>
    <row r="2548" spans="1:5" x14ac:dyDescent="0.35">
      <c r="A2548" t="str">
        <f>"2020-02-28"</f>
        <v>2020-02-28</v>
      </c>
      <c r="B2548" s="1" t="str">
        <f t="shared" si="39"/>
        <v>02/28/2020</v>
      </c>
      <c r="C2548" t="str">
        <f>"37.806"</f>
        <v>37.806</v>
      </c>
      <c r="D2548" s="1" t="s">
        <v>2539</v>
      </c>
      <c r="E2548" t="s">
        <v>6655</v>
      </c>
    </row>
    <row r="2549" spans="1:5" x14ac:dyDescent="0.35">
      <c r="A2549" t="str">
        <f>"2020-03-02"</f>
        <v>2020-03-02</v>
      </c>
      <c r="B2549" s="1" t="str">
        <f t="shared" si="39"/>
        <v>03/02/2020</v>
      </c>
      <c r="C2549" t="str">
        <f>"37.0402"</f>
        <v>37.0402</v>
      </c>
      <c r="D2549" s="1" t="s">
        <v>2540</v>
      </c>
      <c r="E2549" t="s">
        <v>6656</v>
      </c>
    </row>
    <row r="2550" spans="1:5" x14ac:dyDescent="0.35">
      <c r="A2550" t="str">
        <f>"2020-03-03"</f>
        <v>2020-03-03</v>
      </c>
      <c r="B2550" s="1" t="str">
        <f t="shared" si="39"/>
        <v>03/03/2020</v>
      </c>
      <c r="C2550" t="str">
        <f>"37.0766"</f>
        <v>37.0766</v>
      </c>
      <c r="D2550" s="1" t="s">
        <v>2541</v>
      </c>
      <c r="E2550" t="s">
        <v>6657</v>
      </c>
    </row>
    <row r="2551" spans="1:5" x14ac:dyDescent="0.35">
      <c r="A2551" t="str">
        <f>"2020-03-04"</f>
        <v>2020-03-04</v>
      </c>
      <c r="B2551" s="1" t="str">
        <f t="shared" si="39"/>
        <v>03/04/2020</v>
      </c>
      <c r="C2551" t="str">
        <f>"36.4657"</f>
        <v>36.4657</v>
      </c>
      <c r="D2551" s="1" t="s">
        <v>2542</v>
      </c>
      <c r="E2551" t="s">
        <v>6658</v>
      </c>
    </row>
    <row r="2552" spans="1:5" x14ac:dyDescent="0.35">
      <c r="A2552" t="str">
        <f>"2020-03-05"</f>
        <v>2020-03-05</v>
      </c>
      <c r="B2552" s="1" t="str">
        <f t="shared" si="39"/>
        <v>03/05/2020</v>
      </c>
      <c r="C2552" t="str">
        <f>"35.9499"</f>
        <v>35.9499</v>
      </c>
      <c r="D2552" s="1" t="s">
        <v>2543</v>
      </c>
      <c r="E2552" t="s">
        <v>6659</v>
      </c>
    </row>
    <row r="2553" spans="1:5" x14ac:dyDescent="0.35">
      <c r="A2553" t="str">
        <f>"2020-03-06"</f>
        <v>2020-03-06</v>
      </c>
      <c r="B2553" s="1" t="str">
        <f t="shared" si="39"/>
        <v>03/06/2020</v>
      </c>
      <c r="C2553" t="str">
        <f>"33.9524"</f>
        <v>33.9524</v>
      </c>
      <c r="D2553" s="1" t="s">
        <v>2544</v>
      </c>
      <c r="E2553" t="s">
        <v>6660</v>
      </c>
    </row>
    <row r="2554" spans="1:5" x14ac:dyDescent="0.35">
      <c r="A2554" t="str">
        <f>"2020-03-09"</f>
        <v>2020-03-09</v>
      </c>
      <c r="B2554" s="1" t="str">
        <f t="shared" si="39"/>
        <v>03/09/2020</v>
      </c>
      <c r="C2554" t="str">
        <f>"31.4988"</f>
        <v>31.4988</v>
      </c>
      <c r="D2554" s="1" t="s">
        <v>2545</v>
      </c>
      <c r="E2554" t="s">
        <v>6661</v>
      </c>
    </row>
    <row r="2555" spans="1:5" x14ac:dyDescent="0.35">
      <c r="A2555" t="str">
        <f>"2020-03-10"</f>
        <v>2020-03-10</v>
      </c>
      <c r="B2555" s="1" t="str">
        <f t="shared" si="39"/>
        <v>03/10/2020</v>
      </c>
      <c r="C2555" t="str">
        <f>"30.3553"</f>
        <v>30.3553</v>
      </c>
      <c r="D2555" s="1" t="s">
        <v>2546</v>
      </c>
      <c r="E2555" t="s">
        <v>6662</v>
      </c>
    </row>
    <row r="2556" spans="1:5" x14ac:dyDescent="0.35">
      <c r="A2556" t="str">
        <f>"2020-03-11"</f>
        <v>2020-03-11</v>
      </c>
      <c r="B2556" s="1" t="str">
        <f t="shared" si="39"/>
        <v>03/11/2020</v>
      </c>
      <c r="C2556" t="str">
        <f>"30.6169"</f>
        <v>30.6169</v>
      </c>
      <c r="D2556" s="1" t="s">
        <v>2547</v>
      </c>
      <c r="E2556" t="s">
        <v>6663</v>
      </c>
    </row>
    <row r="2557" spans="1:5" x14ac:dyDescent="0.35">
      <c r="A2557" t="str">
        <f>"2020-03-12"</f>
        <v>2020-03-12</v>
      </c>
      <c r="B2557" s="1" t="str">
        <f t="shared" si="39"/>
        <v>03/12/2020</v>
      </c>
      <c r="C2557" t="str">
        <f>"26.7196"</f>
        <v>26.7196</v>
      </c>
      <c r="D2557" s="1" t="s">
        <v>2548</v>
      </c>
      <c r="E2557" t="s">
        <v>6664</v>
      </c>
    </row>
    <row r="2558" spans="1:5" x14ac:dyDescent="0.35">
      <c r="A2558" t="str">
        <f>"2020-03-13"</f>
        <v>2020-03-13</v>
      </c>
      <c r="B2558" s="1" t="str">
        <f t="shared" si="39"/>
        <v>03/13/2020</v>
      </c>
      <c r="C2558" t="str">
        <f>"29.5653"</f>
        <v>29.5653</v>
      </c>
      <c r="D2558" s="1" t="s">
        <v>2549</v>
      </c>
      <c r="E2558" t="s">
        <v>6665</v>
      </c>
    </row>
    <row r="2559" spans="1:5" x14ac:dyDescent="0.35">
      <c r="A2559" t="str">
        <f>"2020-03-16"</f>
        <v>2020-03-16</v>
      </c>
      <c r="B2559" s="1" t="str">
        <f t="shared" si="39"/>
        <v>03/16/2020</v>
      </c>
      <c r="C2559" t="str">
        <f>"27.4196"</f>
        <v>27.4196</v>
      </c>
      <c r="D2559" s="1" t="s">
        <v>2550</v>
      </c>
      <c r="E2559" t="s">
        <v>6666</v>
      </c>
    </row>
    <row r="2560" spans="1:5" x14ac:dyDescent="0.35">
      <c r="A2560" t="str">
        <f>"2020-03-17"</f>
        <v>2020-03-17</v>
      </c>
      <c r="B2560" s="1" t="str">
        <f t="shared" si="39"/>
        <v>03/17/2020</v>
      </c>
      <c r="C2560" t="str">
        <f>"25.1263"</f>
        <v>25.1263</v>
      </c>
      <c r="D2560" s="1" t="s">
        <v>2551</v>
      </c>
      <c r="E2560" t="s">
        <v>6667</v>
      </c>
    </row>
    <row r="2561" spans="1:5" x14ac:dyDescent="0.35">
      <c r="A2561" t="str">
        <f>"2020-03-18"</f>
        <v>2020-03-18</v>
      </c>
      <c r="B2561" s="1" t="str">
        <f t="shared" si="39"/>
        <v>03/18/2020</v>
      </c>
      <c r="C2561" t="str">
        <f>"26.1217"</f>
        <v>26.1217</v>
      </c>
      <c r="D2561" s="1" t="s">
        <v>2552</v>
      </c>
      <c r="E2561" t="s">
        <v>6668</v>
      </c>
    </row>
    <row r="2562" spans="1:5" x14ac:dyDescent="0.35">
      <c r="A2562" t="str">
        <f>"2020-03-19"</f>
        <v>2020-03-19</v>
      </c>
      <c r="B2562" s="1" t="str">
        <f t="shared" si="39"/>
        <v>03/19/2020</v>
      </c>
      <c r="C2562" t="str">
        <f>"25.7751"</f>
        <v>25.7751</v>
      </c>
      <c r="D2562" s="1" t="s">
        <v>2553</v>
      </c>
      <c r="E2562" t="s">
        <v>6669</v>
      </c>
    </row>
    <row r="2563" spans="1:5" x14ac:dyDescent="0.35">
      <c r="A2563" t="str">
        <f>"2020-03-20"</f>
        <v>2020-03-20</v>
      </c>
      <c r="B2563" s="1" t="str">
        <f t="shared" ref="B2563:B2626" si="40">LEFT(RIGHT(A2563,5),2)&amp;"/"&amp;RIGHT(A2563,2)&amp;"/"&amp;LEFT(A2563,4)</f>
        <v>03/20/2020</v>
      </c>
      <c r="C2563" t="str">
        <f>"25.5689"</f>
        <v>25.5689</v>
      </c>
      <c r="D2563" s="1" t="s">
        <v>2554</v>
      </c>
      <c r="E2563" t="s">
        <v>6670</v>
      </c>
    </row>
    <row r="2564" spans="1:5" x14ac:dyDescent="0.35">
      <c r="A2564" t="str">
        <f>"2020-03-23"</f>
        <v>2020-03-23</v>
      </c>
      <c r="B2564" s="1" t="str">
        <f t="shared" si="40"/>
        <v>03/23/2020</v>
      </c>
      <c r="C2564" t="str">
        <f>"23.4295"</f>
        <v>23.4295</v>
      </c>
      <c r="D2564" s="1" t="s">
        <v>2555</v>
      </c>
      <c r="E2564" t="s">
        <v>6671</v>
      </c>
    </row>
    <row r="2565" spans="1:5" x14ac:dyDescent="0.35">
      <c r="A2565" t="str">
        <f>"2020-03-24"</f>
        <v>2020-03-24</v>
      </c>
      <c r="B2565" s="1" t="str">
        <f t="shared" si="40"/>
        <v>03/24/2020</v>
      </c>
      <c r="C2565" t="str">
        <f>"23.7809"</f>
        <v>23.7809</v>
      </c>
      <c r="D2565" s="1" t="s">
        <v>2556</v>
      </c>
      <c r="E2565" t="s">
        <v>6672</v>
      </c>
    </row>
    <row r="2566" spans="1:5" x14ac:dyDescent="0.35">
      <c r="A2566" t="str">
        <f>"2020-03-25"</f>
        <v>2020-03-25</v>
      </c>
      <c r="B2566" s="1" t="str">
        <f t="shared" si="40"/>
        <v>03/25/2020</v>
      </c>
      <c r="C2566" t="str">
        <f>"25.8752"</f>
        <v>25.8752</v>
      </c>
      <c r="D2566" s="1" t="s">
        <v>2557</v>
      </c>
      <c r="E2566" t="s">
        <v>6673</v>
      </c>
    </row>
    <row r="2567" spans="1:5" x14ac:dyDescent="0.35">
      <c r="A2567" t="str">
        <f>"2020-03-26"</f>
        <v>2020-03-26</v>
      </c>
      <c r="B2567" s="1" t="str">
        <f t="shared" si="40"/>
        <v>03/26/2020</v>
      </c>
      <c r="C2567" t="str">
        <f>"27.1938"</f>
        <v>27.1938</v>
      </c>
      <c r="D2567" s="1" t="s">
        <v>2558</v>
      </c>
      <c r="E2567" t="s">
        <v>6674</v>
      </c>
    </row>
    <row r="2568" spans="1:5" x14ac:dyDescent="0.35">
      <c r="A2568" t="str">
        <f>"2020-03-27"</f>
        <v>2020-03-27</v>
      </c>
      <c r="B2568" s="1" t="str">
        <f t="shared" si="40"/>
        <v>03/27/2020</v>
      </c>
      <c r="C2568" t="str">
        <f>"26.5764"</f>
        <v>26.5764</v>
      </c>
      <c r="D2568" s="1" t="s">
        <v>2559</v>
      </c>
      <c r="E2568" t="s">
        <v>6675</v>
      </c>
    </row>
    <row r="2569" spans="1:5" x14ac:dyDescent="0.35">
      <c r="A2569" t="str">
        <f>"2020-03-30"</f>
        <v>2020-03-30</v>
      </c>
      <c r="B2569" s="1" t="str">
        <f t="shared" si="40"/>
        <v>03/30/2020</v>
      </c>
      <c r="C2569" t="str">
        <f>"25.7964"</f>
        <v>25.7964</v>
      </c>
      <c r="D2569" s="1" t="s">
        <v>2560</v>
      </c>
      <c r="E2569" t="s">
        <v>6676</v>
      </c>
    </row>
    <row r="2570" spans="1:5" x14ac:dyDescent="0.35">
      <c r="A2570" t="str">
        <f>"2020-03-31"</f>
        <v>2020-03-31</v>
      </c>
      <c r="B2570" s="1" t="str">
        <f t="shared" si="40"/>
        <v>03/31/2020</v>
      </c>
      <c r="C2570" t="str">
        <f>"27.0788"</f>
        <v>27.0788</v>
      </c>
      <c r="D2570" s="1" t="s">
        <v>2561</v>
      </c>
      <c r="E2570" t="s">
        <v>6677</v>
      </c>
    </row>
    <row r="2571" spans="1:5" x14ac:dyDescent="0.35">
      <c r="A2571" t="str">
        <f>"2020-04-01"</f>
        <v>2020-04-01</v>
      </c>
      <c r="B2571" s="1" t="str">
        <f t="shared" si="40"/>
        <v>04/01/2020</v>
      </c>
      <c r="C2571" t="str">
        <f>"26.7624"</f>
        <v>26.7624</v>
      </c>
      <c r="D2571" s="1" t="s">
        <v>2562</v>
      </c>
      <c r="E2571" t="s">
        <v>6678</v>
      </c>
    </row>
    <row r="2572" spans="1:5" x14ac:dyDescent="0.35">
      <c r="A2572" t="str">
        <f>"2020-04-02"</f>
        <v>2020-04-02</v>
      </c>
      <c r="B2572" s="1" t="str">
        <f t="shared" si="40"/>
        <v>04/02/2020</v>
      </c>
      <c r="C2572" t="str">
        <f>"25.6152"</f>
        <v>25.6152</v>
      </c>
      <c r="D2572" s="1" t="s">
        <v>2563</v>
      </c>
      <c r="E2572" t="s">
        <v>6679</v>
      </c>
    </row>
    <row r="2573" spans="1:5" x14ac:dyDescent="0.35">
      <c r="A2573" t="str">
        <f>"2020-04-03"</f>
        <v>2020-04-03</v>
      </c>
      <c r="B2573" s="1" t="str">
        <f t="shared" si="40"/>
        <v>04/03/2020</v>
      </c>
      <c r="C2573" t="str">
        <f>"25.6345"</f>
        <v>25.6345</v>
      </c>
      <c r="D2573" s="1" t="s">
        <v>2564</v>
      </c>
      <c r="E2573" t="s">
        <v>6680</v>
      </c>
    </row>
    <row r="2574" spans="1:5" x14ac:dyDescent="0.35">
      <c r="A2574" t="str">
        <f>"2020-04-06"</f>
        <v>2020-04-06</v>
      </c>
      <c r="B2574" s="1" t="str">
        <f t="shared" si="40"/>
        <v>04/06/2020</v>
      </c>
      <c r="C2574" t="str">
        <f>"25.234"</f>
        <v>25.234</v>
      </c>
      <c r="D2574" s="1" t="s">
        <v>2565</v>
      </c>
      <c r="E2574" t="s">
        <v>6681</v>
      </c>
    </row>
    <row r="2575" spans="1:5" x14ac:dyDescent="0.35">
      <c r="A2575" t="str">
        <f>"2020-04-07"</f>
        <v>2020-04-07</v>
      </c>
      <c r="B2575" s="1" t="str">
        <f t="shared" si="40"/>
        <v>04/07/2020</v>
      </c>
      <c r="C2575" t="str">
        <f>"26.3165"</f>
        <v>26.3165</v>
      </c>
      <c r="D2575" s="1" t="s">
        <v>2566</v>
      </c>
      <c r="E2575" t="s">
        <v>6682</v>
      </c>
    </row>
    <row r="2576" spans="1:5" x14ac:dyDescent="0.35">
      <c r="A2576" t="str">
        <f>"2020-04-08"</f>
        <v>2020-04-08</v>
      </c>
      <c r="B2576" s="1" t="str">
        <f t="shared" si="40"/>
        <v>04/08/2020</v>
      </c>
      <c r="C2576" t="str">
        <f>"26.4211"</f>
        <v>26.4211</v>
      </c>
      <c r="D2576" s="1" t="s">
        <v>2567</v>
      </c>
      <c r="E2576" t="s">
        <v>6683</v>
      </c>
    </row>
    <row r="2577" spans="1:5" x14ac:dyDescent="0.35">
      <c r="A2577" t="str">
        <f>"2020-04-09"</f>
        <v>2020-04-09</v>
      </c>
      <c r="B2577" s="1" t="str">
        <f t="shared" si="40"/>
        <v>04/09/2020</v>
      </c>
      <c r="C2577" t="str">
        <f>"25.7893"</f>
        <v>25.7893</v>
      </c>
      <c r="D2577" s="1" t="s">
        <v>2568</v>
      </c>
      <c r="E2577" t="s">
        <v>6684</v>
      </c>
    </row>
    <row r="2578" spans="1:5" x14ac:dyDescent="0.35">
      <c r="A2578" t="str">
        <f>"2020-04-13"</f>
        <v>2020-04-13</v>
      </c>
      <c r="B2578" s="1" t="str">
        <f t="shared" si="40"/>
        <v>04/13/2020</v>
      </c>
      <c r="C2578" t="str">
        <f>"27.0467"</f>
        <v>27.0467</v>
      </c>
      <c r="D2578" s="1" t="s">
        <v>2569</v>
      </c>
      <c r="E2578" t="s">
        <v>6685</v>
      </c>
    </row>
    <row r="2579" spans="1:5" x14ac:dyDescent="0.35">
      <c r="A2579" t="str">
        <f>"2020-04-14"</f>
        <v>2020-04-14</v>
      </c>
      <c r="B2579" s="1" t="str">
        <f t="shared" si="40"/>
        <v>04/14/2020</v>
      </c>
      <c r="C2579" t="str">
        <f>"28.5966"</f>
        <v>28.5966</v>
      </c>
      <c r="D2579" s="1" t="s">
        <v>2570</v>
      </c>
      <c r="E2579" t="s">
        <v>6686</v>
      </c>
    </row>
    <row r="2580" spans="1:5" x14ac:dyDescent="0.35">
      <c r="A2580" t="str">
        <f>"2020-04-15"</f>
        <v>2020-04-15</v>
      </c>
      <c r="B2580" s="1" t="str">
        <f t="shared" si="40"/>
        <v>04/15/2020</v>
      </c>
      <c r="C2580" t="str">
        <f>"27.4221"</f>
        <v>27.4221</v>
      </c>
      <c r="D2580" s="1" t="s">
        <v>2571</v>
      </c>
      <c r="E2580" t="s">
        <v>6687</v>
      </c>
    </row>
    <row r="2581" spans="1:5" x14ac:dyDescent="0.35">
      <c r="A2581" t="str">
        <f>"2020-04-16"</f>
        <v>2020-04-16</v>
      </c>
      <c r="B2581" s="1" t="str">
        <f t="shared" si="40"/>
        <v>04/16/2020</v>
      </c>
      <c r="C2581" t="str">
        <f>"26.6587"</f>
        <v>26.6587</v>
      </c>
      <c r="D2581" s="1" t="s">
        <v>2572</v>
      </c>
      <c r="E2581" t="s">
        <v>6688</v>
      </c>
    </row>
    <row r="2582" spans="1:5" x14ac:dyDescent="0.35">
      <c r="A2582" t="str">
        <f>"2020-04-17"</f>
        <v>2020-04-17</v>
      </c>
      <c r="B2582" s="1" t="str">
        <f t="shared" si="40"/>
        <v>04/17/2020</v>
      </c>
      <c r="C2582" t="str">
        <f>"27.9306"</f>
        <v>27.9306</v>
      </c>
      <c r="D2582" s="1" t="s">
        <v>2573</v>
      </c>
      <c r="E2582" t="s">
        <v>6689</v>
      </c>
    </row>
    <row r="2583" spans="1:5" x14ac:dyDescent="0.35">
      <c r="A2583" t="str">
        <f>"2020-04-20"</f>
        <v>2020-04-20</v>
      </c>
      <c r="B2583" s="1" t="str">
        <f t="shared" si="40"/>
        <v>04/20/2020</v>
      </c>
      <c r="C2583" t="str">
        <f>"28.1687"</f>
        <v>28.1687</v>
      </c>
      <c r="D2583" s="1" t="s">
        <v>2574</v>
      </c>
      <c r="E2583" t="s">
        <v>6690</v>
      </c>
    </row>
    <row r="2584" spans="1:5" x14ac:dyDescent="0.35">
      <c r="A2584" t="str">
        <f>"2020-04-21"</f>
        <v>2020-04-21</v>
      </c>
      <c r="B2584" s="1" t="str">
        <f t="shared" si="40"/>
        <v>04/21/2020</v>
      </c>
      <c r="C2584" t="str">
        <f>"27.9319"</f>
        <v>27.9319</v>
      </c>
      <c r="D2584" s="1" t="s">
        <v>2575</v>
      </c>
      <c r="E2584" t="s">
        <v>6691</v>
      </c>
    </row>
    <row r="2585" spans="1:5" x14ac:dyDescent="0.35">
      <c r="A2585" t="str">
        <f>"2020-04-22"</f>
        <v>2020-04-22</v>
      </c>
      <c r="B2585" s="1" t="str">
        <f t="shared" si="40"/>
        <v>04/22/2020</v>
      </c>
      <c r="C2585" t="str">
        <f>"26.8028"</f>
        <v>26.8028</v>
      </c>
      <c r="D2585" s="1" t="s">
        <v>2576</v>
      </c>
      <c r="E2585" t="s">
        <v>6692</v>
      </c>
    </row>
    <row r="2586" spans="1:5" x14ac:dyDescent="0.35">
      <c r="A2586" t="str">
        <f>"2020-04-24"</f>
        <v>2020-04-24</v>
      </c>
      <c r="B2586" s="1" t="str">
        <f t="shared" si="40"/>
        <v>04/24/2020</v>
      </c>
      <c r="C2586" t="str">
        <f>"26.6705"</f>
        <v>26.6705</v>
      </c>
      <c r="D2586" s="1" t="s">
        <v>2577</v>
      </c>
      <c r="E2586" t="s">
        <v>6693</v>
      </c>
    </row>
    <row r="2587" spans="1:5" x14ac:dyDescent="0.35">
      <c r="A2587" t="str">
        <f>"2020-04-27"</f>
        <v>2020-04-27</v>
      </c>
      <c r="B2587" s="1" t="str">
        <f t="shared" si="40"/>
        <v>04/27/2020</v>
      </c>
      <c r="C2587" t="str">
        <f>"28.222"</f>
        <v>28.222</v>
      </c>
      <c r="D2587" s="1" t="s">
        <v>2578</v>
      </c>
      <c r="E2587" t="s">
        <v>6694</v>
      </c>
    </row>
    <row r="2588" spans="1:5" x14ac:dyDescent="0.35">
      <c r="A2588" t="str">
        <f>"2020-04-28"</f>
        <v>2020-04-28</v>
      </c>
      <c r="B2588" s="1" t="str">
        <f t="shared" si="40"/>
        <v>04/28/2020</v>
      </c>
      <c r="C2588" t="str">
        <f>"27.7497"</f>
        <v>27.7497</v>
      </c>
      <c r="D2588" s="1" t="s">
        <v>2579</v>
      </c>
      <c r="E2588" t="s">
        <v>6695</v>
      </c>
    </row>
    <row r="2589" spans="1:5" x14ac:dyDescent="0.35">
      <c r="A2589" t="str">
        <f>"2020-04-29"</f>
        <v>2020-04-29</v>
      </c>
      <c r="B2589" s="1" t="str">
        <f t="shared" si="40"/>
        <v>04/29/2020</v>
      </c>
      <c r="C2589" t="str">
        <f>"27.7275"</f>
        <v>27.7275</v>
      </c>
      <c r="D2589" s="1" t="s">
        <v>2580</v>
      </c>
      <c r="E2589" t="s">
        <v>6696</v>
      </c>
    </row>
    <row r="2590" spans="1:5" x14ac:dyDescent="0.35">
      <c r="A2590" t="str">
        <f>"2020-04-30"</f>
        <v>2020-04-30</v>
      </c>
      <c r="B2590" s="1" t="str">
        <f t="shared" si="40"/>
        <v>04/30/2020</v>
      </c>
      <c r="C2590" t="str">
        <f>"28.3487"</f>
        <v>28.3487</v>
      </c>
      <c r="D2590" s="1" t="s">
        <v>2581</v>
      </c>
      <c r="E2590" t="s">
        <v>6697</v>
      </c>
    </row>
    <row r="2591" spans="1:5" x14ac:dyDescent="0.35">
      <c r="A2591" t="str">
        <f>"2020-05-04"</f>
        <v>2020-05-04</v>
      </c>
      <c r="B2591" s="1" t="str">
        <f t="shared" si="40"/>
        <v>05/04/2020</v>
      </c>
      <c r="C2591" t="str">
        <f>"27.3458"</f>
        <v>27.3458</v>
      </c>
      <c r="D2591" s="1" t="s">
        <v>2582</v>
      </c>
      <c r="E2591" t="s">
        <v>6698</v>
      </c>
    </row>
    <row r="2592" spans="1:5" x14ac:dyDescent="0.35">
      <c r="A2592" t="str">
        <f>"2020-05-05"</f>
        <v>2020-05-05</v>
      </c>
      <c r="B2592" s="1" t="str">
        <f t="shared" si="40"/>
        <v>05/05/2020</v>
      </c>
      <c r="C2592" t="str">
        <f>"27.2776"</f>
        <v>27.2776</v>
      </c>
      <c r="D2592" s="1" t="s">
        <v>2583</v>
      </c>
      <c r="E2592" t="s">
        <v>6699</v>
      </c>
    </row>
    <row r="2593" spans="1:5" x14ac:dyDescent="0.35">
      <c r="A2593" t="str">
        <f>"2020-05-06"</f>
        <v>2020-05-06</v>
      </c>
      <c r="B2593" s="1" t="str">
        <f t="shared" si="40"/>
        <v>05/06/2020</v>
      </c>
      <c r="C2593" t="str">
        <f>"27.5048"</f>
        <v>27.5048</v>
      </c>
      <c r="D2593" s="1" t="s">
        <v>2584</v>
      </c>
      <c r="E2593" t="s">
        <v>6700</v>
      </c>
    </row>
    <row r="2594" spans="1:5" x14ac:dyDescent="0.35">
      <c r="A2594" t="str">
        <f>"2020-05-07"</f>
        <v>2020-05-07</v>
      </c>
      <c r="B2594" s="1" t="str">
        <f t="shared" si="40"/>
        <v>05/07/2020</v>
      </c>
      <c r="C2594" t="str">
        <f>"26.656"</f>
        <v>26.656</v>
      </c>
      <c r="D2594" s="1" t="s">
        <v>2585</v>
      </c>
      <c r="E2594" t="s">
        <v>6701</v>
      </c>
    </row>
    <row r="2595" spans="1:5" x14ac:dyDescent="0.35">
      <c r="A2595" t="str">
        <f>"2020-05-08"</f>
        <v>2020-05-08</v>
      </c>
      <c r="B2595" s="1" t="str">
        <f t="shared" si="40"/>
        <v>05/08/2020</v>
      </c>
      <c r="C2595" t="str">
        <f>"27.2021"</f>
        <v>27.2021</v>
      </c>
      <c r="D2595" s="1" t="s">
        <v>2586</v>
      </c>
      <c r="E2595" t="s">
        <v>6702</v>
      </c>
    </row>
    <row r="2596" spans="1:5" x14ac:dyDescent="0.35">
      <c r="A2596" t="str">
        <f>"2020-05-11"</f>
        <v>2020-05-11</v>
      </c>
      <c r="B2596" s="1" t="str">
        <f t="shared" si="40"/>
        <v>05/11/2020</v>
      </c>
      <c r="C2596" t="str">
        <f>"27.466"</f>
        <v>27.466</v>
      </c>
      <c r="D2596" s="1" t="s">
        <v>2587</v>
      </c>
      <c r="E2596" t="s">
        <v>6703</v>
      </c>
    </row>
    <row r="2597" spans="1:5" x14ac:dyDescent="0.35">
      <c r="A2597" t="str">
        <f>"2020-05-12"</f>
        <v>2020-05-12</v>
      </c>
      <c r="B2597" s="1" t="str">
        <f t="shared" si="40"/>
        <v>05/12/2020</v>
      </c>
      <c r="C2597" t="str">
        <f>"27.5153"</f>
        <v>27.5153</v>
      </c>
      <c r="D2597" s="1" t="s">
        <v>2588</v>
      </c>
      <c r="E2597" t="s">
        <v>6704</v>
      </c>
    </row>
    <row r="2598" spans="1:5" x14ac:dyDescent="0.35">
      <c r="A2598" t="str">
        <f>"2020-05-13"</f>
        <v>2020-05-13</v>
      </c>
      <c r="B2598" s="1" t="str">
        <f t="shared" si="40"/>
        <v>05/13/2020</v>
      </c>
      <c r="C2598" t="str">
        <f>"27.642"</f>
        <v>27.642</v>
      </c>
      <c r="D2598" s="1" t="s">
        <v>2589</v>
      </c>
      <c r="E2598" t="s">
        <v>6705</v>
      </c>
    </row>
    <row r="2599" spans="1:5" x14ac:dyDescent="0.35">
      <c r="A2599" t="str">
        <f>"2020-05-14"</f>
        <v>2020-05-14</v>
      </c>
      <c r="B2599" s="1" t="str">
        <f t="shared" si="40"/>
        <v>05/14/2020</v>
      </c>
      <c r="C2599" t="str">
        <f>"27.0614"</f>
        <v>27.0614</v>
      </c>
      <c r="D2599" s="1" t="s">
        <v>2590</v>
      </c>
      <c r="E2599" t="s">
        <v>6706</v>
      </c>
    </row>
    <row r="2600" spans="1:5" x14ac:dyDescent="0.35">
      <c r="A2600" t="str">
        <f>"2020-05-15"</f>
        <v>2020-05-15</v>
      </c>
      <c r="B2600" s="1" t="str">
        <f t="shared" si="40"/>
        <v>05/15/2020</v>
      </c>
      <c r="C2600" t="str">
        <f>"27.126"</f>
        <v>27.126</v>
      </c>
      <c r="D2600" s="1" t="s">
        <v>2591</v>
      </c>
      <c r="E2600" t="s">
        <v>6707</v>
      </c>
    </row>
    <row r="2601" spans="1:5" x14ac:dyDescent="0.35">
      <c r="A2601" t="str">
        <f>"2020-05-18"</f>
        <v>2020-05-18</v>
      </c>
      <c r="B2601" s="1" t="str">
        <f t="shared" si="40"/>
        <v>05/18/2020</v>
      </c>
      <c r="C2601" t="str">
        <f>"28.258"</f>
        <v>28.258</v>
      </c>
      <c r="D2601" s="1" t="s">
        <v>2592</v>
      </c>
      <c r="E2601" t="s">
        <v>6708</v>
      </c>
    </row>
    <row r="2602" spans="1:5" x14ac:dyDescent="0.35">
      <c r="A2602" t="str">
        <f>"2020-05-20"</f>
        <v>2020-05-20</v>
      </c>
      <c r="B2602" s="1" t="str">
        <f t="shared" si="40"/>
        <v>05/20/2020</v>
      </c>
      <c r="C2602" t="str">
        <f>"28.4863"</f>
        <v>28.4863</v>
      </c>
      <c r="D2602" s="1" t="s">
        <v>2593</v>
      </c>
      <c r="E2602" t="s">
        <v>6709</v>
      </c>
    </row>
    <row r="2603" spans="1:5" x14ac:dyDescent="0.35">
      <c r="A2603" t="str">
        <f>"2020-05-21"</f>
        <v>2020-05-21</v>
      </c>
      <c r="B2603" s="1" t="str">
        <f t="shared" si="40"/>
        <v>05/21/2020</v>
      </c>
      <c r="C2603" t="str">
        <f>"29.5525"</f>
        <v>29.5525</v>
      </c>
      <c r="D2603" s="1" t="s">
        <v>2594</v>
      </c>
      <c r="E2603" t="s">
        <v>6710</v>
      </c>
    </row>
    <row r="2604" spans="1:5" x14ac:dyDescent="0.35">
      <c r="A2604" t="str">
        <f>"2020-05-22"</f>
        <v>2020-05-22</v>
      </c>
      <c r="B2604" s="1" t="str">
        <f t="shared" si="40"/>
        <v>05/22/2020</v>
      </c>
      <c r="C2604" t="str">
        <f>"29.6037"</f>
        <v>29.6037</v>
      </c>
      <c r="D2604" s="1" t="s">
        <v>2595</v>
      </c>
      <c r="E2604" t="s">
        <v>6711</v>
      </c>
    </row>
    <row r="2605" spans="1:5" x14ac:dyDescent="0.35">
      <c r="A2605" t="str">
        <f>"2020-05-27"</f>
        <v>2020-05-27</v>
      </c>
      <c r="B2605" s="1" t="str">
        <f t="shared" si="40"/>
        <v>05/27/2020</v>
      </c>
      <c r="C2605" t="str">
        <f>"33.3406"</f>
        <v>33.3406</v>
      </c>
      <c r="D2605" s="1" t="s">
        <v>2596</v>
      </c>
      <c r="E2605" t="s">
        <v>6712</v>
      </c>
    </row>
    <row r="2606" spans="1:5" x14ac:dyDescent="0.35">
      <c r="A2606" t="str">
        <f>"2020-05-28"</f>
        <v>2020-05-28</v>
      </c>
      <c r="B2606" s="1" t="str">
        <f t="shared" si="40"/>
        <v>05/28/2020</v>
      </c>
      <c r="C2606" t="str">
        <f>"33.921"</f>
        <v>33.921</v>
      </c>
      <c r="D2606" s="1" t="s">
        <v>2597</v>
      </c>
      <c r="E2606" t="s">
        <v>6713</v>
      </c>
    </row>
    <row r="2607" spans="1:5" x14ac:dyDescent="0.35">
      <c r="A2607" t="str">
        <f>"2020-05-29"</f>
        <v>2020-05-29</v>
      </c>
      <c r="B2607" s="1" t="str">
        <f t="shared" si="40"/>
        <v>05/29/2020</v>
      </c>
      <c r="C2607" t="str">
        <f>"32.8122"</f>
        <v>32.8122</v>
      </c>
      <c r="D2607" s="1" t="s">
        <v>2598</v>
      </c>
      <c r="E2607" t="s">
        <v>6714</v>
      </c>
    </row>
    <row r="2608" spans="1:5" x14ac:dyDescent="0.35">
      <c r="A2608" t="str">
        <f>"2020-06-01"</f>
        <v>2020-06-01</v>
      </c>
      <c r="B2608" s="1" t="str">
        <f t="shared" si="40"/>
        <v>06/01/2020</v>
      </c>
      <c r="C2608" t="str">
        <f>"33.6178"</f>
        <v>33.6178</v>
      </c>
      <c r="D2608" s="1" t="s">
        <v>2599</v>
      </c>
      <c r="E2608" t="s">
        <v>6715</v>
      </c>
    </row>
    <row r="2609" spans="1:5" x14ac:dyDescent="0.35">
      <c r="A2609" t="str">
        <f>"2020-06-02"</f>
        <v>2020-06-02</v>
      </c>
      <c r="B2609" s="1" t="str">
        <f t="shared" si="40"/>
        <v>06/02/2020</v>
      </c>
      <c r="C2609" t="str">
        <f>"33.4369"</f>
        <v>33.4369</v>
      </c>
      <c r="D2609" s="1" t="s">
        <v>2600</v>
      </c>
      <c r="E2609" t="s">
        <v>6716</v>
      </c>
    </row>
    <row r="2610" spans="1:5" x14ac:dyDescent="0.35">
      <c r="A2610" t="str">
        <f>"2020-06-03"</f>
        <v>2020-06-03</v>
      </c>
      <c r="B2610" s="1" t="str">
        <f t="shared" si="40"/>
        <v>06/03/2020</v>
      </c>
      <c r="C2610" t="str">
        <f>"34.2798"</f>
        <v>34.2798</v>
      </c>
      <c r="D2610" s="1" t="s">
        <v>2601</v>
      </c>
      <c r="E2610" t="s">
        <v>6717</v>
      </c>
    </row>
    <row r="2611" spans="1:5" x14ac:dyDescent="0.35">
      <c r="A2611" t="str">
        <f>"2020-06-04"</f>
        <v>2020-06-04</v>
      </c>
      <c r="B2611" s="1" t="str">
        <f t="shared" si="40"/>
        <v>06/04/2020</v>
      </c>
      <c r="C2611" t="str">
        <f>"33.9613"</f>
        <v>33.9613</v>
      </c>
      <c r="D2611" s="1" t="s">
        <v>2602</v>
      </c>
      <c r="E2611" t="s">
        <v>6718</v>
      </c>
    </row>
    <row r="2612" spans="1:5" x14ac:dyDescent="0.35">
      <c r="A2612" t="str">
        <f>"2020-06-05"</f>
        <v>2020-06-05</v>
      </c>
      <c r="B2612" s="1" t="str">
        <f t="shared" si="40"/>
        <v>06/05/2020</v>
      </c>
      <c r="C2612" t="str">
        <f>"35.0284"</f>
        <v>35.0284</v>
      </c>
      <c r="D2612" s="1" t="s">
        <v>2603</v>
      </c>
      <c r="E2612" t="s">
        <v>6719</v>
      </c>
    </row>
    <row r="2613" spans="1:5" x14ac:dyDescent="0.35">
      <c r="A2613" t="str">
        <f>"2020-06-08"</f>
        <v>2020-06-08</v>
      </c>
      <c r="B2613" s="1" t="str">
        <f t="shared" si="40"/>
        <v>06/08/2020</v>
      </c>
      <c r="C2613" t="str">
        <f>"34.2378"</f>
        <v>34.2378</v>
      </c>
      <c r="D2613" s="1" t="s">
        <v>2604</v>
      </c>
      <c r="E2613" t="s">
        <v>6720</v>
      </c>
    </row>
    <row r="2614" spans="1:5" x14ac:dyDescent="0.35">
      <c r="A2614" t="str">
        <f>"2020-06-09"</f>
        <v>2020-06-09</v>
      </c>
      <c r="B2614" s="1" t="str">
        <f t="shared" si="40"/>
        <v>06/09/2020</v>
      </c>
      <c r="C2614" t="str">
        <f>"33.8135"</f>
        <v>33.8135</v>
      </c>
      <c r="D2614" s="1" t="s">
        <v>2605</v>
      </c>
      <c r="E2614" t="s">
        <v>6721</v>
      </c>
    </row>
    <row r="2615" spans="1:5" x14ac:dyDescent="0.35">
      <c r="A2615" t="str">
        <f>"2020-06-10"</f>
        <v>2020-06-10</v>
      </c>
      <c r="B2615" s="1" t="str">
        <f t="shared" si="40"/>
        <v>06/10/2020</v>
      </c>
      <c r="C2615" t="str">
        <f>"33.861"</f>
        <v>33.861</v>
      </c>
      <c r="D2615" s="1" t="s">
        <v>2606</v>
      </c>
      <c r="E2615" t="s">
        <v>6722</v>
      </c>
    </row>
    <row r="2616" spans="1:5" x14ac:dyDescent="0.35">
      <c r="A2616" t="str">
        <f>"2020-06-11"</f>
        <v>2020-06-11</v>
      </c>
      <c r="B2616" s="1" t="str">
        <f t="shared" si="40"/>
        <v>06/11/2020</v>
      </c>
      <c r="C2616" t="str">
        <f>"33.1581"</f>
        <v>33.1581</v>
      </c>
      <c r="D2616" s="1" t="s">
        <v>2607</v>
      </c>
      <c r="E2616" t="s">
        <v>6723</v>
      </c>
    </row>
    <row r="2617" spans="1:5" x14ac:dyDescent="0.35">
      <c r="A2617" t="str">
        <f>"2020-06-12"</f>
        <v>2020-06-12</v>
      </c>
      <c r="B2617" s="1" t="str">
        <f t="shared" si="40"/>
        <v>06/12/2020</v>
      </c>
      <c r="C2617" t="str">
        <f>"33.4983"</f>
        <v>33.4983</v>
      </c>
      <c r="D2617" s="1" t="s">
        <v>2608</v>
      </c>
      <c r="E2617" t="s">
        <v>6724</v>
      </c>
    </row>
    <row r="2618" spans="1:5" x14ac:dyDescent="0.35">
      <c r="A2618" t="str">
        <f>"2020-06-15"</f>
        <v>2020-06-15</v>
      </c>
      <c r="B2618" s="1" t="str">
        <f t="shared" si="40"/>
        <v>06/15/2020</v>
      </c>
      <c r="C2618" t="str">
        <f>"33.3827"</f>
        <v>33.3827</v>
      </c>
      <c r="D2618" s="1" t="s">
        <v>2609</v>
      </c>
      <c r="E2618" t="s">
        <v>6725</v>
      </c>
    </row>
    <row r="2619" spans="1:5" x14ac:dyDescent="0.35">
      <c r="A2619" t="str">
        <f>"2020-06-16"</f>
        <v>2020-06-16</v>
      </c>
      <c r="B2619" s="1" t="str">
        <f t="shared" si="40"/>
        <v>06/16/2020</v>
      </c>
      <c r="C2619" t="str">
        <f>"33.2133"</f>
        <v>33.2133</v>
      </c>
      <c r="D2619" s="1" t="s">
        <v>2610</v>
      </c>
      <c r="E2619" t="s">
        <v>6726</v>
      </c>
    </row>
    <row r="2620" spans="1:5" x14ac:dyDescent="0.35">
      <c r="A2620" t="str">
        <f>"2020-06-17"</f>
        <v>2020-06-17</v>
      </c>
      <c r="B2620" s="1" t="str">
        <f t="shared" si="40"/>
        <v>06/17/2020</v>
      </c>
      <c r="C2620" t="str">
        <f>"32.8096"</f>
        <v>32.8096</v>
      </c>
      <c r="D2620" s="1" t="s">
        <v>2611</v>
      </c>
      <c r="E2620" t="s">
        <v>6727</v>
      </c>
    </row>
    <row r="2621" spans="1:5" x14ac:dyDescent="0.35">
      <c r="A2621" t="str">
        <f>"2020-06-18"</f>
        <v>2020-06-18</v>
      </c>
      <c r="B2621" s="1" t="str">
        <f t="shared" si="40"/>
        <v>06/18/2020</v>
      </c>
      <c r="C2621" t="str">
        <f>"33.0476"</f>
        <v>33.0476</v>
      </c>
      <c r="D2621" s="1" t="s">
        <v>2612</v>
      </c>
      <c r="E2621" t="s">
        <v>6728</v>
      </c>
    </row>
    <row r="2622" spans="1:5" x14ac:dyDescent="0.35">
      <c r="A2622" t="str">
        <f>"2020-06-19"</f>
        <v>2020-06-19</v>
      </c>
      <c r="B2622" s="1" t="str">
        <f t="shared" si="40"/>
        <v>06/19/2020</v>
      </c>
      <c r="C2622" t="str">
        <f>"32.5987"</f>
        <v>32.5987</v>
      </c>
      <c r="D2622" s="1" t="s">
        <v>2613</v>
      </c>
      <c r="E2622" t="s">
        <v>6729</v>
      </c>
    </row>
    <row r="2623" spans="1:5" x14ac:dyDescent="0.35">
      <c r="A2623" t="str">
        <f>"2020-06-22"</f>
        <v>2020-06-22</v>
      </c>
      <c r="B2623" s="1" t="str">
        <f t="shared" si="40"/>
        <v>06/22/2020</v>
      </c>
      <c r="C2623" t="str">
        <f>"32.6345"</f>
        <v>32.6345</v>
      </c>
      <c r="D2623" s="1" t="s">
        <v>2614</v>
      </c>
      <c r="E2623" t="s">
        <v>6730</v>
      </c>
    </row>
    <row r="2624" spans="1:5" x14ac:dyDescent="0.35">
      <c r="A2624" t="str">
        <f>"2020-06-23"</f>
        <v>2020-06-23</v>
      </c>
      <c r="B2624" s="1" t="str">
        <f t="shared" si="40"/>
        <v>06/23/2020</v>
      </c>
      <c r="C2624" t="str">
        <f>"32.1931"</f>
        <v>32.1931</v>
      </c>
      <c r="D2624" s="1" t="s">
        <v>2615</v>
      </c>
      <c r="E2624" t="s">
        <v>6731</v>
      </c>
    </row>
    <row r="2625" spans="1:5" x14ac:dyDescent="0.35">
      <c r="A2625" t="str">
        <f>"2020-06-24"</f>
        <v>2020-06-24</v>
      </c>
      <c r="B2625" s="1" t="str">
        <f t="shared" si="40"/>
        <v>06/24/2020</v>
      </c>
      <c r="C2625" t="str">
        <f>"31.8853"</f>
        <v>31.8853</v>
      </c>
      <c r="D2625" s="1" t="s">
        <v>2616</v>
      </c>
      <c r="E2625" t="s">
        <v>6732</v>
      </c>
    </row>
    <row r="2626" spans="1:5" x14ac:dyDescent="0.35">
      <c r="A2626" t="str">
        <f>"2020-06-25"</f>
        <v>2020-06-25</v>
      </c>
      <c r="B2626" s="1" t="str">
        <f t="shared" si="40"/>
        <v>06/25/2020</v>
      </c>
      <c r="C2626" t="str">
        <f>"31.9249"</f>
        <v>31.9249</v>
      </c>
      <c r="D2626" s="1" t="s">
        <v>2617</v>
      </c>
      <c r="E2626" t="s">
        <v>6733</v>
      </c>
    </row>
    <row r="2627" spans="1:5" x14ac:dyDescent="0.35">
      <c r="A2627" t="str">
        <f>"2020-06-26"</f>
        <v>2020-06-26</v>
      </c>
      <c r="B2627" s="1" t="str">
        <f t="shared" ref="B2627:B2690" si="41">LEFT(RIGHT(A2627,5),2)&amp;"/"&amp;RIGHT(A2627,2)&amp;"/"&amp;LEFT(A2627,4)</f>
        <v>06/26/2020</v>
      </c>
      <c r="C2627" t="str">
        <f>"31.9319"</f>
        <v>31.9319</v>
      </c>
      <c r="D2627" s="1" t="s">
        <v>2618</v>
      </c>
      <c r="E2627" t="s">
        <v>6734</v>
      </c>
    </row>
    <row r="2628" spans="1:5" x14ac:dyDescent="0.35">
      <c r="A2628" t="str">
        <f>"2020-06-29"</f>
        <v>2020-06-29</v>
      </c>
      <c r="B2628" s="1" t="str">
        <f t="shared" si="41"/>
        <v>06/29/2020</v>
      </c>
      <c r="C2628" t="str">
        <f>"31.9008"</f>
        <v>31.9008</v>
      </c>
      <c r="D2628" s="1" t="s">
        <v>2619</v>
      </c>
      <c r="E2628" t="s">
        <v>6735</v>
      </c>
    </row>
    <row r="2629" spans="1:5" x14ac:dyDescent="0.35">
      <c r="A2629" t="str">
        <f>"2020-06-30"</f>
        <v>2020-06-30</v>
      </c>
      <c r="B2629" s="1" t="str">
        <f t="shared" si="41"/>
        <v>06/30/2020</v>
      </c>
      <c r="C2629" t="str">
        <f>"31.7591"</f>
        <v>31.7591</v>
      </c>
      <c r="D2629" s="1" t="s">
        <v>2620</v>
      </c>
      <c r="E2629" t="s">
        <v>6736</v>
      </c>
    </row>
    <row r="2630" spans="1:5" x14ac:dyDescent="0.35">
      <c r="A2630" t="str">
        <f>"2020-07-01"</f>
        <v>2020-07-01</v>
      </c>
      <c r="B2630" s="1" t="str">
        <f t="shared" si="41"/>
        <v>07/01/2020</v>
      </c>
      <c r="C2630" t="str">
        <f>"31.458"</f>
        <v>31.458</v>
      </c>
      <c r="D2630" s="1" t="s">
        <v>2621</v>
      </c>
      <c r="E2630" t="s">
        <v>6737</v>
      </c>
    </row>
    <row r="2631" spans="1:5" x14ac:dyDescent="0.35">
      <c r="A2631" t="str">
        <f>"2020-07-02"</f>
        <v>2020-07-02</v>
      </c>
      <c r="B2631" s="1" t="str">
        <f t="shared" si="41"/>
        <v>07/02/2020</v>
      </c>
      <c r="C2631" t="str">
        <f>"31.2243"</f>
        <v>31.2243</v>
      </c>
      <c r="D2631" s="1" t="s">
        <v>2622</v>
      </c>
      <c r="E2631" t="s">
        <v>6738</v>
      </c>
    </row>
    <row r="2632" spans="1:5" x14ac:dyDescent="0.35">
      <c r="A2632" t="str">
        <f>"2020-07-06"</f>
        <v>2020-07-06</v>
      </c>
      <c r="B2632" s="1" t="str">
        <f t="shared" si="41"/>
        <v>07/06/2020</v>
      </c>
      <c r="C2632" t="str">
        <f>"30.1744"</f>
        <v>30.1744</v>
      </c>
      <c r="D2632" s="1" t="s">
        <v>2623</v>
      </c>
      <c r="E2632" t="s">
        <v>6739</v>
      </c>
    </row>
    <row r="2633" spans="1:5" x14ac:dyDescent="0.35">
      <c r="A2633" t="str">
        <f>"2020-07-07"</f>
        <v>2020-07-07</v>
      </c>
      <c r="B2633" s="1" t="str">
        <f t="shared" si="41"/>
        <v>07/07/2020</v>
      </c>
      <c r="C2633" t="str">
        <f>"29.2681"</f>
        <v>29.2681</v>
      </c>
      <c r="D2633" s="1" t="s">
        <v>2624</v>
      </c>
      <c r="E2633" t="s">
        <v>6740</v>
      </c>
    </row>
    <row r="2634" spans="1:5" x14ac:dyDescent="0.35">
      <c r="A2634" t="str">
        <f>"2020-07-08"</f>
        <v>2020-07-08</v>
      </c>
      <c r="B2634" s="1" t="str">
        <f t="shared" si="41"/>
        <v>07/08/2020</v>
      </c>
      <c r="C2634" t="str">
        <f>"28.298"</f>
        <v>28.298</v>
      </c>
      <c r="D2634" s="1" t="s">
        <v>2625</v>
      </c>
      <c r="E2634" t="s">
        <v>6741</v>
      </c>
    </row>
    <row r="2635" spans="1:5" x14ac:dyDescent="0.35">
      <c r="A2635" t="str">
        <f>"2020-07-09"</f>
        <v>2020-07-09</v>
      </c>
      <c r="B2635" s="1" t="str">
        <f t="shared" si="41"/>
        <v>07/09/2020</v>
      </c>
      <c r="C2635" t="str">
        <f>"28.9388"</f>
        <v>28.9388</v>
      </c>
      <c r="D2635" s="1" t="s">
        <v>2626</v>
      </c>
      <c r="E2635" t="s">
        <v>6742</v>
      </c>
    </row>
    <row r="2636" spans="1:5" x14ac:dyDescent="0.35">
      <c r="A2636" t="str">
        <f>"2020-07-10"</f>
        <v>2020-07-10</v>
      </c>
      <c r="B2636" s="1" t="str">
        <f t="shared" si="41"/>
        <v>07/10/2020</v>
      </c>
      <c r="C2636" t="str">
        <f>"29.7375"</f>
        <v>29.7375</v>
      </c>
      <c r="D2636" s="1" t="s">
        <v>2627</v>
      </c>
      <c r="E2636" t="s">
        <v>6743</v>
      </c>
    </row>
    <row r="2637" spans="1:5" x14ac:dyDescent="0.35">
      <c r="A2637" t="str">
        <f>"2020-07-13"</f>
        <v>2020-07-13</v>
      </c>
      <c r="B2637" s="1" t="str">
        <f t="shared" si="41"/>
        <v>07/13/2020</v>
      </c>
      <c r="C2637" t="str">
        <f>"29.9946"</f>
        <v>29.9946</v>
      </c>
      <c r="D2637" s="1" t="s">
        <v>2628</v>
      </c>
      <c r="E2637" t="s">
        <v>6744</v>
      </c>
    </row>
    <row r="2638" spans="1:5" x14ac:dyDescent="0.35">
      <c r="A2638" t="str">
        <f>"2020-07-14"</f>
        <v>2020-07-14</v>
      </c>
      <c r="B2638" s="1" t="str">
        <f t="shared" si="41"/>
        <v>07/14/2020</v>
      </c>
      <c r="C2638" t="str">
        <f>"29.6191"</f>
        <v>29.6191</v>
      </c>
      <c r="D2638" s="1" t="s">
        <v>2629</v>
      </c>
      <c r="E2638" t="s">
        <v>6745</v>
      </c>
    </row>
    <row r="2639" spans="1:5" x14ac:dyDescent="0.35">
      <c r="A2639" t="str">
        <f>"2020-07-16"</f>
        <v>2020-07-16</v>
      </c>
      <c r="B2639" s="1" t="str">
        <f t="shared" si="41"/>
        <v>07/16/2020</v>
      </c>
      <c r="C2639" t="str">
        <f>"30.1539"</f>
        <v>30.1539</v>
      </c>
      <c r="D2639" s="1" t="s">
        <v>2630</v>
      </c>
      <c r="E2639" t="s">
        <v>6746</v>
      </c>
    </row>
    <row r="2640" spans="1:5" x14ac:dyDescent="0.35">
      <c r="A2640" t="str">
        <f>"2020-07-17"</f>
        <v>2020-07-17</v>
      </c>
      <c r="B2640" s="1" t="str">
        <f t="shared" si="41"/>
        <v>07/17/2020</v>
      </c>
      <c r="C2640" t="str">
        <f>"29.9066"</f>
        <v>29.9066</v>
      </c>
      <c r="D2640" s="1" t="s">
        <v>2631</v>
      </c>
      <c r="E2640" t="s">
        <v>6747</v>
      </c>
    </row>
    <row r="2641" spans="1:5" x14ac:dyDescent="0.35">
      <c r="A2641" t="str">
        <f>"2020-07-20"</f>
        <v>2020-07-20</v>
      </c>
      <c r="B2641" s="1" t="str">
        <f t="shared" si="41"/>
        <v>07/20/2020</v>
      </c>
      <c r="C2641" t="str">
        <f>"29.6477"</f>
        <v>29.6477</v>
      </c>
      <c r="D2641" s="1" t="s">
        <v>2632</v>
      </c>
      <c r="E2641" t="s">
        <v>6748</v>
      </c>
    </row>
    <row r="2642" spans="1:5" x14ac:dyDescent="0.35">
      <c r="A2642" t="str">
        <f>"2020-07-21"</f>
        <v>2020-07-21</v>
      </c>
      <c r="B2642" s="1" t="str">
        <f t="shared" si="41"/>
        <v>07/21/2020</v>
      </c>
      <c r="C2642" t="str">
        <f>"28.8443"</f>
        <v>28.8443</v>
      </c>
      <c r="D2642" s="1" t="s">
        <v>2633</v>
      </c>
      <c r="E2642" t="s">
        <v>6749</v>
      </c>
    </row>
    <row r="2643" spans="1:5" x14ac:dyDescent="0.35">
      <c r="A2643" t="str">
        <f>"2020-07-22"</f>
        <v>2020-07-22</v>
      </c>
      <c r="B2643" s="1" t="str">
        <f t="shared" si="41"/>
        <v>07/22/2020</v>
      </c>
      <c r="C2643" t="str">
        <f>"28.6203"</f>
        <v>28.6203</v>
      </c>
      <c r="D2643" s="1" t="s">
        <v>2634</v>
      </c>
      <c r="E2643" t="s">
        <v>6750</v>
      </c>
    </row>
    <row r="2644" spans="1:5" x14ac:dyDescent="0.35">
      <c r="A2644" t="str">
        <f>"2020-07-23"</f>
        <v>2020-07-23</v>
      </c>
      <c r="B2644" s="1" t="str">
        <f t="shared" si="41"/>
        <v>07/23/2020</v>
      </c>
      <c r="C2644" t="str">
        <f>"28.4514"</f>
        <v>28.4514</v>
      </c>
      <c r="D2644" s="1" t="s">
        <v>2635</v>
      </c>
      <c r="E2644" t="s">
        <v>6751</v>
      </c>
    </row>
    <row r="2645" spans="1:5" x14ac:dyDescent="0.35">
      <c r="A2645" t="str">
        <f>"2020-07-24"</f>
        <v>2020-07-24</v>
      </c>
      <c r="B2645" s="1" t="str">
        <f t="shared" si="41"/>
        <v>07/24/2020</v>
      </c>
      <c r="C2645" t="str">
        <f>"28.1317"</f>
        <v>28.1317</v>
      </c>
      <c r="D2645" s="1" t="s">
        <v>2636</v>
      </c>
      <c r="E2645" t="s">
        <v>6752</v>
      </c>
    </row>
    <row r="2646" spans="1:5" x14ac:dyDescent="0.35">
      <c r="A2646" t="str">
        <f>"2020-07-27"</f>
        <v>2020-07-27</v>
      </c>
      <c r="B2646" s="1" t="str">
        <f t="shared" si="41"/>
        <v>07/27/2020</v>
      </c>
      <c r="C2646" t="str">
        <f>"27.3139"</f>
        <v>27.3139</v>
      </c>
      <c r="D2646" s="1" t="s">
        <v>2637</v>
      </c>
      <c r="E2646" t="s">
        <v>6753</v>
      </c>
    </row>
    <row r="2647" spans="1:5" x14ac:dyDescent="0.35">
      <c r="A2647" t="str">
        <f>"2020-07-28"</f>
        <v>2020-07-28</v>
      </c>
      <c r="B2647" s="1" t="str">
        <f t="shared" si="41"/>
        <v>07/28/2020</v>
      </c>
      <c r="C2647" t="str">
        <f>"25.7611"</f>
        <v>25.7611</v>
      </c>
      <c r="D2647" s="1" t="s">
        <v>2638</v>
      </c>
      <c r="E2647" t="s">
        <v>6754</v>
      </c>
    </row>
    <row r="2648" spans="1:5" x14ac:dyDescent="0.35">
      <c r="A2648" t="str">
        <f>"2020-07-29"</f>
        <v>2020-07-29</v>
      </c>
      <c r="B2648" s="1" t="str">
        <f t="shared" si="41"/>
        <v>07/29/2020</v>
      </c>
      <c r="C2648" t="str">
        <f>"24.8508"</f>
        <v>24.8508</v>
      </c>
      <c r="D2648" s="1" t="s">
        <v>2639</v>
      </c>
      <c r="E2648" t="s">
        <v>6755</v>
      </c>
    </row>
    <row r="2649" spans="1:5" x14ac:dyDescent="0.35">
      <c r="A2649" t="str">
        <f>"2020-07-30"</f>
        <v>2020-07-30</v>
      </c>
      <c r="B2649" s="1" t="str">
        <f t="shared" si="41"/>
        <v>07/30/2020</v>
      </c>
      <c r="C2649" t="str">
        <f>"24.5581"</f>
        <v>24.5581</v>
      </c>
      <c r="D2649" s="1" t="s">
        <v>2640</v>
      </c>
      <c r="E2649" t="s">
        <v>6756</v>
      </c>
    </row>
    <row r="2650" spans="1:5" x14ac:dyDescent="0.35">
      <c r="A2650" t="str">
        <f>"2020-08-04"</f>
        <v>2020-08-04</v>
      </c>
      <c r="B2650" s="1" t="str">
        <f t="shared" si="41"/>
        <v>08/04/2020</v>
      </c>
      <c r="C2650" t="str">
        <f>"24.5628"</f>
        <v>24.5628</v>
      </c>
      <c r="D2650" s="1" t="s">
        <v>2641</v>
      </c>
      <c r="E2650" t="s">
        <v>6757</v>
      </c>
    </row>
    <row r="2651" spans="1:5" x14ac:dyDescent="0.35">
      <c r="A2651" t="str">
        <f>"2020-08-05"</f>
        <v>2020-08-05</v>
      </c>
      <c r="B2651" s="1" t="str">
        <f t="shared" si="41"/>
        <v>08/05/2020</v>
      </c>
      <c r="C2651" t="str">
        <f>"23.9894"</f>
        <v>23.9894</v>
      </c>
      <c r="D2651" s="1" t="s">
        <v>2642</v>
      </c>
      <c r="E2651" t="s">
        <v>6758</v>
      </c>
    </row>
    <row r="2652" spans="1:5" x14ac:dyDescent="0.35">
      <c r="A2652" t="str">
        <f>"2020-08-06"</f>
        <v>2020-08-06</v>
      </c>
      <c r="B2652" s="1" t="str">
        <f t="shared" si="41"/>
        <v>08/06/2020</v>
      </c>
      <c r="C2652" t="str">
        <f>"21.98"</f>
        <v>21.98</v>
      </c>
      <c r="D2652" s="1" t="s">
        <v>2643</v>
      </c>
      <c r="E2652" t="s">
        <v>6759</v>
      </c>
    </row>
    <row r="2653" spans="1:5" x14ac:dyDescent="0.35">
      <c r="A2653" t="str">
        <f>"2020-08-07"</f>
        <v>2020-08-07</v>
      </c>
      <c r="B2653" s="1" t="str">
        <f t="shared" si="41"/>
        <v>08/07/2020</v>
      </c>
      <c r="C2653" t="str">
        <f>"22.9429"</f>
        <v>22.9429</v>
      </c>
      <c r="D2653" s="1" t="s">
        <v>2644</v>
      </c>
      <c r="E2653" t="s">
        <v>6760</v>
      </c>
    </row>
    <row r="2654" spans="1:5" x14ac:dyDescent="0.35">
      <c r="A2654" t="str">
        <f>"2020-08-10"</f>
        <v>2020-08-10</v>
      </c>
      <c r="B2654" s="1" t="str">
        <f t="shared" si="41"/>
        <v>08/10/2020</v>
      </c>
      <c r="C2654" t="str">
        <f>"22.2057"</f>
        <v>22.2057</v>
      </c>
      <c r="D2654" s="1" t="s">
        <v>2645</v>
      </c>
      <c r="E2654" t="s">
        <v>6761</v>
      </c>
    </row>
    <row r="2655" spans="1:5" x14ac:dyDescent="0.35">
      <c r="A2655" t="str">
        <f>"2020-08-11"</f>
        <v>2020-08-11</v>
      </c>
      <c r="B2655" s="1" t="str">
        <f t="shared" si="41"/>
        <v>08/11/2020</v>
      </c>
      <c r="C2655" t="str">
        <f>"25.4981"</f>
        <v>25.4981</v>
      </c>
      <c r="D2655" s="1" t="s">
        <v>2646</v>
      </c>
      <c r="E2655" t="s">
        <v>6762</v>
      </c>
    </row>
    <row r="2656" spans="1:5" x14ac:dyDescent="0.35">
      <c r="A2656" t="str">
        <f>"2020-08-12"</f>
        <v>2020-08-12</v>
      </c>
      <c r="B2656" s="1" t="str">
        <f t="shared" si="41"/>
        <v>08/12/2020</v>
      </c>
      <c r="C2656" t="str">
        <f>"25.6119"</f>
        <v>25.6119</v>
      </c>
      <c r="D2656" s="1" t="s">
        <v>2647</v>
      </c>
      <c r="E2656" t="s">
        <v>6763</v>
      </c>
    </row>
    <row r="2657" spans="1:5" x14ac:dyDescent="0.35">
      <c r="A2657" t="str">
        <f>"2020-08-13"</f>
        <v>2020-08-13</v>
      </c>
      <c r="B2657" s="1" t="str">
        <f t="shared" si="41"/>
        <v>08/13/2020</v>
      </c>
      <c r="C2657" t="str">
        <f>"24.2814"</f>
        <v>24.2814</v>
      </c>
      <c r="D2657" s="1" t="s">
        <v>2648</v>
      </c>
      <c r="E2657" t="s">
        <v>6764</v>
      </c>
    </row>
    <row r="2658" spans="1:5" x14ac:dyDescent="0.35">
      <c r="A2658" t="str">
        <f>"2020-08-14"</f>
        <v>2020-08-14</v>
      </c>
      <c r="B2658" s="1" t="str">
        <f t="shared" si="41"/>
        <v>08/14/2020</v>
      </c>
      <c r="C2658" t="str">
        <f>"24.3751"</f>
        <v>24.3751</v>
      </c>
      <c r="D2658" s="1" t="s">
        <v>2649</v>
      </c>
      <c r="E2658" t="s">
        <v>6765</v>
      </c>
    </row>
    <row r="2659" spans="1:5" x14ac:dyDescent="0.35">
      <c r="A2659" t="str">
        <f>"2020-08-17"</f>
        <v>2020-08-17</v>
      </c>
      <c r="B2659" s="1" t="str">
        <f t="shared" si="41"/>
        <v>08/17/2020</v>
      </c>
      <c r="C2659" t="str">
        <f>"23.3146"</f>
        <v>23.3146</v>
      </c>
      <c r="D2659" s="1" t="s">
        <v>2650</v>
      </c>
      <c r="E2659" t="s">
        <v>6766</v>
      </c>
    </row>
    <row r="2660" spans="1:5" x14ac:dyDescent="0.35">
      <c r="A2660" t="str">
        <f>"2020-08-18"</f>
        <v>2020-08-18</v>
      </c>
      <c r="B2660" s="1" t="str">
        <f t="shared" si="41"/>
        <v>08/18/2020</v>
      </c>
      <c r="C2660" t="str">
        <f>"23.3765"</f>
        <v>23.3765</v>
      </c>
      <c r="D2660" s="1" t="s">
        <v>2651</v>
      </c>
      <c r="E2660" t="s">
        <v>6767</v>
      </c>
    </row>
    <row r="2661" spans="1:5" x14ac:dyDescent="0.35">
      <c r="A2661" t="str">
        <f>"2020-08-19"</f>
        <v>2020-08-19</v>
      </c>
      <c r="B2661" s="1" t="str">
        <f t="shared" si="41"/>
        <v>08/19/2020</v>
      </c>
      <c r="C2661" t="str">
        <f>"24.2996"</f>
        <v>24.2996</v>
      </c>
      <c r="D2661" s="1" t="s">
        <v>2652</v>
      </c>
      <c r="E2661" t="s">
        <v>6768</v>
      </c>
    </row>
    <row r="2662" spans="1:5" x14ac:dyDescent="0.35">
      <c r="A2662" t="str">
        <f>"2020-08-20"</f>
        <v>2020-08-20</v>
      </c>
      <c r="B2662" s="1" t="str">
        <f t="shared" si="41"/>
        <v>08/20/2020</v>
      </c>
      <c r="C2662" t="str">
        <f>"24.752"</f>
        <v>24.752</v>
      </c>
      <c r="D2662" s="1" t="s">
        <v>2653</v>
      </c>
      <c r="E2662" t="s">
        <v>6769</v>
      </c>
    </row>
    <row r="2663" spans="1:5" x14ac:dyDescent="0.35">
      <c r="A2663" t="str">
        <f>"2020-08-21"</f>
        <v>2020-08-21</v>
      </c>
      <c r="B2663" s="1" t="str">
        <f t="shared" si="41"/>
        <v>08/21/2020</v>
      </c>
      <c r="C2663" t="str">
        <f>"24.3932"</f>
        <v>24.3932</v>
      </c>
      <c r="D2663" s="1" t="s">
        <v>2654</v>
      </c>
      <c r="E2663" t="s">
        <v>6770</v>
      </c>
    </row>
    <row r="2664" spans="1:5" x14ac:dyDescent="0.35">
      <c r="A2664" t="str">
        <f>"2020-08-24"</f>
        <v>2020-08-24</v>
      </c>
      <c r="B2664" s="1" t="str">
        <f t="shared" si="41"/>
        <v>08/24/2020</v>
      </c>
      <c r="C2664" t="str">
        <f>"24.5418"</f>
        <v>24.5418</v>
      </c>
      <c r="D2664" s="1" t="s">
        <v>2655</v>
      </c>
      <c r="E2664" t="s">
        <v>6771</v>
      </c>
    </row>
    <row r="2665" spans="1:5" x14ac:dyDescent="0.35">
      <c r="A2665" t="str">
        <f>"2020-08-25"</f>
        <v>2020-08-25</v>
      </c>
      <c r="B2665" s="1" t="str">
        <f t="shared" si="41"/>
        <v>08/25/2020</v>
      </c>
      <c r="C2665" t="str">
        <f>"24.648"</f>
        <v>24.648</v>
      </c>
      <c r="D2665" s="1" t="s">
        <v>2656</v>
      </c>
      <c r="E2665" t="s">
        <v>6772</v>
      </c>
    </row>
    <row r="2666" spans="1:5" x14ac:dyDescent="0.35">
      <c r="A2666" t="str">
        <f>"2020-08-26"</f>
        <v>2020-08-26</v>
      </c>
      <c r="B2666" s="1" t="str">
        <f t="shared" si="41"/>
        <v>08/26/2020</v>
      </c>
      <c r="C2666" t="str">
        <f>"23.9108"</f>
        <v>23.9108</v>
      </c>
      <c r="D2666" s="1" t="s">
        <v>2657</v>
      </c>
      <c r="E2666" t="s">
        <v>6773</v>
      </c>
    </row>
    <row r="2667" spans="1:5" x14ac:dyDescent="0.35">
      <c r="A2667" t="str">
        <f>"2020-08-27"</f>
        <v>2020-08-27</v>
      </c>
      <c r="B2667" s="1" t="str">
        <f t="shared" si="41"/>
        <v>08/27/2020</v>
      </c>
      <c r="C2667" t="str">
        <f>"24.4487"</f>
        <v>24.4487</v>
      </c>
      <c r="D2667" s="1" t="s">
        <v>2658</v>
      </c>
      <c r="E2667" t="s">
        <v>6774</v>
      </c>
    </row>
    <row r="2668" spans="1:5" x14ac:dyDescent="0.35">
      <c r="A2668" t="str">
        <f>"2020-08-28"</f>
        <v>2020-08-28</v>
      </c>
      <c r="B2668" s="1" t="str">
        <f t="shared" si="41"/>
        <v>08/28/2020</v>
      </c>
      <c r="C2668" t="str">
        <f>"23.6642"</f>
        <v>23.6642</v>
      </c>
      <c r="D2668" s="1" t="s">
        <v>2659</v>
      </c>
      <c r="E2668" t="s">
        <v>6775</v>
      </c>
    </row>
    <row r="2669" spans="1:5" x14ac:dyDescent="0.35">
      <c r="A2669" t="str">
        <f>"2020-08-31"</f>
        <v>2020-08-31</v>
      </c>
      <c r="B2669" s="1" t="str">
        <f t="shared" si="41"/>
        <v>08/31/2020</v>
      </c>
      <c r="C2669" t="str">
        <f>"22.8758"</f>
        <v>22.8758</v>
      </c>
      <c r="D2669" s="1" t="s">
        <v>2660</v>
      </c>
      <c r="E2669" t="s">
        <v>6776</v>
      </c>
    </row>
    <row r="2670" spans="1:5" x14ac:dyDescent="0.35">
      <c r="A2670" t="str">
        <f>"2020-09-01"</f>
        <v>2020-09-01</v>
      </c>
      <c r="B2670" s="1" t="str">
        <f t="shared" si="41"/>
        <v>09/01/2020</v>
      </c>
      <c r="C2670" t="str">
        <f>"22.9116"</f>
        <v>22.9116</v>
      </c>
      <c r="D2670" s="1" t="s">
        <v>2661</v>
      </c>
      <c r="E2670" t="s">
        <v>6777</v>
      </c>
    </row>
    <row r="2671" spans="1:5" x14ac:dyDescent="0.35">
      <c r="A2671" t="str">
        <f>"2020-09-02"</f>
        <v>2020-09-02</v>
      </c>
      <c r="B2671" s="1" t="str">
        <f t="shared" si="41"/>
        <v>09/02/2020</v>
      </c>
      <c r="C2671" t="str">
        <f>"22.9846"</f>
        <v>22.9846</v>
      </c>
      <c r="D2671" s="1" t="s">
        <v>2662</v>
      </c>
      <c r="E2671" t="s">
        <v>6778</v>
      </c>
    </row>
    <row r="2672" spans="1:5" x14ac:dyDescent="0.35">
      <c r="A2672" t="str">
        <f>"2020-09-03"</f>
        <v>2020-09-03</v>
      </c>
      <c r="B2672" s="1" t="str">
        <f t="shared" si="41"/>
        <v>09/03/2020</v>
      </c>
      <c r="C2672" t="str">
        <f>"22.7249"</f>
        <v>22.7249</v>
      </c>
      <c r="D2672" s="1" t="s">
        <v>2663</v>
      </c>
      <c r="E2672" t="s">
        <v>6779</v>
      </c>
    </row>
    <row r="2673" spans="1:5" x14ac:dyDescent="0.35">
      <c r="A2673" t="str">
        <f>"2020-09-04"</f>
        <v>2020-09-04</v>
      </c>
      <c r="B2673" s="1" t="str">
        <f t="shared" si="41"/>
        <v>09/04/2020</v>
      </c>
      <c r="C2673" t="str">
        <f>"22.8715"</f>
        <v>22.8715</v>
      </c>
      <c r="D2673" s="1" t="s">
        <v>2664</v>
      </c>
      <c r="E2673" t="s">
        <v>6780</v>
      </c>
    </row>
    <row r="2674" spans="1:5" x14ac:dyDescent="0.35">
      <c r="A2674" t="str">
        <f>"2020-09-08"</f>
        <v>2020-09-08</v>
      </c>
      <c r="B2674" s="1" t="str">
        <f t="shared" si="41"/>
        <v>09/08/2020</v>
      </c>
      <c r="C2674" t="str">
        <f>"23.284"</f>
        <v>23.284</v>
      </c>
      <c r="D2674" s="1" t="s">
        <v>2665</v>
      </c>
      <c r="E2674" t="s">
        <v>6781</v>
      </c>
    </row>
    <row r="2675" spans="1:5" x14ac:dyDescent="0.35">
      <c r="A2675" t="str">
        <f>"2020-09-09"</f>
        <v>2020-09-09</v>
      </c>
      <c r="B2675" s="1" t="str">
        <f t="shared" si="41"/>
        <v>09/09/2020</v>
      </c>
      <c r="C2675" t="str">
        <f>"23.1812"</f>
        <v>23.1812</v>
      </c>
      <c r="D2675" s="1" t="s">
        <v>2666</v>
      </c>
      <c r="E2675" t="s">
        <v>6782</v>
      </c>
    </row>
    <row r="2676" spans="1:5" x14ac:dyDescent="0.35">
      <c r="A2676" t="str">
        <f>"2020-09-10"</f>
        <v>2020-09-10</v>
      </c>
      <c r="B2676" s="1" t="str">
        <f t="shared" si="41"/>
        <v>09/10/2020</v>
      </c>
      <c r="C2676" t="str">
        <f>"22.9296"</f>
        <v>22.9296</v>
      </c>
      <c r="D2676" s="1" t="s">
        <v>2667</v>
      </c>
      <c r="E2676" t="s">
        <v>6783</v>
      </c>
    </row>
    <row r="2677" spans="1:5" x14ac:dyDescent="0.35">
      <c r="A2677" t="str">
        <f>"2020-09-11"</f>
        <v>2020-09-11</v>
      </c>
      <c r="B2677" s="1" t="str">
        <f t="shared" si="41"/>
        <v>09/11/2020</v>
      </c>
      <c r="C2677" t="str">
        <f>"23.5507"</f>
        <v>23.5507</v>
      </c>
      <c r="D2677" s="1" t="s">
        <v>2668</v>
      </c>
      <c r="E2677" t="s">
        <v>6784</v>
      </c>
    </row>
    <row r="2678" spans="1:5" x14ac:dyDescent="0.35">
      <c r="A2678" t="str">
        <f>"2020-09-14"</f>
        <v>2020-09-14</v>
      </c>
      <c r="B2678" s="1" t="str">
        <f t="shared" si="41"/>
        <v>09/14/2020</v>
      </c>
      <c r="C2678" t="str">
        <f>"23.246"</f>
        <v>23.246</v>
      </c>
      <c r="D2678" s="1" t="s">
        <v>2669</v>
      </c>
      <c r="E2678" t="s">
        <v>6785</v>
      </c>
    </row>
    <row r="2679" spans="1:5" x14ac:dyDescent="0.35">
      <c r="A2679" t="str">
        <f>"2020-09-15"</f>
        <v>2020-09-15</v>
      </c>
      <c r="B2679" s="1" t="str">
        <f t="shared" si="41"/>
        <v>09/15/2020</v>
      </c>
      <c r="C2679" t="str">
        <f>"22.7965"</f>
        <v>22.7965</v>
      </c>
      <c r="D2679" s="1" t="s">
        <v>2670</v>
      </c>
      <c r="E2679" t="s">
        <v>6786</v>
      </c>
    </row>
    <row r="2680" spans="1:5" x14ac:dyDescent="0.35">
      <c r="A2680" t="str">
        <f>"2020-09-16"</f>
        <v>2020-09-16</v>
      </c>
      <c r="B2680" s="1" t="str">
        <f t="shared" si="41"/>
        <v>09/16/2020</v>
      </c>
      <c r="C2680" t="str">
        <f>"22.5334"</f>
        <v>22.5334</v>
      </c>
      <c r="D2680" s="1" t="s">
        <v>2671</v>
      </c>
      <c r="E2680" t="s">
        <v>6787</v>
      </c>
    </row>
    <row r="2681" spans="1:5" x14ac:dyDescent="0.35">
      <c r="A2681" t="str">
        <f>"2020-09-17"</f>
        <v>2020-09-17</v>
      </c>
      <c r="B2681" s="1" t="str">
        <f t="shared" si="41"/>
        <v>09/17/2020</v>
      </c>
      <c r="C2681" t="str">
        <f>"22.8101"</f>
        <v>22.8101</v>
      </c>
      <c r="D2681" s="1" t="s">
        <v>2672</v>
      </c>
      <c r="E2681" t="s">
        <v>6788</v>
      </c>
    </row>
    <row r="2682" spans="1:5" x14ac:dyDescent="0.35">
      <c r="A2682" t="str">
        <f>"2020-09-18"</f>
        <v>2020-09-18</v>
      </c>
      <c r="B2682" s="1" t="str">
        <f t="shared" si="41"/>
        <v>09/18/2020</v>
      </c>
      <c r="C2682" t="str">
        <f>"22.4494"</f>
        <v>22.4494</v>
      </c>
      <c r="D2682" s="1" t="s">
        <v>2673</v>
      </c>
      <c r="E2682" t="s">
        <v>6789</v>
      </c>
    </row>
    <row r="2683" spans="1:5" x14ac:dyDescent="0.35">
      <c r="A2683" t="str">
        <f>"2020-09-21"</f>
        <v>2020-09-21</v>
      </c>
      <c r="B2683" s="1" t="str">
        <f t="shared" si="41"/>
        <v>09/21/2020</v>
      </c>
      <c r="C2683" t="str">
        <f>"22.383"</f>
        <v>22.383</v>
      </c>
      <c r="D2683" s="1" t="s">
        <v>2674</v>
      </c>
      <c r="E2683" t="s">
        <v>6790</v>
      </c>
    </row>
    <row r="2684" spans="1:5" x14ac:dyDescent="0.35">
      <c r="A2684" t="str">
        <f>"2020-09-22"</f>
        <v>2020-09-22</v>
      </c>
      <c r="B2684" s="1" t="str">
        <f t="shared" si="41"/>
        <v>09/22/2020</v>
      </c>
      <c r="C2684" t="str">
        <f>"22.7131"</f>
        <v>22.7131</v>
      </c>
      <c r="D2684" s="1" t="s">
        <v>2675</v>
      </c>
      <c r="E2684" t="s">
        <v>6791</v>
      </c>
    </row>
    <row r="2685" spans="1:5" x14ac:dyDescent="0.35">
      <c r="A2685" t="str">
        <f>"2020-09-23"</f>
        <v>2020-09-23</v>
      </c>
      <c r="B2685" s="1" t="str">
        <f t="shared" si="41"/>
        <v>09/23/2020</v>
      </c>
      <c r="C2685" t="str">
        <f>"22.9659"</f>
        <v>22.9659</v>
      </c>
      <c r="D2685" s="1" t="s">
        <v>2676</v>
      </c>
      <c r="E2685" t="s">
        <v>6792</v>
      </c>
    </row>
    <row r="2686" spans="1:5" x14ac:dyDescent="0.35">
      <c r="A2686" t="str">
        <f>"2020-09-24"</f>
        <v>2020-09-24</v>
      </c>
      <c r="B2686" s="1" t="str">
        <f t="shared" si="41"/>
        <v>09/24/2020</v>
      </c>
      <c r="C2686" t="str">
        <f>"22.7276"</f>
        <v>22.7276</v>
      </c>
      <c r="D2686" s="1" t="s">
        <v>2677</v>
      </c>
      <c r="E2686" t="s">
        <v>6793</v>
      </c>
    </row>
    <row r="2687" spans="1:5" x14ac:dyDescent="0.35">
      <c r="A2687" t="str">
        <f>"2020-09-25"</f>
        <v>2020-09-25</v>
      </c>
      <c r="B2687" s="1" t="str">
        <f t="shared" si="41"/>
        <v>09/25/2020</v>
      </c>
      <c r="C2687" t="str">
        <f>"23.0621"</f>
        <v>23.0621</v>
      </c>
      <c r="D2687" s="1" t="s">
        <v>2678</v>
      </c>
      <c r="E2687" t="s">
        <v>6794</v>
      </c>
    </row>
    <row r="2688" spans="1:5" x14ac:dyDescent="0.35">
      <c r="A2688" t="str">
        <f>"2020-09-28"</f>
        <v>2020-09-28</v>
      </c>
      <c r="B2688" s="1" t="str">
        <f t="shared" si="41"/>
        <v>09/28/2020</v>
      </c>
      <c r="C2688" t="str">
        <f>"22.489"</f>
        <v>22.489</v>
      </c>
      <c r="D2688" s="1" t="s">
        <v>2679</v>
      </c>
      <c r="E2688" t="s">
        <v>6795</v>
      </c>
    </row>
    <row r="2689" spans="1:5" x14ac:dyDescent="0.35">
      <c r="A2689" t="str">
        <f>"2020-09-29"</f>
        <v>2020-09-29</v>
      </c>
      <c r="B2689" s="1" t="str">
        <f t="shared" si="41"/>
        <v>09/29/2020</v>
      </c>
      <c r="C2689" t="str">
        <f>"21.8424"</f>
        <v>21.8424</v>
      </c>
      <c r="D2689" s="1" t="s">
        <v>2680</v>
      </c>
      <c r="E2689" t="s">
        <v>6796</v>
      </c>
    </row>
    <row r="2690" spans="1:5" x14ac:dyDescent="0.35">
      <c r="A2690" t="str">
        <f>"2020-09-30"</f>
        <v>2020-09-30</v>
      </c>
      <c r="B2690" s="1" t="str">
        <f t="shared" si="41"/>
        <v>09/30/2020</v>
      </c>
      <c r="C2690" t="str">
        <f>"22.1085"</f>
        <v>22.1085</v>
      </c>
      <c r="D2690" s="1" t="s">
        <v>2681</v>
      </c>
      <c r="E2690" t="s">
        <v>6797</v>
      </c>
    </row>
    <row r="2691" spans="1:5" x14ac:dyDescent="0.35">
      <c r="A2691" t="str">
        <f>"2020-10-01"</f>
        <v>2020-10-01</v>
      </c>
      <c r="B2691" s="1" t="str">
        <f t="shared" ref="B2691:B2754" si="42">LEFT(RIGHT(A2691,5),2)&amp;"/"&amp;RIGHT(A2691,2)&amp;"/"&amp;LEFT(A2691,4)</f>
        <v>10/01/2020</v>
      </c>
      <c r="C2691" t="str">
        <f>"22.356"</f>
        <v>22.356</v>
      </c>
      <c r="D2691" s="1" t="s">
        <v>2682</v>
      </c>
      <c r="E2691" t="s">
        <v>6798</v>
      </c>
    </row>
    <row r="2692" spans="1:5" x14ac:dyDescent="0.35">
      <c r="A2692" t="str">
        <f>"2020-10-02"</f>
        <v>2020-10-02</v>
      </c>
      <c r="B2692" s="1" t="str">
        <f t="shared" si="42"/>
        <v>10/02/2020</v>
      </c>
      <c r="C2692" t="str">
        <f>"22.4684"</f>
        <v>22.4684</v>
      </c>
      <c r="D2692" s="1" t="s">
        <v>2683</v>
      </c>
      <c r="E2692" t="s">
        <v>6799</v>
      </c>
    </row>
    <row r="2693" spans="1:5" x14ac:dyDescent="0.35">
      <c r="A2693" t="str">
        <f>"2020-10-05"</f>
        <v>2020-10-05</v>
      </c>
      <c r="B2693" s="1" t="str">
        <f t="shared" si="42"/>
        <v>10/05/2020</v>
      </c>
      <c r="C2693" t="str">
        <f>"22.4506"</f>
        <v>22.4506</v>
      </c>
      <c r="D2693" s="1" t="s">
        <v>2684</v>
      </c>
      <c r="E2693" t="s">
        <v>6800</v>
      </c>
    </row>
    <row r="2694" spans="1:5" x14ac:dyDescent="0.35">
      <c r="A2694" t="str">
        <f>"2020-10-06"</f>
        <v>2020-10-06</v>
      </c>
      <c r="B2694" s="1" t="str">
        <f t="shared" si="42"/>
        <v>10/06/2020</v>
      </c>
      <c r="C2694" t="str">
        <f>"22.4118"</f>
        <v>22.4118</v>
      </c>
      <c r="D2694" s="1" t="s">
        <v>2685</v>
      </c>
      <c r="E2694" t="s">
        <v>6801</v>
      </c>
    </row>
    <row r="2695" spans="1:5" x14ac:dyDescent="0.35">
      <c r="A2695" t="str">
        <f>"2020-10-07"</f>
        <v>2020-10-07</v>
      </c>
      <c r="B2695" s="1" t="str">
        <f t="shared" si="42"/>
        <v>10/07/2020</v>
      </c>
      <c r="C2695" t="str">
        <f>"22.5591"</f>
        <v>22.5591</v>
      </c>
      <c r="D2695" s="1" t="s">
        <v>2686</v>
      </c>
      <c r="E2695" t="s">
        <v>6802</v>
      </c>
    </row>
    <row r="2696" spans="1:5" x14ac:dyDescent="0.35">
      <c r="A2696" t="str">
        <f>"2020-10-08"</f>
        <v>2020-10-08</v>
      </c>
      <c r="B2696" s="1" t="str">
        <f t="shared" si="42"/>
        <v>10/08/2020</v>
      </c>
      <c r="C2696" t="str">
        <f>"22.3627"</f>
        <v>22.3627</v>
      </c>
      <c r="D2696" s="1" t="s">
        <v>2687</v>
      </c>
      <c r="E2696" t="s">
        <v>6803</v>
      </c>
    </row>
    <row r="2697" spans="1:5" x14ac:dyDescent="0.35">
      <c r="A2697" t="str">
        <f>"2020-10-09"</f>
        <v>2020-10-09</v>
      </c>
      <c r="B2697" s="1" t="str">
        <f t="shared" si="42"/>
        <v>10/09/2020</v>
      </c>
      <c r="C2697" t="str">
        <f>"21.9786"</f>
        <v>21.9786</v>
      </c>
      <c r="D2697" s="1" t="s">
        <v>2688</v>
      </c>
      <c r="E2697" t="s">
        <v>6804</v>
      </c>
    </row>
    <row r="2698" spans="1:5" x14ac:dyDescent="0.35">
      <c r="A2698" t="str">
        <f>"2020-10-12"</f>
        <v>2020-10-12</v>
      </c>
      <c r="B2698" s="1" t="str">
        <f t="shared" si="42"/>
        <v>10/12/2020</v>
      </c>
      <c r="C2698" t="str">
        <f>"22.272"</f>
        <v>22.272</v>
      </c>
      <c r="D2698" s="1" t="s">
        <v>2689</v>
      </c>
      <c r="E2698" t="s">
        <v>6805</v>
      </c>
    </row>
    <row r="2699" spans="1:5" x14ac:dyDescent="0.35">
      <c r="A2699" t="str">
        <f>"2020-10-13"</f>
        <v>2020-10-13</v>
      </c>
      <c r="B2699" s="1" t="str">
        <f t="shared" si="42"/>
        <v>10/13/2020</v>
      </c>
      <c r="C2699" t="str">
        <f>"22.1816"</f>
        <v>22.1816</v>
      </c>
      <c r="D2699" s="1" t="s">
        <v>2690</v>
      </c>
      <c r="E2699" t="s">
        <v>6806</v>
      </c>
    </row>
    <row r="2700" spans="1:5" x14ac:dyDescent="0.35">
      <c r="A2700" t="str">
        <f>"2020-10-14"</f>
        <v>2020-10-14</v>
      </c>
      <c r="B2700" s="1" t="str">
        <f t="shared" si="42"/>
        <v>10/14/2020</v>
      </c>
      <c r="C2700" t="str">
        <f>"22.0167"</f>
        <v>22.0167</v>
      </c>
      <c r="D2700" s="1" t="s">
        <v>2691</v>
      </c>
      <c r="E2700" t="s">
        <v>6807</v>
      </c>
    </row>
    <row r="2701" spans="1:5" x14ac:dyDescent="0.35">
      <c r="A2701" t="str">
        <f>"2020-10-15"</f>
        <v>2020-10-15</v>
      </c>
      <c r="B2701" s="1" t="str">
        <f t="shared" si="42"/>
        <v>10/15/2020</v>
      </c>
      <c r="C2701" t="str">
        <f>"21.725"</f>
        <v>21.725</v>
      </c>
      <c r="D2701" s="1" t="s">
        <v>2692</v>
      </c>
      <c r="E2701" t="s">
        <v>6808</v>
      </c>
    </row>
    <row r="2702" spans="1:5" x14ac:dyDescent="0.35">
      <c r="A2702" t="str">
        <f>"2020-10-16"</f>
        <v>2020-10-16</v>
      </c>
      <c r="B2702" s="1" t="str">
        <f t="shared" si="42"/>
        <v>10/16/2020</v>
      </c>
      <c r="C2702" t="str">
        <f>"21.8085"</f>
        <v>21.8085</v>
      </c>
      <c r="D2702" s="1" t="s">
        <v>2693</v>
      </c>
      <c r="E2702" t="s">
        <v>6809</v>
      </c>
    </row>
    <row r="2703" spans="1:5" x14ac:dyDescent="0.35">
      <c r="A2703" t="str">
        <f>"2020-10-19"</f>
        <v>2020-10-19</v>
      </c>
      <c r="B2703" s="1" t="str">
        <f t="shared" si="42"/>
        <v>10/19/2020</v>
      </c>
      <c r="C2703" t="str">
        <f>"21.9193"</f>
        <v>21.9193</v>
      </c>
      <c r="D2703" s="1" t="s">
        <v>2694</v>
      </c>
      <c r="E2703" t="s">
        <v>6810</v>
      </c>
    </row>
    <row r="2704" spans="1:5" x14ac:dyDescent="0.35">
      <c r="A2704" t="str">
        <f>"2020-10-20"</f>
        <v>2020-10-20</v>
      </c>
      <c r="B2704" s="1" t="str">
        <f t="shared" si="42"/>
        <v>10/20/2020</v>
      </c>
      <c r="C2704" t="str">
        <f>"21.8595"</f>
        <v>21.8595</v>
      </c>
      <c r="D2704" s="1" t="s">
        <v>2695</v>
      </c>
      <c r="E2704" t="s">
        <v>6811</v>
      </c>
    </row>
    <row r="2705" spans="1:5" x14ac:dyDescent="0.35">
      <c r="A2705" t="str">
        <f>"2020-10-21"</f>
        <v>2020-10-21</v>
      </c>
      <c r="B2705" s="1" t="str">
        <f t="shared" si="42"/>
        <v>10/21/2020</v>
      </c>
      <c r="C2705" t="str">
        <f>"21.5535"</f>
        <v>21.5535</v>
      </c>
      <c r="D2705" s="1" t="s">
        <v>2696</v>
      </c>
      <c r="E2705" t="s">
        <v>6812</v>
      </c>
    </row>
    <row r="2706" spans="1:5" x14ac:dyDescent="0.35">
      <c r="A2706" t="str">
        <f>"2020-10-22"</f>
        <v>2020-10-22</v>
      </c>
      <c r="B2706" s="1" t="str">
        <f t="shared" si="42"/>
        <v>10/22/2020</v>
      </c>
      <c r="C2706" t="str">
        <f>"21.75"</f>
        <v>21.75</v>
      </c>
      <c r="D2706" s="1" t="s">
        <v>2697</v>
      </c>
      <c r="E2706" t="s">
        <v>6813</v>
      </c>
    </row>
    <row r="2707" spans="1:5" x14ac:dyDescent="0.35">
      <c r="A2707" t="str">
        <f>"2020-10-23"</f>
        <v>2020-10-23</v>
      </c>
      <c r="B2707" s="1" t="str">
        <f t="shared" si="42"/>
        <v>10/23/2020</v>
      </c>
      <c r="C2707" t="str">
        <f>"21.3546"</f>
        <v>21.3546</v>
      </c>
      <c r="D2707" s="1" t="s">
        <v>2698</v>
      </c>
      <c r="E2707" t="s">
        <v>6814</v>
      </c>
    </row>
    <row r="2708" spans="1:5" x14ac:dyDescent="0.35">
      <c r="A2708" t="str">
        <f>"2020-10-26"</f>
        <v>2020-10-26</v>
      </c>
      <c r="B2708" s="1" t="str">
        <f t="shared" si="42"/>
        <v>10/26/2020</v>
      </c>
      <c r="C2708" t="str">
        <f>"20.0711"</f>
        <v>20.0711</v>
      </c>
      <c r="D2708" s="1" t="s">
        <v>2699</v>
      </c>
      <c r="E2708" t="s">
        <v>6815</v>
      </c>
    </row>
    <row r="2709" spans="1:5" x14ac:dyDescent="0.35">
      <c r="A2709" t="str">
        <f>"2020-10-27"</f>
        <v>2020-10-27</v>
      </c>
      <c r="B2709" s="1" t="str">
        <f t="shared" si="42"/>
        <v>10/27/2020</v>
      </c>
      <c r="C2709" t="str">
        <f>"19.0336"</f>
        <v>19.0336</v>
      </c>
      <c r="D2709" s="1" t="s">
        <v>2700</v>
      </c>
      <c r="E2709" t="s">
        <v>6816</v>
      </c>
    </row>
    <row r="2710" spans="1:5" x14ac:dyDescent="0.35">
      <c r="A2710" t="str">
        <f>"2020-10-28"</f>
        <v>2020-10-28</v>
      </c>
      <c r="B2710" s="1" t="str">
        <f t="shared" si="42"/>
        <v>10/28/2020</v>
      </c>
      <c r="C2710" t="str">
        <f>"18.5353"</f>
        <v>18.5353</v>
      </c>
      <c r="D2710" s="1" t="s">
        <v>2701</v>
      </c>
      <c r="E2710" t="s">
        <v>6817</v>
      </c>
    </row>
    <row r="2711" spans="1:5" x14ac:dyDescent="0.35">
      <c r="A2711" t="str">
        <f>"2020-10-30"</f>
        <v>2020-10-30</v>
      </c>
      <c r="B2711" s="1" t="str">
        <f t="shared" si="42"/>
        <v>10/30/2020</v>
      </c>
      <c r="C2711" t="str">
        <f>"18.009"</f>
        <v>18.009</v>
      </c>
      <c r="D2711" s="1" t="s">
        <v>2702</v>
      </c>
      <c r="E2711" t="s">
        <v>6818</v>
      </c>
    </row>
    <row r="2712" spans="1:5" x14ac:dyDescent="0.35">
      <c r="A2712" t="str">
        <f>"2020-11-02"</f>
        <v>2020-11-02</v>
      </c>
      <c r="B2712" s="1" t="str">
        <f t="shared" si="42"/>
        <v>11/02/2020</v>
      </c>
      <c r="C2712" t="str">
        <f>"18.5319"</f>
        <v>18.5319</v>
      </c>
      <c r="D2712" s="1" t="s">
        <v>2703</v>
      </c>
      <c r="E2712" t="s">
        <v>6819</v>
      </c>
    </row>
    <row r="2713" spans="1:5" x14ac:dyDescent="0.35">
      <c r="A2713" t="str">
        <f>"2020-11-03"</f>
        <v>2020-11-03</v>
      </c>
      <c r="B2713" s="1" t="str">
        <f t="shared" si="42"/>
        <v>11/03/2020</v>
      </c>
      <c r="C2713" t="str">
        <f>"18.3774"</f>
        <v>18.3774</v>
      </c>
      <c r="D2713" s="1" t="s">
        <v>2704</v>
      </c>
      <c r="E2713" t="s">
        <v>6820</v>
      </c>
    </row>
    <row r="2714" spans="1:5" x14ac:dyDescent="0.35">
      <c r="A2714" t="str">
        <f>"2020-11-04"</f>
        <v>2020-11-04</v>
      </c>
      <c r="B2714" s="1" t="str">
        <f t="shared" si="42"/>
        <v>11/04/2020</v>
      </c>
      <c r="C2714" t="str">
        <f>"19.0609"</f>
        <v>19.0609</v>
      </c>
      <c r="D2714" s="1" t="s">
        <v>2705</v>
      </c>
      <c r="E2714" t="s">
        <v>6821</v>
      </c>
    </row>
    <row r="2715" spans="1:5" x14ac:dyDescent="0.35">
      <c r="A2715" t="str">
        <f>"2020-11-05"</f>
        <v>2020-11-05</v>
      </c>
      <c r="B2715" s="1" t="str">
        <f t="shared" si="42"/>
        <v>11/05/2020</v>
      </c>
      <c r="C2715" t="str">
        <f>"18.3939"</f>
        <v>18.3939</v>
      </c>
      <c r="D2715" s="1" t="s">
        <v>2706</v>
      </c>
      <c r="E2715" t="s">
        <v>6822</v>
      </c>
    </row>
    <row r="2716" spans="1:5" x14ac:dyDescent="0.35">
      <c r="A2716" t="str">
        <f>"2020-11-06"</f>
        <v>2020-11-06</v>
      </c>
      <c r="B2716" s="1" t="str">
        <f t="shared" si="42"/>
        <v>11/06/2020</v>
      </c>
      <c r="C2716" t="str">
        <f>"18.3905"</f>
        <v>18.3905</v>
      </c>
      <c r="D2716" s="1" t="s">
        <v>2707</v>
      </c>
      <c r="E2716" t="s">
        <v>6823</v>
      </c>
    </row>
    <row r="2717" spans="1:5" x14ac:dyDescent="0.35">
      <c r="A2717" t="str">
        <f>"2020-11-09"</f>
        <v>2020-11-09</v>
      </c>
      <c r="B2717" s="1" t="str">
        <f t="shared" si="42"/>
        <v>11/09/2020</v>
      </c>
      <c r="C2717" t="str">
        <f>"21.2437"</f>
        <v>21.2437</v>
      </c>
      <c r="D2717" s="1" t="s">
        <v>2708</v>
      </c>
      <c r="E2717" t="s">
        <v>6824</v>
      </c>
    </row>
    <row r="2718" spans="1:5" x14ac:dyDescent="0.35">
      <c r="A2718" t="str">
        <f>"2020-11-10"</f>
        <v>2020-11-10</v>
      </c>
      <c r="B2718" s="1" t="str">
        <f t="shared" si="42"/>
        <v>11/10/2020</v>
      </c>
      <c r="C2718" t="str">
        <f>"23.5041"</f>
        <v>23.5041</v>
      </c>
      <c r="D2718" s="1" t="s">
        <v>2709</v>
      </c>
      <c r="E2718" t="s">
        <v>6825</v>
      </c>
    </row>
    <row r="2719" spans="1:5" x14ac:dyDescent="0.35">
      <c r="A2719" t="str">
        <f>"2020-11-11"</f>
        <v>2020-11-11</v>
      </c>
      <c r="B2719" s="1" t="str">
        <f t="shared" si="42"/>
        <v>11/11/2020</v>
      </c>
      <c r="C2719" t="str">
        <f>"24.2049"</f>
        <v>24.2049</v>
      </c>
      <c r="D2719" s="1" t="s">
        <v>2710</v>
      </c>
      <c r="E2719" t="s">
        <v>6826</v>
      </c>
    </row>
    <row r="2720" spans="1:5" x14ac:dyDescent="0.35">
      <c r="A2720" t="str">
        <f>"2020-11-12"</f>
        <v>2020-11-12</v>
      </c>
      <c r="B2720" s="1" t="str">
        <f t="shared" si="42"/>
        <v>11/12/2020</v>
      </c>
      <c r="C2720" t="str">
        <f>"24.9905"</f>
        <v>24.9905</v>
      </c>
      <c r="D2720" s="1" t="s">
        <v>2711</v>
      </c>
      <c r="E2720" t="s">
        <v>6827</v>
      </c>
    </row>
    <row r="2721" spans="1:5" x14ac:dyDescent="0.35">
      <c r="A2721" t="str">
        <f>"2020-11-13"</f>
        <v>2020-11-13</v>
      </c>
      <c r="B2721" s="1" t="str">
        <f t="shared" si="42"/>
        <v>11/13/2020</v>
      </c>
      <c r="C2721" t="str">
        <f>"24.7143"</f>
        <v>24.7143</v>
      </c>
      <c r="D2721" s="1" t="s">
        <v>2712</v>
      </c>
      <c r="E2721" t="s">
        <v>6828</v>
      </c>
    </row>
    <row r="2722" spans="1:5" x14ac:dyDescent="0.35">
      <c r="A2722" t="str">
        <f>"2020-11-16"</f>
        <v>2020-11-16</v>
      </c>
      <c r="B2722" s="1" t="str">
        <f t="shared" si="42"/>
        <v>11/16/2020</v>
      </c>
      <c r="C2722" t="str">
        <f>"25.521"</f>
        <v>25.521</v>
      </c>
      <c r="D2722" s="1" t="s">
        <v>2713</v>
      </c>
      <c r="E2722" t="s">
        <v>6829</v>
      </c>
    </row>
    <row r="2723" spans="1:5" x14ac:dyDescent="0.35">
      <c r="A2723" t="str">
        <f>"2020-11-17"</f>
        <v>2020-11-17</v>
      </c>
      <c r="B2723" s="1" t="str">
        <f t="shared" si="42"/>
        <v>11/17/2020</v>
      </c>
      <c r="C2723" t="str">
        <f>"24.5801"</f>
        <v>24.5801</v>
      </c>
      <c r="D2723" s="1" t="s">
        <v>2714</v>
      </c>
      <c r="E2723" t="s">
        <v>6830</v>
      </c>
    </row>
    <row r="2724" spans="1:5" x14ac:dyDescent="0.35">
      <c r="A2724" t="str">
        <f>"2020-11-18"</f>
        <v>2020-11-18</v>
      </c>
      <c r="B2724" s="1" t="str">
        <f t="shared" si="42"/>
        <v>11/18/2020</v>
      </c>
      <c r="C2724" t="str">
        <f>"25.3311"</f>
        <v>25.3311</v>
      </c>
      <c r="D2724" s="1" t="s">
        <v>2715</v>
      </c>
      <c r="E2724" t="s">
        <v>6831</v>
      </c>
    </row>
    <row r="2725" spans="1:5" x14ac:dyDescent="0.35">
      <c r="A2725" t="str">
        <f>"2020-11-19"</f>
        <v>2020-11-19</v>
      </c>
      <c r="B2725" s="1" t="str">
        <f t="shared" si="42"/>
        <v>11/19/2020</v>
      </c>
      <c r="C2725" t="str">
        <f>"25.4672"</f>
        <v>25.4672</v>
      </c>
      <c r="D2725" s="1" t="s">
        <v>2716</v>
      </c>
      <c r="E2725" t="s">
        <v>6832</v>
      </c>
    </row>
    <row r="2726" spans="1:5" x14ac:dyDescent="0.35">
      <c r="A2726" t="str">
        <f>"2020-11-20"</f>
        <v>2020-11-20</v>
      </c>
      <c r="B2726" s="1" t="str">
        <f t="shared" si="42"/>
        <v>11/20/2020</v>
      </c>
      <c r="C2726" t="str">
        <f>"26.2598"</f>
        <v>26.2598</v>
      </c>
      <c r="D2726" s="1" t="s">
        <v>2717</v>
      </c>
      <c r="E2726" t="s">
        <v>6833</v>
      </c>
    </row>
    <row r="2727" spans="1:5" x14ac:dyDescent="0.35">
      <c r="A2727" t="str">
        <f>"2020-11-23"</f>
        <v>2020-11-23</v>
      </c>
      <c r="B2727" s="1" t="str">
        <f t="shared" si="42"/>
        <v>11/23/2020</v>
      </c>
      <c r="C2727" t="str">
        <f>"26.1066"</f>
        <v>26.1066</v>
      </c>
      <c r="D2727" s="1" t="s">
        <v>2718</v>
      </c>
      <c r="E2727" t="s">
        <v>6834</v>
      </c>
    </row>
    <row r="2728" spans="1:5" x14ac:dyDescent="0.35">
      <c r="A2728" t="str">
        <f>"2020-11-24"</f>
        <v>2020-11-24</v>
      </c>
      <c r="B2728" s="1" t="str">
        <f t="shared" si="42"/>
        <v>11/24/2020</v>
      </c>
      <c r="C2728" t="str">
        <f>"25.8926"</f>
        <v>25.8926</v>
      </c>
      <c r="D2728" s="1" t="s">
        <v>2719</v>
      </c>
      <c r="E2728" t="s">
        <v>6835</v>
      </c>
    </row>
    <row r="2729" spans="1:5" x14ac:dyDescent="0.35">
      <c r="A2729" t="str">
        <f>"2020-11-25"</f>
        <v>2020-11-25</v>
      </c>
      <c r="B2729" s="1" t="str">
        <f t="shared" si="42"/>
        <v>11/25/2020</v>
      </c>
      <c r="C2729" t="str">
        <f>"25.7928"</f>
        <v>25.7928</v>
      </c>
      <c r="D2729" s="1" t="s">
        <v>2720</v>
      </c>
      <c r="E2729" t="s">
        <v>6836</v>
      </c>
    </row>
    <row r="2730" spans="1:5" x14ac:dyDescent="0.35">
      <c r="A2730" t="str">
        <f>"2020-11-27"</f>
        <v>2020-11-27</v>
      </c>
      <c r="B2730" s="1" t="str">
        <f t="shared" si="42"/>
        <v>11/27/2020</v>
      </c>
      <c r="C2730" t="str">
        <f>"26.5458"</f>
        <v>26.5458</v>
      </c>
      <c r="D2730" s="1" t="s">
        <v>2721</v>
      </c>
      <c r="E2730" t="s">
        <v>6837</v>
      </c>
    </row>
    <row r="2731" spans="1:5" x14ac:dyDescent="0.35">
      <c r="A2731" t="str">
        <f>"2020-11-30"</f>
        <v>2020-11-30</v>
      </c>
      <c r="B2731" s="1" t="str">
        <f t="shared" si="42"/>
        <v>11/30/2020</v>
      </c>
      <c r="C2731" t="str">
        <f>"25.6335"</f>
        <v>25.6335</v>
      </c>
      <c r="D2731" s="1" t="s">
        <v>2722</v>
      </c>
      <c r="E2731" t="s">
        <v>6838</v>
      </c>
    </row>
    <row r="2732" spans="1:5" x14ac:dyDescent="0.35">
      <c r="A2732" t="str">
        <f>"2020-12-01"</f>
        <v>2020-12-01</v>
      </c>
      <c r="B2732" s="1" t="str">
        <f t="shared" si="42"/>
        <v>12/01/2020</v>
      </c>
      <c r="C2732" t="str">
        <f>"27.3534"</f>
        <v>27.3534</v>
      </c>
      <c r="D2732" s="1" t="s">
        <v>2723</v>
      </c>
      <c r="E2732" t="s">
        <v>6839</v>
      </c>
    </row>
    <row r="2733" spans="1:5" x14ac:dyDescent="0.35">
      <c r="A2733" t="str">
        <f>"2020-12-02"</f>
        <v>2020-12-02</v>
      </c>
      <c r="B2733" s="1" t="str">
        <f t="shared" si="42"/>
        <v>12/02/2020</v>
      </c>
      <c r="C2733" t="str">
        <f>"26.7833"</f>
        <v>26.7833</v>
      </c>
      <c r="D2733" s="1" t="s">
        <v>2724</v>
      </c>
      <c r="E2733" t="s">
        <v>6840</v>
      </c>
    </row>
    <row r="2734" spans="1:5" x14ac:dyDescent="0.35">
      <c r="A2734" t="str">
        <f>"2020-12-03"</f>
        <v>2020-12-03</v>
      </c>
      <c r="B2734" s="1" t="str">
        <f t="shared" si="42"/>
        <v>12/03/2020</v>
      </c>
      <c r="C2734" t="str">
        <f>"26.2939"</f>
        <v>26.2939</v>
      </c>
      <c r="D2734" s="1" t="s">
        <v>2725</v>
      </c>
      <c r="E2734" t="s">
        <v>6841</v>
      </c>
    </row>
    <row r="2735" spans="1:5" x14ac:dyDescent="0.35">
      <c r="A2735" t="str">
        <f>"2020-12-04"</f>
        <v>2020-12-04</v>
      </c>
      <c r="B2735" s="1" t="str">
        <f t="shared" si="42"/>
        <v>12/04/2020</v>
      </c>
      <c r="C2735" t="str">
        <f>"26.5192"</f>
        <v>26.5192</v>
      </c>
      <c r="D2735" s="1" t="s">
        <v>2726</v>
      </c>
      <c r="E2735" t="s">
        <v>6842</v>
      </c>
    </row>
    <row r="2736" spans="1:5" x14ac:dyDescent="0.35">
      <c r="A2736" t="str">
        <f>"2020-12-07"</f>
        <v>2020-12-07</v>
      </c>
      <c r="B2736" s="1" t="str">
        <f t="shared" si="42"/>
        <v>12/07/2020</v>
      </c>
      <c r="C2736" t="str">
        <f>"26.3182"</f>
        <v>26.3182</v>
      </c>
      <c r="D2736" s="1" t="s">
        <v>2727</v>
      </c>
      <c r="E2736" t="s">
        <v>6843</v>
      </c>
    </row>
    <row r="2737" spans="1:5" x14ac:dyDescent="0.35">
      <c r="A2737" t="str">
        <f>"2020-12-08"</f>
        <v>2020-12-08</v>
      </c>
      <c r="B2737" s="1" t="str">
        <f t="shared" si="42"/>
        <v>12/08/2020</v>
      </c>
      <c r="C2737" t="str">
        <f>"26.0792"</f>
        <v>26.0792</v>
      </c>
      <c r="D2737" s="1" t="s">
        <v>2728</v>
      </c>
      <c r="E2737" t="s">
        <v>6844</v>
      </c>
    </row>
    <row r="2738" spans="1:5" x14ac:dyDescent="0.35">
      <c r="A2738" t="str">
        <f>"2020-12-09"</f>
        <v>2020-12-09</v>
      </c>
      <c r="B2738" s="1" t="str">
        <f t="shared" si="42"/>
        <v>12/09/2020</v>
      </c>
      <c r="C2738" t="str">
        <f>"26.6801"</f>
        <v>26.6801</v>
      </c>
      <c r="D2738" s="1" t="s">
        <v>2729</v>
      </c>
      <c r="E2738" t="s">
        <v>6845</v>
      </c>
    </row>
    <row r="2739" spans="1:5" x14ac:dyDescent="0.35">
      <c r="A2739" t="str">
        <f>"2020-12-10"</f>
        <v>2020-12-10</v>
      </c>
      <c r="B2739" s="1" t="str">
        <f t="shared" si="42"/>
        <v>12/10/2020</v>
      </c>
      <c r="C2739" t="str">
        <f>"26.4938"</f>
        <v>26.4938</v>
      </c>
      <c r="D2739" s="1" t="s">
        <v>2730</v>
      </c>
      <c r="E2739" t="s">
        <v>6846</v>
      </c>
    </row>
    <row r="2740" spans="1:5" x14ac:dyDescent="0.35">
      <c r="A2740" t="str">
        <f>"2020-12-11"</f>
        <v>2020-12-11</v>
      </c>
      <c r="B2740" s="1" t="str">
        <f t="shared" si="42"/>
        <v>12/11/2020</v>
      </c>
      <c r="C2740" t="str">
        <f>"26.3676"</f>
        <v>26.3676</v>
      </c>
      <c r="D2740" s="1" t="s">
        <v>2731</v>
      </c>
      <c r="E2740" t="s">
        <v>6847</v>
      </c>
    </row>
    <row r="2741" spans="1:5" x14ac:dyDescent="0.35">
      <c r="A2741" t="str">
        <f>"2020-12-14"</f>
        <v>2020-12-14</v>
      </c>
      <c r="B2741" s="1" t="str">
        <f t="shared" si="42"/>
        <v>12/14/2020</v>
      </c>
      <c r="C2741" t="str">
        <f>"27.1986"</f>
        <v>27.1986</v>
      </c>
      <c r="D2741" s="1" t="s">
        <v>2732</v>
      </c>
      <c r="E2741" t="s">
        <v>6848</v>
      </c>
    </row>
    <row r="2742" spans="1:5" x14ac:dyDescent="0.35">
      <c r="A2742" t="str">
        <f>"2020-12-15"</f>
        <v>2020-12-15</v>
      </c>
      <c r="B2742" s="1" t="str">
        <f t="shared" si="42"/>
        <v>12/15/2020</v>
      </c>
      <c r="C2742" t="str">
        <f>"27.0694"</f>
        <v>27.0694</v>
      </c>
      <c r="D2742" s="1" t="s">
        <v>2733</v>
      </c>
      <c r="E2742" t="s">
        <v>6849</v>
      </c>
    </row>
    <row r="2743" spans="1:5" x14ac:dyDescent="0.35">
      <c r="A2743" t="str">
        <f>"2020-12-16"</f>
        <v>2020-12-16</v>
      </c>
      <c r="B2743" s="1" t="str">
        <f t="shared" si="42"/>
        <v>12/16/2020</v>
      </c>
      <c r="C2743" t="str">
        <f>"27.2639"</f>
        <v>27.2639</v>
      </c>
      <c r="D2743" s="1" t="s">
        <v>2734</v>
      </c>
      <c r="E2743" t="s">
        <v>6850</v>
      </c>
    </row>
    <row r="2744" spans="1:5" x14ac:dyDescent="0.35">
      <c r="A2744" t="str">
        <f>"2020-12-17"</f>
        <v>2020-12-17</v>
      </c>
      <c r="B2744" s="1" t="str">
        <f t="shared" si="42"/>
        <v>12/17/2020</v>
      </c>
      <c r="C2744" t="str">
        <f>"27.5509"</f>
        <v>27.5509</v>
      </c>
      <c r="D2744" s="1" t="s">
        <v>2735</v>
      </c>
      <c r="E2744" t="s">
        <v>6851</v>
      </c>
    </row>
    <row r="2745" spans="1:5" x14ac:dyDescent="0.35">
      <c r="A2745" t="str">
        <f>"2020-12-18"</f>
        <v>2020-12-18</v>
      </c>
      <c r="B2745" s="1" t="str">
        <f t="shared" si="42"/>
        <v>12/18/2020</v>
      </c>
      <c r="C2745" t="str">
        <f>"27.856"</f>
        <v>27.856</v>
      </c>
      <c r="D2745" s="1" t="s">
        <v>2736</v>
      </c>
      <c r="E2745" t="s">
        <v>6852</v>
      </c>
    </row>
    <row r="2746" spans="1:5" x14ac:dyDescent="0.35">
      <c r="A2746" t="str">
        <f>"2020-12-21"</f>
        <v>2020-12-21</v>
      </c>
      <c r="B2746" s="1" t="str">
        <f t="shared" si="42"/>
        <v>12/21/2020</v>
      </c>
      <c r="C2746" t="str">
        <f>"26.3231"</f>
        <v>26.3231</v>
      </c>
      <c r="D2746" s="1" t="s">
        <v>2737</v>
      </c>
      <c r="E2746" t="s">
        <v>6853</v>
      </c>
    </row>
    <row r="2747" spans="1:5" x14ac:dyDescent="0.35">
      <c r="A2747" t="str">
        <f>"2020-12-22"</f>
        <v>2020-12-22</v>
      </c>
      <c r="B2747" s="1" t="str">
        <f t="shared" si="42"/>
        <v>12/22/2020</v>
      </c>
      <c r="C2747" t="str">
        <f>"27.1207"</f>
        <v>27.1207</v>
      </c>
      <c r="D2747" s="1" t="s">
        <v>2738</v>
      </c>
      <c r="E2747" t="s">
        <v>6854</v>
      </c>
    </row>
    <row r="2748" spans="1:5" x14ac:dyDescent="0.35">
      <c r="A2748" t="str">
        <f>"2020-12-23"</f>
        <v>2020-12-23</v>
      </c>
      <c r="B2748" s="1" t="str">
        <f t="shared" si="42"/>
        <v>12/23/2020</v>
      </c>
      <c r="C2748" t="str">
        <f>"26.9532"</f>
        <v>26.9532</v>
      </c>
      <c r="D2748" s="1" t="s">
        <v>2739</v>
      </c>
      <c r="E2748" t="s">
        <v>6855</v>
      </c>
    </row>
    <row r="2749" spans="1:5" x14ac:dyDescent="0.35">
      <c r="A2749" t="str">
        <f>"2020-12-24"</f>
        <v>2020-12-24</v>
      </c>
      <c r="B2749" s="1" t="str">
        <f t="shared" si="42"/>
        <v>12/24/2020</v>
      </c>
      <c r="C2749" t="str">
        <f>"27.7008"</f>
        <v>27.7008</v>
      </c>
      <c r="D2749" s="1" t="s">
        <v>2740</v>
      </c>
      <c r="E2749" t="s">
        <v>6856</v>
      </c>
    </row>
    <row r="2750" spans="1:5" x14ac:dyDescent="0.35">
      <c r="A2750" t="str">
        <f>"2020-12-28"</f>
        <v>2020-12-28</v>
      </c>
      <c r="B2750" s="1" t="str">
        <f t="shared" si="42"/>
        <v>12/28/2020</v>
      </c>
      <c r="C2750" t="str">
        <f>"27.6462"</f>
        <v>27.6462</v>
      </c>
      <c r="D2750" s="1" t="s">
        <v>2741</v>
      </c>
      <c r="E2750" t="s">
        <v>6857</v>
      </c>
    </row>
    <row r="2751" spans="1:5" x14ac:dyDescent="0.35">
      <c r="A2751" t="str">
        <f>"2020-12-29"</f>
        <v>2020-12-29</v>
      </c>
      <c r="B2751" s="1" t="str">
        <f t="shared" si="42"/>
        <v>12/29/2020</v>
      </c>
      <c r="C2751" t="str">
        <f>"28.6705"</f>
        <v>28.6705</v>
      </c>
      <c r="D2751" s="1" t="s">
        <v>2742</v>
      </c>
      <c r="E2751" t="s">
        <v>6858</v>
      </c>
    </row>
    <row r="2752" spans="1:5" x14ac:dyDescent="0.35">
      <c r="A2752" t="str">
        <f>"2020-12-30"</f>
        <v>2020-12-30</v>
      </c>
      <c r="B2752" s="1" t="str">
        <f t="shared" si="42"/>
        <v>12/30/2020</v>
      </c>
      <c r="C2752" t="str">
        <f>"28.7612"</f>
        <v>28.7612</v>
      </c>
      <c r="D2752" s="1" t="s">
        <v>2743</v>
      </c>
      <c r="E2752" t="s">
        <v>6859</v>
      </c>
    </row>
    <row r="2753" spans="1:5" x14ac:dyDescent="0.35">
      <c r="A2753" t="str">
        <f>"2020-12-31"</f>
        <v>2020-12-31</v>
      </c>
      <c r="B2753" s="1" t="str">
        <f t="shared" si="42"/>
        <v>12/31/2020</v>
      </c>
      <c r="C2753" t="str">
        <f>"29.0108"</f>
        <v>29.0108</v>
      </c>
      <c r="D2753" s="1" t="s">
        <v>2744</v>
      </c>
      <c r="E2753" t="s">
        <v>6860</v>
      </c>
    </row>
    <row r="2754" spans="1:5" x14ac:dyDescent="0.35">
      <c r="A2754" t="str">
        <f>"2021-01-04"</f>
        <v>2021-01-04</v>
      </c>
      <c r="B2754" s="1" t="str">
        <f t="shared" si="42"/>
        <v>01/04/2021</v>
      </c>
      <c r="C2754" t="str">
        <f>"27.2827"</f>
        <v>27.2827</v>
      </c>
      <c r="D2754" s="1" t="s">
        <v>2745</v>
      </c>
      <c r="E2754" t="s">
        <v>6861</v>
      </c>
    </row>
    <row r="2755" spans="1:5" x14ac:dyDescent="0.35">
      <c r="A2755" t="str">
        <f>"2021-01-05"</f>
        <v>2021-01-05</v>
      </c>
      <c r="B2755" s="1" t="str">
        <f t="shared" ref="B2755:B2818" si="43">LEFT(RIGHT(A2755,5),2)&amp;"/"&amp;RIGHT(A2755,2)&amp;"/"&amp;LEFT(A2755,4)</f>
        <v>01/05/2021</v>
      </c>
      <c r="C2755" t="str">
        <f>"26.9999"</f>
        <v>26.9999</v>
      </c>
      <c r="D2755" s="1" t="s">
        <v>2746</v>
      </c>
      <c r="E2755" t="s">
        <v>6862</v>
      </c>
    </row>
    <row r="2756" spans="1:5" x14ac:dyDescent="0.35">
      <c r="A2756" t="str">
        <f>"2021-01-06"</f>
        <v>2021-01-06</v>
      </c>
      <c r="B2756" s="1" t="str">
        <f t="shared" si="43"/>
        <v>01/06/2021</v>
      </c>
      <c r="C2756" t="str">
        <f>"28.0105"</f>
        <v>28.0105</v>
      </c>
      <c r="D2756" s="1" t="s">
        <v>2747</v>
      </c>
      <c r="E2756" t="s">
        <v>6863</v>
      </c>
    </row>
    <row r="2757" spans="1:5" x14ac:dyDescent="0.35">
      <c r="A2757" t="str">
        <f>"2021-01-07"</f>
        <v>2021-01-07</v>
      </c>
      <c r="B2757" s="1" t="str">
        <f t="shared" si="43"/>
        <v>01/07/2021</v>
      </c>
      <c r="C2757" t="str">
        <f>"28.2531"</f>
        <v>28.2531</v>
      </c>
      <c r="D2757" s="1" t="s">
        <v>2748</v>
      </c>
      <c r="E2757" t="s">
        <v>6864</v>
      </c>
    </row>
    <row r="2758" spans="1:5" x14ac:dyDescent="0.35">
      <c r="A2758" t="str">
        <f>"2021-01-08"</f>
        <v>2021-01-08</v>
      </c>
      <c r="B2758" s="1" t="str">
        <f t="shared" si="43"/>
        <v>01/08/2021</v>
      </c>
      <c r="C2758" t="str">
        <f>"29.72"</f>
        <v>29.72</v>
      </c>
      <c r="D2758" s="1" t="s">
        <v>2749</v>
      </c>
      <c r="E2758" t="s">
        <v>6865</v>
      </c>
    </row>
    <row r="2759" spans="1:5" x14ac:dyDescent="0.35">
      <c r="A2759" t="str">
        <f>"2021-01-11"</f>
        <v>2021-01-11</v>
      </c>
      <c r="B2759" s="1" t="str">
        <f t="shared" si="43"/>
        <v>01/11/2021</v>
      </c>
      <c r="C2759" t="str">
        <f>"29.0266"</f>
        <v>29.0266</v>
      </c>
      <c r="D2759" s="1" t="s">
        <v>2750</v>
      </c>
      <c r="E2759" t="s">
        <v>6866</v>
      </c>
    </row>
    <row r="2760" spans="1:5" x14ac:dyDescent="0.35">
      <c r="A2760" t="str">
        <f>"2021-01-12"</f>
        <v>2021-01-12</v>
      </c>
      <c r="B2760" s="1" t="str">
        <f t="shared" si="43"/>
        <v>01/12/2021</v>
      </c>
      <c r="C2760" t="str">
        <f>"29.0253"</f>
        <v>29.0253</v>
      </c>
      <c r="D2760" s="1" t="s">
        <v>2751</v>
      </c>
      <c r="E2760" t="s">
        <v>6867</v>
      </c>
    </row>
    <row r="2761" spans="1:5" x14ac:dyDescent="0.35">
      <c r="A2761" t="str">
        <f>"2021-01-13"</f>
        <v>2021-01-13</v>
      </c>
      <c r="B2761" s="1" t="str">
        <f t="shared" si="43"/>
        <v>01/13/2021</v>
      </c>
      <c r="C2761" t="str">
        <f>"29.8784"</f>
        <v>29.8784</v>
      </c>
      <c r="D2761" s="1" t="s">
        <v>2752</v>
      </c>
      <c r="E2761" t="s">
        <v>6868</v>
      </c>
    </row>
    <row r="2762" spans="1:5" x14ac:dyDescent="0.35">
      <c r="A2762" t="str">
        <f>"2021-01-14"</f>
        <v>2021-01-14</v>
      </c>
      <c r="B2762" s="1" t="str">
        <f t="shared" si="43"/>
        <v>01/14/2021</v>
      </c>
      <c r="C2762" t="str">
        <f>"30.0995"</f>
        <v>30.0995</v>
      </c>
      <c r="D2762" s="1" t="s">
        <v>2753</v>
      </c>
      <c r="E2762" t="s">
        <v>6869</v>
      </c>
    </row>
    <row r="2763" spans="1:5" x14ac:dyDescent="0.35">
      <c r="A2763" t="str">
        <f>"2021-01-15"</f>
        <v>2021-01-15</v>
      </c>
      <c r="B2763" s="1" t="str">
        <f t="shared" si="43"/>
        <v>01/15/2021</v>
      </c>
      <c r="C2763" t="str">
        <f>"30.6538"</f>
        <v>30.6538</v>
      </c>
      <c r="D2763" s="1" t="s">
        <v>2754</v>
      </c>
      <c r="E2763" t="s">
        <v>6870</v>
      </c>
    </row>
    <row r="2764" spans="1:5" x14ac:dyDescent="0.35">
      <c r="A2764" t="str">
        <f>"2021-01-19"</f>
        <v>2021-01-19</v>
      </c>
      <c r="B2764" s="1" t="str">
        <f t="shared" si="43"/>
        <v>01/19/2021</v>
      </c>
      <c r="C2764" t="str">
        <f>"30.514"</f>
        <v>30.514</v>
      </c>
      <c r="D2764" s="1" t="s">
        <v>2755</v>
      </c>
      <c r="E2764" t="s">
        <v>6871</v>
      </c>
    </row>
    <row r="2765" spans="1:5" x14ac:dyDescent="0.35">
      <c r="A2765" t="str">
        <f>"2021-01-20"</f>
        <v>2021-01-20</v>
      </c>
      <c r="B2765" s="1" t="str">
        <f t="shared" si="43"/>
        <v>01/20/2021</v>
      </c>
      <c r="C2765" t="str">
        <f>"29.6046"</f>
        <v>29.6046</v>
      </c>
      <c r="D2765" s="1" t="s">
        <v>2756</v>
      </c>
      <c r="E2765" t="s">
        <v>6872</v>
      </c>
    </row>
    <row r="2766" spans="1:5" x14ac:dyDescent="0.35">
      <c r="A2766" t="str">
        <f>"2021-01-21"</f>
        <v>2021-01-21</v>
      </c>
      <c r="B2766" s="1" t="str">
        <f t="shared" si="43"/>
        <v>01/21/2021</v>
      </c>
      <c r="C2766" t="str">
        <f>"29.3192"</f>
        <v>29.3192</v>
      </c>
      <c r="D2766" s="1" t="s">
        <v>2757</v>
      </c>
      <c r="E2766" t="s">
        <v>6873</v>
      </c>
    </row>
    <row r="2767" spans="1:5" x14ac:dyDescent="0.35">
      <c r="A2767" t="str">
        <f>"2021-01-22"</f>
        <v>2021-01-22</v>
      </c>
      <c r="B2767" s="1" t="str">
        <f t="shared" si="43"/>
        <v>01/22/2021</v>
      </c>
      <c r="C2767" t="str">
        <f>"29.4229"</f>
        <v>29.4229</v>
      </c>
      <c r="D2767" s="1" t="s">
        <v>2758</v>
      </c>
      <c r="E2767" t="s">
        <v>6874</v>
      </c>
    </row>
    <row r="2768" spans="1:5" x14ac:dyDescent="0.35">
      <c r="A2768" t="str">
        <f>"2021-01-25"</f>
        <v>2021-01-25</v>
      </c>
      <c r="B2768" s="1" t="str">
        <f t="shared" si="43"/>
        <v>01/25/2021</v>
      </c>
      <c r="C2768" t="str">
        <f>"28.7092"</f>
        <v>28.7092</v>
      </c>
      <c r="D2768" s="1" t="s">
        <v>2759</v>
      </c>
      <c r="E2768" t="s">
        <v>6875</v>
      </c>
    </row>
    <row r="2769" spans="1:5" x14ac:dyDescent="0.35">
      <c r="A2769" t="str">
        <f>"2021-01-26"</f>
        <v>2021-01-26</v>
      </c>
      <c r="B2769" s="1" t="str">
        <f t="shared" si="43"/>
        <v>01/26/2021</v>
      </c>
      <c r="C2769" t="str">
        <f>"28.6553"</f>
        <v>28.6553</v>
      </c>
      <c r="D2769" s="1" t="s">
        <v>2760</v>
      </c>
      <c r="E2769" t="s">
        <v>6876</v>
      </c>
    </row>
    <row r="2770" spans="1:5" x14ac:dyDescent="0.35">
      <c r="A2770" t="str">
        <f>"2021-01-27"</f>
        <v>2021-01-27</v>
      </c>
      <c r="B2770" s="1" t="str">
        <f t="shared" si="43"/>
        <v>01/27/2021</v>
      </c>
      <c r="C2770" t="str">
        <f>"27.4206"</f>
        <v>27.4206</v>
      </c>
      <c r="D2770" s="1" t="s">
        <v>2761</v>
      </c>
      <c r="E2770" t="s">
        <v>6877</v>
      </c>
    </row>
    <row r="2771" spans="1:5" x14ac:dyDescent="0.35">
      <c r="A2771" t="str">
        <f>"2021-01-28"</f>
        <v>2021-01-28</v>
      </c>
      <c r="B2771" s="1" t="str">
        <f t="shared" si="43"/>
        <v>01/28/2021</v>
      </c>
      <c r="C2771" t="str">
        <f>"28.2276"</f>
        <v>28.2276</v>
      </c>
      <c r="D2771" s="1" t="s">
        <v>2762</v>
      </c>
      <c r="E2771" t="s">
        <v>6878</v>
      </c>
    </row>
    <row r="2772" spans="1:5" x14ac:dyDescent="0.35">
      <c r="A2772" t="str">
        <f>"2021-01-29"</f>
        <v>2021-01-29</v>
      </c>
      <c r="B2772" s="1" t="str">
        <f t="shared" si="43"/>
        <v>01/29/2021</v>
      </c>
      <c r="C2772" t="str">
        <f>"27.7574"</f>
        <v>27.7574</v>
      </c>
      <c r="D2772" s="1" t="s">
        <v>2763</v>
      </c>
      <c r="E2772" t="s">
        <v>6879</v>
      </c>
    </row>
    <row r="2773" spans="1:5" x14ac:dyDescent="0.35">
      <c r="A2773" t="str">
        <f>"2021-02-01"</f>
        <v>2021-02-01</v>
      </c>
      <c r="B2773" s="1" t="str">
        <f t="shared" si="43"/>
        <v>02/01/2021</v>
      </c>
      <c r="C2773" t="str">
        <f>"27.5841"</f>
        <v>27.5841</v>
      </c>
      <c r="D2773" s="1" t="s">
        <v>2764</v>
      </c>
      <c r="E2773" t="s">
        <v>6880</v>
      </c>
    </row>
    <row r="2774" spans="1:5" x14ac:dyDescent="0.35">
      <c r="A2774" t="str">
        <f>"2021-02-02"</f>
        <v>2021-02-02</v>
      </c>
      <c r="B2774" s="1" t="str">
        <f t="shared" si="43"/>
        <v>02/02/2021</v>
      </c>
      <c r="C2774" t="str">
        <f>"28.5204"</f>
        <v>28.5204</v>
      </c>
      <c r="D2774" s="1" t="s">
        <v>2765</v>
      </c>
      <c r="E2774" t="s">
        <v>6881</v>
      </c>
    </row>
    <row r="2775" spans="1:5" x14ac:dyDescent="0.35">
      <c r="A2775" t="str">
        <f>"2021-02-03"</f>
        <v>2021-02-03</v>
      </c>
      <c r="B2775" s="1" t="str">
        <f t="shared" si="43"/>
        <v>02/03/2021</v>
      </c>
      <c r="C2775" t="str">
        <f>"28.6765"</f>
        <v>28.6765</v>
      </c>
      <c r="D2775" s="1" t="s">
        <v>2766</v>
      </c>
      <c r="E2775" t="s">
        <v>6882</v>
      </c>
    </row>
    <row r="2776" spans="1:5" x14ac:dyDescent="0.35">
      <c r="A2776" t="str">
        <f>"2021-02-04"</f>
        <v>2021-02-04</v>
      </c>
      <c r="B2776" s="1" t="str">
        <f t="shared" si="43"/>
        <v>02/04/2021</v>
      </c>
      <c r="C2776" t="str">
        <f>"29.6399"</f>
        <v>29.6399</v>
      </c>
      <c r="D2776" s="1" t="s">
        <v>2767</v>
      </c>
      <c r="E2776" t="s">
        <v>6883</v>
      </c>
    </row>
    <row r="2777" spans="1:5" x14ac:dyDescent="0.35">
      <c r="A2777" t="str">
        <f>"2021-02-05"</f>
        <v>2021-02-05</v>
      </c>
      <c r="B2777" s="1" t="str">
        <f t="shared" si="43"/>
        <v>02/05/2021</v>
      </c>
      <c r="C2777" t="str">
        <f>"29.2808"</f>
        <v>29.2808</v>
      </c>
      <c r="D2777" s="1" t="s">
        <v>2768</v>
      </c>
      <c r="E2777" t="s">
        <v>6884</v>
      </c>
    </row>
    <row r="2778" spans="1:5" x14ac:dyDescent="0.35">
      <c r="A2778" t="str">
        <f>"2021-02-08"</f>
        <v>2021-02-08</v>
      </c>
      <c r="B2778" s="1" t="str">
        <f t="shared" si="43"/>
        <v>02/08/2021</v>
      </c>
      <c r="C2778" t="str">
        <f>"29.2328"</f>
        <v>29.2328</v>
      </c>
      <c r="D2778" s="1" t="s">
        <v>2769</v>
      </c>
      <c r="E2778" t="s">
        <v>6885</v>
      </c>
    </row>
    <row r="2779" spans="1:5" x14ac:dyDescent="0.35">
      <c r="A2779" t="str">
        <f>"2021-02-09"</f>
        <v>2021-02-09</v>
      </c>
      <c r="B2779" s="1" t="str">
        <f t="shared" si="43"/>
        <v>02/09/2021</v>
      </c>
      <c r="C2779" t="str">
        <f>"29.1523"</f>
        <v>29.1523</v>
      </c>
      <c r="D2779" s="1" t="s">
        <v>2770</v>
      </c>
      <c r="E2779" t="s">
        <v>6886</v>
      </c>
    </row>
    <row r="2780" spans="1:5" x14ac:dyDescent="0.35">
      <c r="A2780" t="str">
        <f>"2021-02-10"</f>
        <v>2021-02-10</v>
      </c>
      <c r="B2780" s="1" t="str">
        <f t="shared" si="43"/>
        <v>02/10/2021</v>
      </c>
      <c r="C2780" t="str">
        <f>"29.209"</f>
        <v>29.209</v>
      </c>
      <c r="D2780" s="1" t="s">
        <v>2771</v>
      </c>
      <c r="E2780" t="s">
        <v>6887</v>
      </c>
    </row>
    <row r="2781" spans="1:5" x14ac:dyDescent="0.35">
      <c r="A2781" t="str">
        <f>"2021-02-11"</f>
        <v>2021-02-11</v>
      </c>
      <c r="B2781" s="1" t="str">
        <f t="shared" si="43"/>
        <v>02/11/2021</v>
      </c>
      <c r="C2781" t="str">
        <f>"29.3508"</f>
        <v>29.3508</v>
      </c>
      <c r="D2781" s="1" t="s">
        <v>2772</v>
      </c>
      <c r="E2781" t="s">
        <v>6888</v>
      </c>
    </row>
    <row r="2782" spans="1:5" x14ac:dyDescent="0.35">
      <c r="A2782" t="str">
        <f>"2021-02-12"</f>
        <v>2021-02-12</v>
      </c>
      <c r="B2782" s="1" t="str">
        <f t="shared" si="43"/>
        <v>02/12/2021</v>
      </c>
      <c r="C2782" t="str">
        <f>"29.1715"</f>
        <v>29.1715</v>
      </c>
      <c r="D2782" s="1" t="s">
        <v>2773</v>
      </c>
      <c r="E2782" t="s">
        <v>6889</v>
      </c>
    </row>
    <row r="2783" spans="1:5" x14ac:dyDescent="0.35">
      <c r="A2783" t="str">
        <f>"2021-02-16"</f>
        <v>2021-02-16</v>
      </c>
      <c r="B2783" s="1" t="str">
        <f t="shared" si="43"/>
        <v>02/16/2021</v>
      </c>
      <c r="C2783" t="str">
        <f>"30.3001"</f>
        <v>30.3001</v>
      </c>
      <c r="D2783" s="1" t="s">
        <v>2774</v>
      </c>
      <c r="E2783" t="s">
        <v>6890</v>
      </c>
    </row>
    <row r="2784" spans="1:5" x14ac:dyDescent="0.35">
      <c r="A2784" t="str">
        <f>"2021-02-17"</f>
        <v>2021-02-17</v>
      </c>
      <c r="B2784" s="1" t="str">
        <f t="shared" si="43"/>
        <v>02/17/2021</v>
      </c>
      <c r="C2784" t="str">
        <f>"30.6847"</f>
        <v>30.6847</v>
      </c>
      <c r="D2784" s="1" t="s">
        <v>2775</v>
      </c>
      <c r="E2784" t="s">
        <v>6891</v>
      </c>
    </row>
    <row r="2785" spans="1:5" x14ac:dyDescent="0.35">
      <c r="A2785" t="str">
        <f>"2021-02-18"</f>
        <v>2021-02-18</v>
      </c>
      <c r="B2785" s="1" t="str">
        <f t="shared" si="43"/>
        <v>02/18/2021</v>
      </c>
      <c r="C2785" t="str">
        <f>"30.9056"</f>
        <v>30.9056</v>
      </c>
      <c r="D2785" s="1" t="s">
        <v>2776</v>
      </c>
      <c r="E2785" t="s">
        <v>6892</v>
      </c>
    </row>
    <row r="2786" spans="1:5" x14ac:dyDescent="0.35">
      <c r="A2786" t="str">
        <f>"2021-02-19"</f>
        <v>2021-02-19</v>
      </c>
      <c r="B2786" s="1" t="str">
        <f t="shared" si="43"/>
        <v>02/19/2021</v>
      </c>
      <c r="C2786" t="str">
        <f>"30.9288"</f>
        <v>30.9288</v>
      </c>
      <c r="D2786" s="1" t="s">
        <v>2777</v>
      </c>
      <c r="E2786" t="s">
        <v>6893</v>
      </c>
    </row>
    <row r="2787" spans="1:5" x14ac:dyDescent="0.35">
      <c r="A2787" t="str">
        <f>"2021-02-22"</f>
        <v>2021-02-22</v>
      </c>
      <c r="B2787" s="1" t="str">
        <f t="shared" si="43"/>
        <v>02/22/2021</v>
      </c>
      <c r="C2787" t="str">
        <f>"31.1694"</f>
        <v>31.1694</v>
      </c>
      <c r="D2787" s="1" t="s">
        <v>2778</v>
      </c>
      <c r="E2787" t="s">
        <v>6894</v>
      </c>
    </row>
    <row r="2788" spans="1:5" x14ac:dyDescent="0.35">
      <c r="A2788" t="str">
        <f>"2021-02-23"</f>
        <v>2021-02-23</v>
      </c>
      <c r="B2788" s="1" t="str">
        <f t="shared" si="43"/>
        <v>02/23/2021</v>
      </c>
      <c r="C2788" t="str">
        <f>"32.0162"</f>
        <v>32.0162</v>
      </c>
      <c r="D2788" s="1" t="s">
        <v>2779</v>
      </c>
      <c r="E2788" t="s">
        <v>6895</v>
      </c>
    </row>
    <row r="2789" spans="1:5" x14ac:dyDescent="0.35">
      <c r="A2789" t="str">
        <f>"2021-02-24"</f>
        <v>2021-02-24</v>
      </c>
      <c r="B2789" s="1" t="str">
        <f t="shared" si="43"/>
        <v>02/24/2021</v>
      </c>
      <c r="C2789" t="str">
        <f>"31.2864"</f>
        <v>31.2864</v>
      </c>
      <c r="D2789" s="1" t="s">
        <v>2780</v>
      </c>
      <c r="E2789" t="s">
        <v>6896</v>
      </c>
    </row>
    <row r="2790" spans="1:5" x14ac:dyDescent="0.35">
      <c r="A2790" t="str">
        <f>"2021-02-25"</f>
        <v>2021-02-25</v>
      </c>
      <c r="B2790" s="1" t="str">
        <f t="shared" si="43"/>
        <v>02/25/2021</v>
      </c>
      <c r="C2790" t="str">
        <f>"32.7638"</f>
        <v>32.7638</v>
      </c>
      <c r="D2790" s="1" t="s">
        <v>2781</v>
      </c>
      <c r="E2790" t="s">
        <v>6897</v>
      </c>
    </row>
    <row r="2791" spans="1:5" x14ac:dyDescent="0.35">
      <c r="A2791" t="str">
        <f>"2021-02-26"</f>
        <v>2021-02-26</v>
      </c>
      <c r="B2791" s="1" t="str">
        <f t="shared" si="43"/>
        <v>02/26/2021</v>
      </c>
      <c r="C2791" t="str">
        <f>"33.1556"</f>
        <v>33.1556</v>
      </c>
      <c r="D2791" s="1" t="s">
        <v>2782</v>
      </c>
      <c r="E2791" t="s">
        <v>6898</v>
      </c>
    </row>
    <row r="2792" spans="1:5" x14ac:dyDescent="0.35">
      <c r="A2792" t="str">
        <f>"2021-03-01"</f>
        <v>2021-03-01</v>
      </c>
      <c r="B2792" s="1" t="str">
        <f t="shared" si="43"/>
        <v>03/01/2021</v>
      </c>
      <c r="C2792" t="str">
        <f>"33.6147"</f>
        <v>33.6147</v>
      </c>
      <c r="D2792" s="1" t="s">
        <v>2783</v>
      </c>
      <c r="E2792" t="s">
        <v>6899</v>
      </c>
    </row>
    <row r="2793" spans="1:5" x14ac:dyDescent="0.35">
      <c r="A2793" t="str">
        <f>"2021-03-02"</f>
        <v>2021-03-02</v>
      </c>
      <c r="B2793" s="1" t="str">
        <f t="shared" si="43"/>
        <v>03/02/2021</v>
      </c>
      <c r="C2793" t="str">
        <f>"36.5632"</f>
        <v>36.5632</v>
      </c>
      <c r="D2793" s="1" t="s">
        <v>2784</v>
      </c>
      <c r="E2793" t="s">
        <v>6900</v>
      </c>
    </row>
    <row r="2794" spans="1:5" x14ac:dyDescent="0.35">
      <c r="A2794" t="str">
        <f>"2021-03-03"</f>
        <v>2021-03-03</v>
      </c>
      <c r="B2794" s="1" t="str">
        <f t="shared" si="43"/>
        <v>03/03/2021</v>
      </c>
      <c r="C2794" t="str">
        <f>"36.8338"</f>
        <v>36.8338</v>
      </c>
      <c r="D2794" s="1" t="s">
        <v>2785</v>
      </c>
      <c r="E2794" t="s">
        <v>6901</v>
      </c>
    </row>
    <row r="2795" spans="1:5" x14ac:dyDescent="0.35">
      <c r="A2795" t="str">
        <f>"2021-03-04"</f>
        <v>2021-03-04</v>
      </c>
      <c r="B2795" s="1" t="str">
        <f t="shared" si="43"/>
        <v>03/04/2021</v>
      </c>
      <c r="C2795" t="str">
        <f>"36.1136"</f>
        <v>36.1136</v>
      </c>
      <c r="D2795" s="1" t="s">
        <v>2786</v>
      </c>
      <c r="E2795" t="s">
        <v>6902</v>
      </c>
    </row>
    <row r="2796" spans="1:5" x14ac:dyDescent="0.35">
      <c r="A2796" t="str">
        <f>"2021-03-05"</f>
        <v>2021-03-05</v>
      </c>
      <c r="B2796" s="1" t="str">
        <f t="shared" si="43"/>
        <v>03/05/2021</v>
      </c>
      <c r="C2796" t="str">
        <f>"36.0553"</f>
        <v>36.0553</v>
      </c>
      <c r="D2796" s="1" t="s">
        <v>2787</v>
      </c>
      <c r="E2796" t="s">
        <v>6903</v>
      </c>
    </row>
    <row r="2797" spans="1:5" x14ac:dyDescent="0.35">
      <c r="A2797" t="str">
        <f>"2021-03-08"</f>
        <v>2021-03-08</v>
      </c>
      <c r="B2797" s="1" t="str">
        <f t="shared" si="43"/>
        <v>03/08/2021</v>
      </c>
      <c r="C2797" t="str">
        <f>"36.1762"</f>
        <v>36.1762</v>
      </c>
      <c r="D2797" s="1" t="s">
        <v>2788</v>
      </c>
      <c r="E2797" t="s">
        <v>6904</v>
      </c>
    </row>
    <row r="2798" spans="1:5" x14ac:dyDescent="0.35">
      <c r="A2798" t="str">
        <f>"2021-03-09"</f>
        <v>2021-03-09</v>
      </c>
      <c r="B2798" s="1" t="str">
        <f t="shared" si="43"/>
        <v>03/09/2021</v>
      </c>
      <c r="C2798" t="str">
        <f>"35.0902"</f>
        <v>35.0902</v>
      </c>
      <c r="D2798" s="1" t="s">
        <v>2789</v>
      </c>
      <c r="E2798" t="s">
        <v>6905</v>
      </c>
    </row>
    <row r="2799" spans="1:5" x14ac:dyDescent="0.35">
      <c r="A2799" t="str">
        <f>"2021-03-10"</f>
        <v>2021-03-10</v>
      </c>
      <c r="B2799" s="1" t="str">
        <f t="shared" si="43"/>
        <v>03/10/2021</v>
      </c>
      <c r="C2799" t="str">
        <f>"35.3911"</f>
        <v>35.3911</v>
      </c>
      <c r="D2799" s="1" t="s">
        <v>2790</v>
      </c>
      <c r="E2799" t="s">
        <v>6906</v>
      </c>
    </row>
    <row r="2800" spans="1:5" x14ac:dyDescent="0.35">
      <c r="A2800" t="str">
        <f>"2021-03-11"</f>
        <v>2021-03-11</v>
      </c>
      <c r="B2800" s="1" t="str">
        <f t="shared" si="43"/>
        <v>03/11/2021</v>
      </c>
      <c r="C2800" t="str">
        <f>"35.5654"</f>
        <v>35.5654</v>
      </c>
      <c r="D2800" s="1" t="s">
        <v>2791</v>
      </c>
      <c r="E2800" t="s">
        <v>6907</v>
      </c>
    </row>
    <row r="2801" spans="1:5" x14ac:dyDescent="0.35">
      <c r="A2801" t="str">
        <f>"2021-03-12"</f>
        <v>2021-03-12</v>
      </c>
      <c r="B2801" s="1" t="str">
        <f t="shared" si="43"/>
        <v>03/12/2021</v>
      </c>
      <c r="C2801" t="str">
        <f>"35.088"</f>
        <v>35.088</v>
      </c>
      <c r="D2801" s="1" t="s">
        <v>2792</v>
      </c>
      <c r="E2801" t="s">
        <v>6908</v>
      </c>
    </row>
    <row r="2802" spans="1:5" x14ac:dyDescent="0.35">
      <c r="A2802" t="str">
        <f>"2021-03-15"</f>
        <v>2021-03-15</v>
      </c>
      <c r="B2802" s="1" t="str">
        <f t="shared" si="43"/>
        <v>03/15/2021</v>
      </c>
      <c r="C2802" t="str">
        <f>"34.9759"</f>
        <v>34.9759</v>
      </c>
      <c r="D2802" s="1" t="s">
        <v>2793</v>
      </c>
      <c r="E2802" t="s">
        <v>6909</v>
      </c>
    </row>
    <row r="2803" spans="1:5" x14ac:dyDescent="0.35">
      <c r="A2803" t="str">
        <f>"2021-03-16"</f>
        <v>2021-03-16</v>
      </c>
      <c r="B2803" s="1" t="str">
        <f t="shared" si="43"/>
        <v>03/16/2021</v>
      </c>
      <c r="C2803" t="str">
        <f>"35.1782"</f>
        <v>35.1782</v>
      </c>
      <c r="D2803" s="1" t="s">
        <v>2794</v>
      </c>
      <c r="E2803" t="s">
        <v>6910</v>
      </c>
    </row>
    <row r="2804" spans="1:5" x14ac:dyDescent="0.35">
      <c r="A2804" t="str">
        <f>"2021-03-17"</f>
        <v>2021-03-17</v>
      </c>
      <c r="B2804" s="1" t="str">
        <f t="shared" si="43"/>
        <v>03/17/2021</v>
      </c>
      <c r="C2804" t="str">
        <f>"34.9988"</f>
        <v>34.9988</v>
      </c>
      <c r="D2804" s="1" t="s">
        <v>2795</v>
      </c>
      <c r="E2804" t="s">
        <v>6911</v>
      </c>
    </row>
    <row r="2805" spans="1:5" x14ac:dyDescent="0.35">
      <c r="A2805" t="str">
        <f>"2021-03-18"</f>
        <v>2021-03-18</v>
      </c>
      <c r="B2805" s="1" t="str">
        <f t="shared" si="43"/>
        <v>03/18/2021</v>
      </c>
      <c r="C2805" t="str">
        <f>"33.3997"</f>
        <v>33.3997</v>
      </c>
      <c r="D2805" s="1" t="s">
        <v>2796</v>
      </c>
      <c r="E2805" t="s">
        <v>6912</v>
      </c>
    </row>
    <row r="2806" spans="1:5" x14ac:dyDescent="0.35">
      <c r="A2806" t="str">
        <f>"2021-03-19"</f>
        <v>2021-03-19</v>
      </c>
      <c r="B2806" s="1" t="str">
        <f t="shared" si="43"/>
        <v>03/19/2021</v>
      </c>
      <c r="C2806" t="str">
        <f>"33.6473"</f>
        <v>33.6473</v>
      </c>
      <c r="D2806" s="1" t="s">
        <v>2797</v>
      </c>
      <c r="E2806" t="s">
        <v>6913</v>
      </c>
    </row>
    <row r="2807" spans="1:5" x14ac:dyDescent="0.35">
      <c r="A2807" t="str">
        <f>"2021-03-22"</f>
        <v>2021-03-22</v>
      </c>
      <c r="B2807" s="1" t="str">
        <f t="shared" si="43"/>
        <v>03/22/2021</v>
      </c>
      <c r="C2807" t="str">
        <f>"27.4595"</f>
        <v>27.4595</v>
      </c>
      <c r="D2807" s="1" t="s">
        <v>2798</v>
      </c>
      <c r="E2807" t="s">
        <v>6914</v>
      </c>
    </row>
    <row r="2808" spans="1:5" x14ac:dyDescent="0.35">
      <c r="A2808" t="str">
        <f>"2021-03-23"</f>
        <v>2021-03-23</v>
      </c>
      <c r="B2808" s="1" t="str">
        <f t="shared" si="43"/>
        <v>03/23/2021</v>
      </c>
      <c r="C2808" t="str">
        <f>"28.1388"</f>
        <v>28.1388</v>
      </c>
      <c r="D2808" s="1" t="s">
        <v>2799</v>
      </c>
      <c r="E2808" t="s">
        <v>6915</v>
      </c>
    </row>
    <row r="2809" spans="1:5" x14ac:dyDescent="0.35">
      <c r="A2809" t="str">
        <f>"2021-03-24"</f>
        <v>2021-03-24</v>
      </c>
      <c r="B2809" s="1" t="str">
        <f t="shared" si="43"/>
        <v>03/24/2021</v>
      </c>
      <c r="C2809" t="str">
        <f>"29.4113"</f>
        <v>29.4113</v>
      </c>
      <c r="D2809" s="1" t="s">
        <v>2800</v>
      </c>
      <c r="E2809" t="s">
        <v>6916</v>
      </c>
    </row>
    <row r="2810" spans="1:5" x14ac:dyDescent="0.35">
      <c r="A2810" t="str">
        <f>"2021-03-25"</f>
        <v>2021-03-25</v>
      </c>
      <c r="B2810" s="1" t="str">
        <f t="shared" si="43"/>
        <v>03/25/2021</v>
      </c>
      <c r="C2810" t="str">
        <f>"28.8781"</f>
        <v>28.8781</v>
      </c>
      <c r="D2810" s="1" t="s">
        <v>2801</v>
      </c>
      <c r="E2810" t="s">
        <v>6917</v>
      </c>
    </row>
    <row r="2811" spans="1:5" x14ac:dyDescent="0.35">
      <c r="A2811" t="str">
        <f>"2021-03-26"</f>
        <v>2021-03-26</v>
      </c>
      <c r="B2811" s="1" t="str">
        <f t="shared" si="43"/>
        <v>03/26/2021</v>
      </c>
      <c r="C2811" t="str">
        <f>"28.6014"</f>
        <v>28.6014</v>
      </c>
      <c r="D2811" s="1" t="s">
        <v>2802</v>
      </c>
      <c r="E2811" t="s">
        <v>6918</v>
      </c>
    </row>
    <row r="2812" spans="1:5" x14ac:dyDescent="0.35">
      <c r="A2812" t="str">
        <f>"2021-03-29"</f>
        <v>2021-03-29</v>
      </c>
      <c r="B2812" s="1" t="str">
        <f t="shared" si="43"/>
        <v>03/29/2021</v>
      </c>
      <c r="C2812" t="str">
        <f>"27.9277"</f>
        <v>27.9277</v>
      </c>
      <c r="D2812" s="1" t="s">
        <v>2803</v>
      </c>
      <c r="E2812" t="s">
        <v>6919</v>
      </c>
    </row>
    <row r="2813" spans="1:5" x14ac:dyDescent="0.35">
      <c r="A2813" t="str">
        <f>"2021-03-30"</f>
        <v>2021-03-30</v>
      </c>
      <c r="B2813" s="1" t="str">
        <f t="shared" si="43"/>
        <v>03/30/2021</v>
      </c>
      <c r="C2813" t="str">
        <f>"28.4792"</f>
        <v>28.4792</v>
      </c>
      <c r="D2813" s="1" t="s">
        <v>2804</v>
      </c>
      <c r="E2813" t="s">
        <v>6920</v>
      </c>
    </row>
    <row r="2814" spans="1:5" x14ac:dyDescent="0.35">
      <c r="A2814" t="str">
        <f>"2021-03-31"</f>
        <v>2021-03-31</v>
      </c>
      <c r="B2814" s="1" t="str">
        <f t="shared" si="43"/>
        <v>03/31/2021</v>
      </c>
      <c r="C2814" t="str">
        <f>"27.7965"</f>
        <v>27.7965</v>
      </c>
      <c r="D2814" s="1" t="s">
        <v>2805</v>
      </c>
      <c r="E2814" t="s">
        <v>6921</v>
      </c>
    </row>
    <row r="2815" spans="1:5" x14ac:dyDescent="0.35">
      <c r="A2815" t="str">
        <f>"2021-04-01"</f>
        <v>2021-04-01</v>
      </c>
      <c r="B2815" s="1" t="str">
        <f t="shared" si="43"/>
        <v>04/01/2021</v>
      </c>
      <c r="C2815" t="str">
        <f>"28.4158"</f>
        <v>28.4158</v>
      </c>
      <c r="D2815" s="1" t="s">
        <v>2806</v>
      </c>
      <c r="E2815" t="s">
        <v>6922</v>
      </c>
    </row>
    <row r="2816" spans="1:5" x14ac:dyDescent="0.35">
      <c r="A2816" t="str">
        <f>"2021-04-05"</f>
        <v>2021-04-05</v>
      </c>
      <c r="B2816" s="1" t="str">
        <f t="shared" si="43"/>
        <v>04/05/2021</v>
      </c>
      <c r="C2816" t="str">
        <f>"28.7405"</f>
        <v>28.7405</v>
      </c>
      <c r="D2816" s="1" t="s">
        <v>2807</v>
      </c>
      <c r="E2816" t="s">
        <v>6923</v>
      </c>
    </row>
    <row r="2817" spans="1:5" x14ac:dyDescent="0.35">
      <c r="A2817" t="str">
        <f>"2021-04-06"</f>
        <v>2021-04-06</v>
      </c>
      <c r="B2817" s="1" t="str">
        <f t="shared" si="43"/>
        <v>04/06/2021</v>
      </c>
      <c r="C2817" t="str">
        <f>"28.0888"</f>
        <v>28.0888</v>
      </c>
      <c r="D2817" s="1" t="s">
        <v>2808</v>
      </c>
      <c r="E2817" t="s">
        <v>6924</v>
      </c>
    </row>
    <row r="2818" spans="1:5" x14ac:dyDescent="0.35">
      <c r="A2818" t="str">
        <f>"2021-04-07"</f>
        <v>2021-04-07</v>
      </c>
      <c r="B2818" s="1" t="str">
        <f t="shared" si="43"/>
        <v>04/07/2021</v>
      </c>
      <c r="C2818" t="str">
        <f>"28.2002"</f>
        <v>28.2002</v>
      </c>
      <c r="D2818" s="1" t="s">
        <v>2809</v>
      </c>
      <c r="E2818" t="s">
        <v>6925</v>
      </c>
    </row>
    <row r="2819" spans="1:5" x14ac:dyDescent="0.35">
      <c r="A2819" t="str">
        <f>"2021-04-08"</f>
        <v>2021-04-08</v>
      </c>
      <c r="B2819" s="1" t="str">
        <f t="shared" ref="B2819:B2882" si="44">LEFT(RIGHT(A2819,5),2)&amp;"/"&amp;RIGHT(A2819,2)&amp;"/"&amp;LEFT(A2819,4)</f>
        <v>04/08/2021</v>
      </c>
      <c r="C2819" t="str">
        <f>"27.24"</f>
        <v>27.24</v>
      </c>
      <c r="D2819" s="1" t="s">
        <v>2810</v>
      </c>
      <c r="E2819" t="s">
        <v>6926</v>
      </c>
    </row>
    <row r="2820" spans="1:5" x14ac:dyDescent="0.35">
      <c r="A2820" t="str">
        <f>"2021-04-09"</f>
        <v>2021-04-09</v>
      </c>
      <c r="B2820" s="1" t="str">
        <f t="shared" si="44"/>
        <v>04/09/2021</v>
      </c>
      <c r="C2820" t="str">
        <f>"26.2045"</f>
        <v>26.2045</v>
      </c>
      <c r="D2820" s="1" t="s">
        <v>2811</v>
      </c>
      <c r="E2820" t="s">
        <v>6927</v>
      </c>
    </row>
    <row r="2821" spans="1:5" x14ac:dyDescent="0.35">
      <c r="A2821" t="str">
        <f>"2021-04-12"</f>
        <v>2021-04-12</v>
      </c>
      <c r="B2821" s="1" t="str">
        <f t="shared" si="44"/>
        <v>04/12/2021</v>
      </c>
      <c r="C2821" t="str">
        <f>"26.3197"</f>
        <v>26.3197</v>
      </c>
      <c r="D2821" s="1" t="s">
        <v>2812</v>
      </c>
      <c r="E2821" t="s">
        <v>6928</v>
      </c>
    </row>
    <row r="2822" spans="1:5" x14ac:dyDescent="0.35">
      <c r="A2822" t="str">
        <f>"2021-04-13"</f>
        <v>2021-04-13</v>
      </c>
      <c r="B2822" s="1" t="str">
        <f t="shared" si="44"/>
        <v>04/13/2021</v>
      </c>
      <c r="C2822" t="str">
        <f>"26.059"</f>
        <v>26.059</v>
      </c>
      <c r="D2822" s="1" t="s">
        <v>2813</v>
      </c>
      <c r="E2822" t="s">
        <v>6929</v>
      </c>
    </row>
    <row r="2823" spans="1:5" x14ac:dyDescent="0.35">
      <c r="A2823" t="str">
        <f>"2021-04-14"</f>
        <v>2021-04-14</v>
      </c>
      <c r="B2823" s="1" t="str">
        <f t="shared" si="44"/>
        <v>04/14/2021</v>
      </c>
      <c r="C2823" t="str">
        <f>"26.3821"</f>
        <v>26.3821</v>
      </c>
      <c r="D2823" s="1" t="s">
        <v>2814</v>
      </c>
      <c r="E2823" t="s">
        <v>6930</v>
      </c>
    </row>
    <row r="2824" spans="1:5" x14ac:dyDescent="0.35">
      <c r="A2824" t="str">
        <f>"2021-04-15"</f>
        <v>2021-04-15</v>
      </c>
      <c r="B2824" s="1" t="str">
        <f t="shared" si="44"/>
        <v>04/15/2021</v>
      </c>
      <c r="C2824" t="str">
        <f>"25.9469"</f>
        <v>25.9469</v>
      </c>
      <c r="D2824" s="1" t="s">
        <v>2815</v>
      </c>
      <c r="E2824" t="s">
        <v>6931</v>
      </c>
    </row>
    <row r="2825" spans="1:5" x14ac:dyDescent="0.35">
      <c r="A2825" t="str">
        <f>"2021-04-16"</f>
        <v>2021-04-16</v>
      </c>
      <c r="B2825" s="1" t="str">
        <f t="shared" si="44"/>
        <v>04/16/2021</v>
      </c>
      <c r="C2825" t="str">
        <f>"25.3693"</f>
        <v>25.3693</v>
      </c>
      <c r="D2825" s="1" t="s">
        <v>2816</v>
      </c>
      <c r="E2825" t="s">
        <v>6932</v>
      </c>
    </row>
    <row r="2826" spans="1:5" x14ac:dyDescent="0.35">
      <c r="A2826" t="str">
        <f>"2021-04-19"</f>
        <v>2021-04-19</v>
      </c>
      <c r="B2826" s="1" t="str">
        <f t="shared" si="44"/>
        <v>04/19/2021</v>
      </c>
      <c r="C2826" t="str">
        <f>"25.2484"</f>
        <v>25.2484</v>
      </c>
      <c r="D2826" s="1" t="s">
        <v>2817</v>
      </c>
      <c r="E2826" t="s">
        <v>6933</v>
      </c>
    </row>
    <row r="2827" spans="1:5" x14ac:dyDescent="0.35">
      <c r="A2827" t="str">
        <f>"2021-04-20"</f>
        <v>2021-04-20</v>
      </c>
      <c r="B2827" s="1" t="str">
        <f t="shared" si="44"/>
        <v>04/20/2021</v>
      </c>
      <c r="C2827" t="str">
        <f>"24.1403"</f>
        <v>24.1403</v>
      </c>
      <c r="D2827" s="1" t="s">
        <v>2818</v>
      </c>
      <c r="E2827" t="s">
        <v>6934</v>
      </c>
    </row>
    <row r="2828" spans="1:5" x14ac:dyDescent="0.35">
      <c r="A2828" t="str">
        <f>"2021-04-21"</f>
        <v>2021-04-21</v>
      </c>
      <c r="B2828" s="1" t="str">
        <f t="shared" si="44"/>
        <v>04/21/2021</v>
      </c>
      <c r="C2828" t="str">
        <f>"23.343"</f>
        <v>23.343</v>
      </c>
      <c r="D2828" s="1" t="s">
        <v>2819</v>
      </c>
      <c r="E2828" t="s">
        <v>6935</v>
      </c>
    </row>
    <row r="2829" spans="1:5" x14ac:dyDescent="0.35">
      <c r="A2829" t="str">
        <f>"2021-04-22"</f>
        <v>2021-04-22</v>
      </c>
      <c r="B2829" s="1" t="str">
        <f t="shared" si="44"/>
        <v>04/22/2021</v>
      </c>
      <c r="C2829" t="str">
        <f>"24.0288"</f>
        <v>24.0288</v>
      </c>
      <c r="D2829" s="1" t="s">
        <v>2820</v>
      </c>
      <c r="E2829" t="s">
        <v>6936</v>
      </c>
    </row>
    <row r="2830" spans="1:5" x14ac:dyDescent="0.35">
      <c r="A2830" t="str">
        <f>"2021-04-26"</f>
        <v>2021-04-26</v>
      </c>
      <c r="B2830" s="1" t="str">
        <f t="shared" si="44"/>
        <v>04/26/2021</v>
      </c>
      <c r="C2830" t="str">
        <f>"24.3941"</f>
        <v>24.3941</v>
      </c>
      <c r="D2830" s="1" t="s">
        <v>2821</v>
      </c>
      <c r="E2830" t="s">
        <v>6937</v>
      </c>
    </row>
    <row r="2831" spans="1:5" x14ac:dyDescent="0.35">
      <c r="A2831" t="str">
        <f>"2021-04-27"</f>
        <v>2021-04-27</v>
      </c>
      <c r="B2831" s="1" t="str">
        <f t="shared" si="44"/>
        <v>04/27/2021</v>
      </c>
      <c r="C2831" t="str">
        <f>"25.1737"</f>
        <v>25.1737</v>
      </c>
      <c r="D2831" s="1" t="s">
        <v>2822</v>
      </c>
      <c r="E2831" t="s">
        <v>6938</v>
      </c>
    </row>
    <row r="2832" spans="1:5" x14ac:dyDescent="0.35">
      <c r="A2832" t="str">
        <f>"2021-04-28"</f>
        <v>2021-04-28</v>
      </c>
      <c r="B2832" s="1" t="str">
        <f t="shared" si="44"/>
        <v>04/28/2021</v>
      </c>
      <c r="C2832" t="str">
        <f>"25.6724"</f>
        <v>25.6724</v>
      </c>
      <c r="D2832" s="1" t="s">
        <v>2823</v>
      </c>
      <c r="E2832" t="s">
        <v>6939</v>
      </c>
    </row>
    <row r="2833" spans="1:5" x14ac:dyDescent="0.35">
      <c r="A2833" t="str">
        <f>"2021-04-29"</f>
        <v>2021-04-29</v>
      </c>
      <c r="B2833" s="1" t="str">
        <f t="shared" si="44"/>
        <v>04/29/2021</v>
      </c>
      <c r="C2833" t="str">
        <f>"25.7482"</f>
        <v>25.7482</v>
      </c>
      <c r="D2833" s="1" t="s">
        <v>2824</v>
      </c>
      <c r="E2833" t="s">
        <v>6940</v>
      </c>
    </row>
    <row r="2834" spans="1:5" x14ac:dyDescent="0.35">
      <c r="A2834" t="str">
        <f>"2021-04-30"</f>
        <v>2021-04-30</v>
      </c>
      <c r="B2834" s="1" t="str">
        <f t="shared" si="44"/>
        <v>04/30/2021</v>
      </c>
      <c r="C2834" t="str">
        <f>"26.2974"</f>
        <v>26.2974</v>
      </c>
      <c r="D2834" s="1" t="s">
        <v>2825</v>
      </c>
      <c r="E2834" t="s">
        <v>6941</v>
      </c>
    </row>
    <row r="2835" spans="1:5" x14ac:dyDescent="0.35">
      <c r="A2835" t="str">
        <f>"2021-05-03"</f>
        <v>2021-05-03</v>
      </c>
      <c r="B2835" s="1" t="str">
        <f t="shared" si="44"/>
        <v>05/03/2021</v>
      </c>
      <c r="C2835" t="str">
        <f>"27.1103"</f>
        <v>27.1103</v>
      </c>
      <c r="D2835" s="1" t="s">
        <v>2826</v>
      </c>
      <c r="E2835" t="s">
        <v>6942</v>
      </c>
    </row>
    <row r="2836" spans="1:5" x14ac:dyDescent="0.35">
      <c r="A2836" t="str">
        <f>"2021-05-04"</f>
        <v>2021-05-04</v>
      </c>
      <c r="B2836" s="1" t="str">
        <f t="shared" si="44"/>
        <v>05/04/2021</v>
      </c>
      <c r="C2836" t="str">
        <f>"26.7638"</f>
        <v>26.7638</v>
      </c>
      <c r="D2836" s="1" t="s">
        <v>2827</v>
      </c>
      <c r="E2836" t="s">
        <v>6943</v>
      </c>
    </row>
    <row r="2837" spans="1:5" x14ac:dyDescent="0.35">
      <c r="A2837" t="str">
        <f>"2021-05-05"</f>
        <v>2021-05-05</v>
      </c>
      <c r="B2837" s="1" t="str">
        <f t="shared" si="44"/>
        <v>05/05/2021</v>
      </c>
      <c r="C2837" t="str">
        <f>"26.4043"</f>
        <v>26.4043</v>
      </c>
      <c r="D2837" s="1" t="s">
        <v>2828</v>
      </c>
      <c r="E2837" t="s">
        <v>6944</v>
      </c>
    </row>
    <row r="2838" spans="1:5" x14ac:dyDescent="0.35">
      <c r="A2838" t="str">
        <f>"2021-05-06"</f>
        <v>2021-05-06</v>
      </c>
      <c r="B2838" s="1" t="str">
        <f t="shared" si="44"/>
        <v>05/06/2021</v>
      </c>
      <c r="C2838" t="str">
        <f>"26.5961"</f>
        <v>26.5961</v>
      </c>
      <c r="D2838" s="1" t="s">
        <v>2829</v>
      </c>
      <c r="E2838" t="s">
        <v>6945</v>
      </c>
    </row>
    <row r="2839" spans="1:5" x14ac:dyDescent="0.35">
      <c r="A2839" t="str">
        <f>"2021-05-07"</f>
        <v>2021-05-07</v>
      </c>
      <c r="B2839" s="1" t="str">
        <f t="shared" si="44"/>
        <v>05/07/2021</v>
      </c>
      <c r="C2839" t="str">
        <f>"26.6592"</f>
        <v>26.6592</v>
      </c>
      <c r="D2839" s="1" t="s">
        <v>2830</v>
      </c>
      <c r="E2839" t="s">
        <v>6946</v>
      </c>
    </row>
    <row r="2840" spans="1:5" x14ac:dyDescent="0.35">
      <c r="A2840" t="str">
        <f>"2021-05-10"</f>
        <v>2021-05-10</v>
      </c>
      <c r="B2840" s="1" t="str">
        <f t="shared" si="44"/>
        <v>05/10/2021</v>
      </c>
      <c r="C2840" t="str">
        <f>"27.4721"</f>
        <v>27.4721</v>
      </c>
      <c r="D2840" s="1" t="s">
        <v>2831</v>
      </c>
      <c r="E2840" t="s">
        <v>6947</v>
      </c>
    </row>
    <row r="2841" spans="1:5" x14ac:dyDescent="0.35">
      <c r="A2841" t="str">
        <f>"2021-05-11"</f>
        <v>2021-05-11</v>
      </c>
      <c r="B2841" s="1" t="str">
        <f t="shared" si="44"/>
        <v>05/11/2021</v>
      </c>
      <c r="C2841" t="str">
        <f>"27.344"</f>
        <v>27.344</v>
      </c>
      <c r="D2841" s="1" t="s">
        <v>2832</v>
      </c>
      <c r="E2841" t="s">
        <v>6948</v>
      </c>
    </row>
    <row r="2842" spans="1:5" x14ac:dyDescent="0.35">
      <c r="A2842" t="str">
        <f>"2021-05-12"</f>
        <v>2021-05-12</v>
      </c>
      <c r="B2842" s="1" t="str">
        <f t="shared" si="44"/>
        <v>05/12/2021</v>
      </c>
      <c r="C2842" t="str">
        <f>"27.5658"</f>
        <v>27.5658</v>
      </c>
      <c r="D2842" s="1" t="s">
        <v>2833</v>
      </c>
      <c r="E2842" t="s">
        <v>6949</v>
      </c>
    </row>
    <row r="2843" spans="1:5" x14ac:dyDescent="0.35">
      <c r="A2843" t="str">
        <f>"2021-05-17"</f>
        <v>2021-05-17</v>
      </c>
      <c r="B2843" s="1" t="str">
        <f t="shared" si="44"/>
        <v>05/17/2021</v>
      </c>
      <c r="C2843" t="str">
        <f>"26.3482"</f>
        <v>26.3482</v>
      </c>
      <c r="D2843" s="1" t="s">
        <v>2834</v>
      </c>
      <c r="E2843" t="s">
        <v>6950</v>
      </c>
    </row>
    <row r="2844" spans="1:5" x14ac:dyDescent="0.35">
      <c r="A2844" t="str">
        <f>"2021-05-18"</f>
        <v>2021-05-18</v>
      </c>
      <c r="B2844" s="1" t="str">
        <f t="shared" si="44"/>
        <v>05/18/2021</v>
      </c>
      <c r="C2844" t="str">
        <f>"26.7779"</f>
        <v>26.7779</v>
      </c>
      <c r="D2844" s="1" t="s">
        <v>2835</v>
      </c>
      <c r="E2844" t="s">
        <v>6951</v>
      </c>
    </row>
    <row r="2845" spans="1:5" x14ac:dyDescent="0.35">
      <c r="A2845" t="str">
        <f>"2021-05-20"</f>
        <v>2021-05-20</v>
      </c>
      <c r="B2845" s="1" t="str">
        <f t="shared" si="44"/>
        <v>05/20/2021</v>
      </c>
      <c r="C2845" t="str">
        <f>"26.6875"</f>
        <v>26.6875</v>
      </c>
      <c r="D2845" s="1" t="s">
        <v>2836</v>
      </c>
      <c r="E2845" t="s">
        <v>6952</v>
      </c>
    </row>
    <row r="2846" spans="1:5" x14ac:dyDescent="0.35">
      <c r="A2846" t="str">
        <f>"2021-05-21"</f>
        <v>2021-05-21</v>
      </c>
      <c r="B2846" s="1" t="str">
        <f t="shared" si="44"/>
        <v>05/21/2021</v>
      </c>
      <c r="C2846" t="str">
        <f>"26.7139"</f>
        <v>26.7139</v>
      </c>
      <c r="D2846" s="1" t="s">
        <v>2837</v>
      </c>
      <c r="E2846" t="s">
        <v>6953</v>
      </c>
    </row>
    <row r="2847" spans="1:5" x14ac:dyDescent="0.35">
      <c r="A2847" t="str">
        <f>"2021-05-24"</f>
        <v>2021-05-24</v>
      </c>
      <c r="B2847" s="1" t="str">
        <f t="shared" si="44"/>
        <v>05/24/2021</v>
      </c>
      <c r="C2847" t="str">
        <f>"26.4141"</f>
        <v>26.4141</v>
      </c>
      <c r="D2847" s="1" t="s">
        <v>2838</v>
      </c>
      <c r="E2847" t="s">
        <v>6954</v>
      </c>
    </row>
    <row r="2848" spans="1:5" x14ac:dyDescent="0.35">
      <c r="A2848" t="str">
        <f>"2021-05-25"</f>
        <v>2021-05-25</v>
      </c>
      <c r="B2848" s="1" t="str">
        <f t="shared" si="44"/>
        <v>05/25/2021</v>
      </c>
      <c r="C2848" t="str">
        <f>"25.2314"</f>
        <v>25.2314</v>
      </c>
      <c r="D2848" s="1" t="s">
        <v>2839</v>
      </c>
      <c r="E2848" t="s">
        <v>6955</v>
      </c>
    </row>
    <row r="2849" spans="1:5" x14ac:dyDescent="0.35">
      <c r="A2849" t="str">
        <f>"2021-05-26"</f>
        <v>2021-05-26</v>
      </c>
      <c r="B2849" s="1" t="str">
        <f t="shared" si="44"/>
        <v>05/26/2021</v>
      </c>
      <c r="C2849" t="str">
        <f>"25.2577"</f>
        <v>25.2577</v>
      </c>
      <c r="D2849" s="1" t="s">
        <v>2840</v>
      </c>
      <c r="E2849" t="s">
        <v>6956</v>
      </c>
    </row>
    <row r="2850" spans="1:5" x14ac:dyDescent="0.35">
      <c r="A2850" t="str">
        <f>"2021-05-27"</f>
        <v>2021-05-27</v>
      </c>
      <c r="B2850" s="1" t="str">
        <f t="shared" si="44"/>
        <v>05/27/2021</v>
      </c>
      <c r="C2850" t="str">
        <f>"25.3356"</f>
        <v>25.3356</v>
      </c>
      <c r="D2850" s="1" t="s">
        <v>2841</v>
      </c>
      <c r="E2850" t="s">
        <v>6957</v>
      </c>
    </row>
    <row r="2851" spans="1:5" x14ac:dyDescent="0.35">
      <c r="A2851" t="str">
        <f>"2021-05-28"</f>
        <v>2021-05-28</v>
      </c>
      <c r="B2851" s="1" t="str">
        <f t="shared" si="44"/>
        <v>05/28/2021</v>
      </c>
      <c r="C2851" t="str">
        <f>"25.0175"</f>
        <v>25.0175</v>
      </c>
      <c r="D2851" s="1" t="s">
        <v>2842</v>
      </c>
      <c r="E2851" t="s">
        <v>6958</v>
      </c>
    </row>
    <row r="2852" spans="1:5" x14ac:dyDescent="0.35">
      <c r="A2852" t="str">
        <f>"2021-06-01"</f>
        <v>2021-06-01</v>
      </c>
      <c r="B2852" s="1" t="str">
        <f t="shared" si="44"/>
        <v>06/01/2021</v>
      </c>
      <c r="C2852" t="str">
        <f>"25.9783"</f>
        <v>25.9783</v>
      </c>
      <c r="D2852" s="1" t="s">
        <v>2843</v>
      </c>
      <c r="E2852" t="s">
        <v>6959</v>
      </c>
    </row>
    <row r="2853" spans="1:5" x14ac:dyDescent="0.35">
      <c r="A2853" t="str">
        <f>"2021-06-02"</f>
        <v>2021-06-02</v>
      </c>
      <c r="B2853" s="1" t="str">
        <f t="shared" si="44"/>
        <v>06/02/2021</v>
      </c>
      <c r="C2853" t="str">
        <f>"25.8758"</f>
        <v>25.8758</v>
      </c>
      <c r="D2853" s="1" t="s">
        <v>2844</v>
      </c>
      <c r="E2853" t="s">
        <v>6960</v>
      </c>
    </row>
    <row r="2854" spans="1:5" x14ac:dyDescent="0.35">
      <c r="A2854" t="str">
        <f>"2021-06-03"</f>
        <v>2021-06-03</v>
      </c>
      <c r="B2854" s="1" t="str">
        <f t="shared" si="44"/>
        <v>06/03/2021</v>
      </c>
      <c r="C2854" t="str">
        <f>"27.1016"</f>
        <v>27.1016</v>
      </c>
      <c r="D2854" s="1" t="s">
        <v>2845</v>
      </c>
      <c r="E2854" t="s">
        <v>6961</v>
      </c>
    </row>
    <row r="2855" spans="1:5" x14ac:dyDescent="0.35">
      <c r="A2855" t="str">
        <f>"2021-06-04"</f>
        <v>2021-06-04</v>
      </c>
      <c r="B2855" s="1" t="str">
        <f t="shared" si="44"/>
        <v>06/04/2021</v>
      </c>
      <c r="C2855" t="str">
        <f>"26.5401"</f>
        <v>26.5401</v>
      </c>
      <c r="D2855" s="1" t="s">
        <v>2846</v>
      </c>
      <c r="E2855" t="s">
        <v>6962</v>
      </c>
    </row>
    <row r="2856" spans="1:5" x14ac:dyDescent="0.35">
      <c r="A2856" t="str">
        <f>"2021-06-07"</f>
        <v>2021-06-07</v>
      </c>
      <c r="B2856" s="1" t="str">
        <f t="shared" si="44"/>
        <v>06/07/2021</v>
      </c>
      <c r="C2856" t="str">
        <f>"26.9989"</f>
        <v>26.9989</v>
      </c>
      <c r="D2856" s="1" t="s">
        <v>2847</v>
      </c>
      <c r="E2856" t="s">
        <v>6963</v>
      </c>
    </row>
    <row r="2857" spans="1:5" x14ac:dyDescent="0.35">
      <c r="A2857" t="str">
        <f>"2021-06-08"</f>
        <v>2021-06-08</v>
      </c>
      <c r="B2857" s="1" t="str">
        <f t="shared" si="44"/>
        <v>06/08/2021</v>
      </c>
      <c r="C2857" t="str">
        <f>"27.6857"</f>
        <v>27.6857</v>
      </c>
      <c r="D2857" s="1" t="s">
        <v>2848</v>
      </c>
      <c r="E2857" t="s">
        <v>6964</v>
      </c>
    </row>
    <row r="2858" spans="1:5" x14ac:dyDescent="0.35">
      <c r="A2858" t="str">
        <f>"2021-06-09"</f>
        <v>2021-06-09</v>
      </c>
      <c r="B2858" s="1" t="str">
        <f t="shared" si="44"/>
        <v>06/09/2021</v>
      </c>
      <c r="C2858" t="str">
        <f>"27.8158"</f>
        <v>27.8158</v>
      </c>
      <c r="D2858" s="1" t="s">
        <v>2849</v>
      </c>
      <c r="E2858" t="s">
        <v>6965</v>
      </c>
    </row>
    <row r="2859" spans="1:5" x14ac:dyDescent="0.35">
      <c r="A2859" t="str">
        <f>"2021-06-10"</f>
        <v>2021-06-10</v>
      </c>
      <c r="B2859" s="1" t="str">
        <f t="shared" si="44"/>
        <v>06/10/2021</v>
      </c>
      <c r="C2859" t="str">
        <f>"27.6087"</f>
        <v>27.6087</v>
      </c>
      <c r="D2859" s="1" t="s">
        <v>2850</v>
      </c>
      <c r="E2859" t="s">
        <v>6966</v>
      </c>
    </row>
    <row r="2860" spans="1:5" x14ac:dyDescent="0.35">
      <c r="A2860" t="str">
        <f>"2021-06-11"</f>
        <v>2021-06-11</v>
      </c>
      <c r="B2860" s="1" t="str">
        <f t="shared" si="44"/>
        <v>06/11/2021</v>
      </c>
      <c r="C2860" t="str">
        <f>"28.6898"</f>
        <v>28.6898</v>
      </c>
      <c r="D2860" s="1" t="s">
        <v>2851</v>
      </c>
      <c r="E2860" t="s">
        <v>6967</v>
      </c>
    </row>
    <row r="2861" spans="1:5" x14ac:dyDescent="0.35">
      <c r="A2861" t="str">
        <f>"2021-06-14"</f>
        <v>2021-06-14</v>
      </c>
      <c r="B2861" s="1" t="str">
        <f t="shared" si="44"/>
        <v>06/14/2021</v>
      </c>
      <c r="C2861" t="str">
        <f>"29.1169"</f>
        <v>29.1169</v>
      </c>
      <c r="D2861" s="1" t="s">
        <v>2852</v>
      </c>
      <c r="E2861" t="s">
        <v>6968</v>
      </c>
    </row>
    <row r="2862" spans="1:5" x14ac:dyDescent="0.35">
      <c r="A2862" t="str">
        <f>"2021-06-15"</f>
        <v>2021-06-15</v>
      </c>
      <c r="B2862" s="1" t="str">
        <f t="shared" si="44"/>
        <v>06/15/2021</v>
      </c>
      <c r="C2862" t="str">
        <f>"28.7408"</f>
        <v>28.7408</v>
      </c>
      <c r="D2862" s="1" t="s">
        <v>2853</v>
      </c>
      <c r="E2862" t="s">
        <v>6969</v>
      </c>
    </row>
    <row r="2863" spans="1:5" x14ac:dyDescent="0.35">
      <c r="A2863" t="str">
        <f>"2021-06-16"</f>
        <v>2021-06-16</v>
      </c>
      <c r="B2863" s="1" t="str">
        <f t="shared" si="44"/>
        <v>06/16/2021</v>
      </c>
      <c r="C2863" t="str">
        <f>"27.9956"</f>
        <v>27.9956</v>
      </c>
      <c r="D2863" s="1" t="s">
        <v>2854</v>
      </c>
      <c r="E2863" t="s">
        <v>6970</v>
      </c>
    </row>
    <row r="2864" spans="1:5" x14ac:dyDescent="0.35">
      <c r="A2864" t="str">
        <f>"2021-06-17"</f>
        <v>2021-06-17</v>
      </c>
      <c r="B2864" s="1" t="str">
        <f t="shared" si="44"/>
        <v>06/17/2021</v>
      </c>
      <c r="C2864" t="str">
        <f>"29.8216"</f>
        <v>29.8216</v>
      </c>
      <c r="D2864" s="1" t="s">
        <v>2855</v>
      </c>
      <c r="E2864" t="s">
        <v>6971</v>
      </c>
    </row>
    <row r="2865" spans="1:5" x14ac:dyDescent="0.35">
      <c r="A2865" t="str">
        <f>"2021-06-18"</f>
        <v>2021-06-18</v>
      </c>
      <c r="B2865" s="1" t="str">
        <f t="shared" si="44"/>
        <v>06/18/2021</v>
      </c>
      <c r="C2865" t="str">
        <f>"29.358"</f>
        <v>29.358</v>
      </c>
      <c r="D2865" s="1" t="s">
        <v>2856</v>
      </c>
      <c r="E2865" t="s">
        <v>6972</v>
      </c>
    </row>
    <row r="2866" spans="1:5" x14ac:dyDescent="0.35">
      <c r="A2866" t="str">
        <f>"2021-06-21"</f>
        <v>2021-06-21</v>
      </c>
      <c r="B2866" s="1" t="str">
        <f t="shared" si="44"/>
        <v>06/21/2021</v>
      </c>
      <c r="C2866" t="str">
        <f>"29.0928"</f>
        <v>29.0928</v>
      </c>
      <c r="D2866" s="1" t="s">
        <v>2857</v>
      </c>
      <c r="E2866" t="s">
        <v>6973</v>
      </c>
    </row>
    <row r="2867" spans="1:5" x14ac:dyDescent="0.35">
      <c r="A2867" t="str">
        <f>"2021-06-22"</f>
        <v>2021-06-22</v>
      </c>
      <c r="B2867" s="1" t="str">
        <f t="shared" si="44"/>
        <v>06/22/2021</v>
      </c>
      <c r="C2867" t="str">
        <f>"29.4391"</f>
        <v>29.4391</v>
      </c>
      <c r="D2867" s="1" t="s">
        <v>2858</v>
      </c>
      <c r="E2867" t="s">
        <v>6974</v>
      </c>
    </row>
    <row r="2868" spans="1:5" x14ac:dyDescent="0.35">
      <c r="A2868" t="str">
        <f>"2021-06-23"</f>
        <v>2021-06-23</v>
      </c>
      <c r="B2868" s="1" t="str">
        <f t="shared" si="44"/>
        <v>06/23/2021</v>
      </c>
      <c r="C2868" t="str">
        <f>"29.4123"</f>
        <v>29.4123</v>
      </c>
      <c r="D2868" s="1" t="s">
        <v>2859</v>
      </c>
      <c r="E2868" t="s">
        <v>6975</v>
      </c>
    </row>
    <row r="2869" spans="1:5" x14ac:dyDescent="0.35">
      <c r="A2869" t="str">
        <f>"2021-06-24"</f>
        <v>2021-06-24</v>
      </c>
      <c r="B2869" s="1" t="str">
        <f t="shared" si="44"/>
        <v>06/24/2021</v>
      </c>
      <c r="C2869" t="str">
        <f>"29.6399"</f>
        <v>29.6399</v>
      </c>
      <c r="D2869" s="1" t="s">
        <v>2860</v>
      </c>
      <c r="E2869" t="s">
        <v>6883</v>
      </c>
    </row>
    <row r="2870" spans="1:5" x14ac:dyDescent="0.35">
      <c r="A2870" t="str">
        <f>"2021-06-25"</f>
        <v>2021-06-25</v>
      </c>
      <c r="B2870" s="1" t="str">
        <f t="shared" si="44"/>
        <v>06/25/2021</v>
      </c>
      <c r="C2870" t="str">
        <f>"28.7451"</f>
        <v>28.7451</v>
      </c>
      <c r="D2870" s="1" t="s">
        <v>2861</v>
      </c>
      <c r="E2870" t="s">
        <v>6976</v>
      </c>
    </row>
    <row r="2871" spans="1:5" x14ac:dyDescent="0.35">
      <c r="A2871" t="str">
        <f>"2021-06-28"</f>
        <v>2021-06-28</v>
      </c>
      <c r="B2871" s="1" t="str">
        <f t="shared" si="44"/>
        <v>06/28/2021</v>
      </c>
      <c r="C2871" t="str">
        <f>"27.6934"</f>
        <v>27.6934</v>
      </c>
      <c r="D2871" s="1" t="s">
        <v>2862</v>
      </c>
      <c r="E2871" t="s">
        <v>6977</v>
      </c>
    </row>
    <row r="2872" spans="1:5" x14ac:dyDescent="0.35">
      <c r="A2872" t="str">
        <f>"2021-06-29"</f>
        <v>2021-06-29</v>
      </c>
      <c r="B2872" s="1" t="str">
        <f t="shared" si="44"/>
        <v>06/29/2021</v>
      </c>
      <c r="C2872" t="str">
        <f>"27.209"</f>
        <v>27.209</v>
      </c>
      <c r="D2872" s="1" t="s">
        <v>2863</v>
      </c>
      <c r="E2872" t="s">
        <v>6978</v>
      </c>
    </row>
    <row r="2873" spans="1:5" x14ac:dyDescent="0.35">
      <c r="A2873" t="str">
        <f>"2021-06-30"</f>
        <v>2021-06-30</v>
      </c>
      <c r="B2873" s="1" t="str">
        <f t="shared" si="44"/>
        <v>06/30/2021</v>
      </c>
      <c r="C2873" t="str">
        <f>"26.9126"</f>
        <v>26.9126</v>
      </c>
      <c r="D2873" s="1" t="s">
        <v>2864</v>
      </c>
      <c r="E2873" t="s">
        <v>6979</v>
      </c>
    </row>
    <row r="2874" spans="1:5" x14ac:dyDescent="0.35">
      <c r="A2874" t="str">
        <f>"2021-07-01"</f>
        <v>2021-07-01</v>
      </c>
      <c r="B2874" s="1" t="str">
        <f t="shared" si="44"/>
        <v>07/01/2021</v>
      </c>
      <c r="C2874" t="str">
        <f>"27.6656"</f>
        <v>27.6656</v>
      </c>
      <c r="D2874" s="1" t="s">
        <v>2865</v>
      </c>
      <c r="E2874" t="s">
        <v>6980</v>
      </c>
    </row>
    <row r="2875" spans="1:5" x14ac:dyDescent="0.35">
      <c r="A2875" t="str">
        <f>"2021-07-02"</f>
        <v>2021-07-02</v>
      </c>
      <c r="B2875" s="1" t="str">
        <f t="shared" si="44"/>
        <v>07/02/2021</v>
      </c>
      <c r="C2875" t="str">
        <f>"27.669"</f>
        <v>27.669</v>
      </c>
      <c r="D2875" s="1" t="s">
        <v>2866</v>
      </c>
      <c r="E2875" t="s">
        <v>6981</v>
      </c>
    </row>
    <row r="2876" spans="1:5" x14ac:dyDescent="0.35">
      <c r="A2876" t="str">
        <f>"2021-07-06"</f>
        <v>2021-07-06</v>
      </c>
      <c r="B2876" s="1" t="str">
        <f t="shared" si="44"/>
        <v>07/06/2021</v>
      </c>
      <c r="C2876" t="str">
        <f>"27.7958"</f>
        <v>27.7958</v>
      </c>
      <c r="D2876" s="1" t="s">
        <v>2867</v>
      </c>
      <c r="E2876" t="s">
        <v>6982</v>
      </c>
    </row>
    <row r="2877" spans="1:5" x14ac:dyDescent="0.35">
      <c r="A2877" t="str">
        <f>"2021-07-07"</f>
        <v>2021-07-07</v>
      </c>
      <c r="B2877" s="1" t="str">
        <f t="shared" si="44"/>
        <v>07/07/2021</v>
      </c>
      <c r="C2877" t="str">
        <f>"27.548"</f>
        <v>27.548</v>
      </c>
      <c r="D2877" s="1" t="s">
        <v>2868</v>
      </c>
      <c r="E2877" t="s">
        <v>6983</v>
      </c>
    </row>
    <row r="2878" spans="1:5" x14ac:dyDescent="0.35">
      <c r="A2878" t="str">
        <f>"2021-07-08"</f>
        <v>2021-07-08</v>
      </c>
      <c r="B2878" s="1" t="str">
        <f t="shared" si="44"/>
        <v>07/08/2021</v>
      </c>
      <c r="C2878" t="str">
        <f>"27.2044"</f>
        <v>27.2044</v>
      </c>
      <c r="D2878" s="1" t="s">
        <v>2869</v>
      </c>
      <c r="E2878" t="s">
        <v>6984</v>
      </c>
    </row>
    <row r="2879" spans="1:5" x14ac:dyDescent="0.35">
      <c r="A2879" t="str">
        <f>"2021-07-09"</f>
        <v>2021-07-09</v>
      </c>
      <c r="B2879" s="1" t="str">
        <f t="shared" si="44"/>
        <v>07/09/2021</v>
      </c>
      <c r="C2879" t="str">
        <f>"26.8594"</f>
        <v>26.8594</v>
      </c>
      <c r="D2879" s="1" t="s">
        <v>2870</v>
      </c>
      <c r="E2879" t="s">
        <v>6985</v>
      </c>
    </row>
    <row r="2880" spans="1:5" x14ac:dyDescent="0.35">
      <c r="A2880" t="str">
        <f>"2021-07-12"</f>
        <v>2021-07-12</v>
      </c>
      <c r="B2880" s="1" t="str">
        <f t="shared" si="44"/>
        <v>07/12/2021</v>
      </c>
      <c r="C2880" t="str">
        <f>"26.3553"</f>
        <v>26.3553</v>
      </c>
      <c r="D2880" s="1" t="s">
        <v>2871</v>
      </c>
      <c r="E2880" t="s">
        <v>6986</v>
      </c>
    </row>
    <row r="2881" spans="1:5" x14ac:dyDescent="0.35">
      <c r="A2881" t="str">
        <f>"2021-07-13"</f>
        <v>2021-07-13</v>
      </c>
      <c r="B2881" s="1" t="str">
        <f t="shared" si="44"/>
        <v>07/13/2021</v>
      </c>
      <c r="C2881" t="str">
        <f>"26.0873"</f>
        <v>26.0873</v>
      </c>
      <c r="D2881" s="1" t="s">
        <v>2872</v>
      </c>
      <c r="E2881" t="s">
        <v>6987</v>
      </c>
    </row>
    <row r="2882" spans="1:5" x14ac:dyDescent="0.35">
      <c r="A2882" t="str">
        <f>"2021-07-14"</f>
        <v>2021-07-14</v>
      </c>
      <c r="B2882" s="1" t="str">
        <f t="shared" si="44"/>
        <v>07/14/2021</v>
      </c>
      <c r="C2882" t="str">
        <f>"25.8734"</f>
        <v>25.8734</v>
      </c>
      <c r="D2882" s="1" t="s">
        <v>2873</v>
      </c>
      <c r="E2882" t="s">
        <v>6988</v>
      </c>
    </row>
    <row r="2883" spans="1:5" x14ac:dyDescent="0.35">
      <c r="A2883" t="str">
        <f>"2021-07-16"</f>
        <v>2021-07-16</v>
      </c>
      <c r="B2883" s="1" t="str">
        <f t="shared" ref="B2883:B2946" si="45">LEFT(RIGHT(A2883,5),2)&amp;"/"&amp;RIGHT(A2883,2)&amp;"/"&amp;LEFT(A2883,4)</f>
        <v>07/16/2021</v>
      </c>
      <c r="C2883" t="str">
        <f>"26.191"</f>
        <v>26.191</v>
      </c>
      <c r="D2883" s="1" t="s">
        <v>2874</v>
      </c>
      <c r="E2883" t="s">
        <v>6989</v>
      </c>
    </row>
    <row r="2884" spans="1:5" x14ac:dyDescent="0.35">
      <c r="A2884" t="str">
        <f>"2021-07-19"</f>
        <v>2021-07-19</v>
      </c>
      <c r="B2884" s="1" t="str">
        <f t="shared" si="45"/>
        <v>07/19/2021</v>
      </c>
      <c r="C2884" t="str">
        <f>"25.6576"</f>
        <v>25.6576</v>
      </c>
      <c r="D2884" s="1" t="s">
        <v>2875</v>
      </c>
      <c r="E2884" t="s">
        <v>6990</v>
      </c>
    </row>
    <row r="2885" spans="1:5" x14ac:dyDescent="0.35">
      <c r="A2885" t="str">
        <f>"2021-07-26"</f>
        <v>2021-07-26</v>
      </c>
      <c r="B2885" s="1" t="str">
        <f t="shared" si="45"/>
        <v>07/26/2021</v>
      </c>
      <c r="C2885" t="str">
        <f>"24.9038"</f>
        <v>24.9038</v>
      </c>
      <c r="D2885" s="1" t="s">
        <v>2876</v>
      </c>
      <c r="E2885" t="s">
        <v>6991</v>
      </c>
    </row>
    <row r="2886" spans="1:5" x14ac:dyDescent="0.35">
      <c r="A2886" t="str">
        <f>"2021-07-27"</f>
        <v>2021-07-27</v>
      </c>
      <c r="B2886" s="1" t="str">
        <f t="shared" si="45"/>
        <v>07/27/2021</v>
      </c>
      <c r="C2886" t="str">
        <f>"25.3575"</f>
        <v>25.3575</v>
      </c>
      <c r="D2886" s="1" t="s">
        <v>2877</v>
      </c>
      <c r="E2886" t="s">
        <v>6992</v>
      </c>
    </row>
    <row r="2887" spans="1:5" x14ac:dyDescent="0.35">
      <c r="A2887" t="str">
        <f>"2021-07-28"</f>
        <v>2021-07-28</v>
      </c>
      <c r="B2887" s="1" t="str">
        <f t="shared" si="45"/>
        <v>07/28/2021</v>
      </c>
      <c r="C2887" t="str">
        <f>"25.373"</f>
        <v>25.373</v>
      </c>
      <c r="D2887" s="1" t="s">
        <v>2878</v>
      </c>
      <c r="E2887" t="s">
        <v>6993</v>
      </c>
    </row>
    <row r="2888" spans="1:5" x14ac:dyDescent="0.35">
      <c r="A2888" t="str">
        <f>"2021-07-29"</f>
        <v>2021-07-29</v>
      </c>
      <c r="B2888" s="1" t="str">
        <f t="shared" si="45"/>
        <v>07/29/2021</v>
      </c>
      <c r="C2888" t="str">
        <f>"25.3848"</f>
        <v>25.3848</v>
      </c>
      <c r="D2888" s="1" t="s">
        <v>2879</v>
      </c>
      <c r="E2888" t="s">
        <v>6994</v>
      </c>
    </row>
    <row r="2889" spans="1:5" x14ac:dyDescent="0.35">
      <c r="A2889" t="str">
        <f>"2021-07-30"</f>
        <v>2021-07-30</v>
      </c>
      <c r="B2889" s="1" t="str">
        <f t="shared" si="45"/>
        <v>07/30/2021</v>
      </c>
      <c r="C2889" t="str">
        <f>"25.8442"</f>
        <v>25.8442</v>
      </c>
      <c r="D2889" s="1" t="s">
        <v>2880</v>
      </c>
      <c r="E2889" t="s">
        <v>6995</v>
      </c>
    </row>
    <row r="2890" spans="1:5" x14ac:dyDescent="0.35">
      <c r="A2890" t="str">
        <f>"2021-08-02"</f>
        <v>2021-08-02</v>
      </c>
      <c r="B2890" s="1" t="str">
        <f t="shared" si="45"/>
        <v>08/02/2021</v>
      </c>
      <c r="C2890" t="str">
        <f>"26.0975"</f>
        <v>26.0975</v>
      </c>
      <c r="D2890" s="1" t="s">
        <v>2881</v>
      </c>
      <c r="E2890" t="s">
        <v>6996</v>
      </c>
    </row>
    <row r="2891" spans="1:5" x14ac:dyDescent="0.35">
      <c r="A2891" t="str">
        <f>"2021-08-03"</f>
        <v>2021-08-03</v>
      </c>
      <c r="B2891" s="1" t="str">
        <f t="shared" si="45"/>
        <v>08/03/2021</v>
      </c>
      <c r="C2891" t="str">
        <f>"25.9917"</f>
        <v>25.9917</v>
      </c>
      <c r="D2891" s="1" t="s">
        <v>2882</v>
      </c>
      <c r="E2891" t="s">
        <v>6997</v>
      </c>
    </row>
    <row r="2892" spans="1:5" x14ac:dyDescent="0.35">
      <c r="A2892" t="str">
        <f>"2021-08-04"</f>
        <v>2021-08-04</v>
      </c>
      <c r="B2892" s="1" t="str">
        <f t="shared" si="45"/>
        <v>08/04/2021</v>
      </c>
      <c r="C2892" t="str">
        <f>"25.8269"</f>
        <v>25.8269</v>
      </c>
      <c r="D2892" s="1" t="s">
        <v>2883</v>
      </c>
      <c r="E2892" t="s">
        <v>6998</v>
      </c>
    </row>
    <row r="2893" spans="1:5" x14ac:dyDescent="0.35">
      <c r="A2893" t="str">
        <f>"2021-08-05"</f>
        <v>2021-08-05</v>
      </c>
      <c r="B2893" s="1" t="str">
        <f t="shared" si="45"/>
        <v>08/05/2021</v>
      </c>
      <c r="C2893" t="str">
        <f>"25.9414"</f>
        <v>25.9414</v>
      </c>
      <c r="D2893" s="1" t="s">
        <v>2884</v>
      </c>
      <c r="E2893" t="s">
        <v>6999</v>
      </c>
    </row>
    <row r="2894" spans="1:5" x14ac:dyDescent="0.35">
      <c r="A2894" t="str">
        <f>"2021-08-06"</f>
        <v>2021-08-06</v>
      </c>
      <c r="B2894" s="1" t="str">
        <f t="shared" si="45"/>
        <v>08/06/2021</v>
      </c>
      <c r="C2894" t="str">
        <f>"26.5949"</f>
        <v>26.5949</v>
      </c>
      <c r="D2894" s="1" t="s">
        <v>2885</v>
      </c>
      <c r="E2894" t="s">
        <v>7000</v>
      </c>
    </row>
    <row r="2895" spans="1:5" x14ac:dyDescent="0.35">
      <c r="A2895" t="str">
        <f>"2021-08-09"</f>
        <v>2021-08-09</v>
      </c>
      <c r="B2895" s="1" t="str">
        <f t="shared" si="45"/>
        <v>08/09/2021</v>
      </c>
      <c r="C2895" t="str">
        <f>"26.754"</f>
        <v>26.754</v>
      </c>
      <c r="D2895" s="1" t="s">
        <v>2886</v>
      </c>
      <c r="E2895" t="s">
        <v>7001</v>
      </c>
    </row>
    <row r="2896" spans="1:5" x14ac:dyDescent="0.35">
      <c r="A2896" t="str">
        <f>"2021-08-10"</f>
        <v>2021-08-10</v>
      </c>
      <c r="B2896" s="1" t="str">
        <f t="shared" si="45"/>
        <v>08/10/2021</v>
      </c>
      <c r="C2896" t="str">
        <f>"26.2726"</f>
        <v>26.2726</v>
      </c>
      <c r="D2896" s="1" t="s">
        <v>2887</v>
      </c>
      <c r="E2896" t="s">
        <v>7002</v>
      </c>
    </row>
    <row r="2897" spans="1:5" x14ac:dyDescent="0.35">
      <c r="A2897" t="str">
        <f>"2021-08-11"</f>
        <v>2021-08-11</v>
      </c>
      <c r="B2897" s="1" t="str">
        <f t="shared" si="45"/>
        <v>08/11/2021</v>
      </c>
      <c r="C2897" t="str">
        <f>"25.2319"</f>
        <v>25.2319</v>
      </c>
      <c r="D2897" s="1" t="s">
        <v>2888</v>
      </c>
      <c r="E2897" t="s">
        <v>7003</v>
      </c>
    </row>
    <row r="2898" spans="1:5" x14ac:dyDescent="0.35">
      <c r="A2898" t="str">
        <f>"2021-08-12"</f>
        <v>2021-08-12</v>
      </c>
      <c r="B2898" s="1" t="str">
        <f t="shared" si="45"/>
        <v>08/12/2021</v>
      </c>
      <c r="C2898" t="str">
        <f>"25.6277"</f>
        <v>25.6277</v>
      </c>
      <c r="D2898" s="1" t="s">
        <v>2889</v>
      </c>
      <c r="E2898" t="s">
        <v>7004</v>
      </c>
    </row>
    <row r="2899" spans="1:5" x14ac:dyDescent="0.35">
      <c r="A2899" t="str">
        <f>"2021-08-13"</f>
        <v>2021-08-13</v>
      </c>
      <c r="B2899" s="1" t="str">
        <f t="shared" si="45"/>
        <v>08/13/2021</v>
      </c>
      <c r="C2899" t="str">
        <f>"25.4185"</f>
        <v>25.4185</v>
      </c>
      <c r="D2899" s="1" t="s">
        <v>2890</v>
      </c>
      <c r="E2899" t="s">
        <v>7005</v>
      </c>
    </row>
    <row r="2900" spans="1:5" x14ac:dyDescent="0.35">
      <c r="A2900" t="str">
        <f>"2021-08-16"</f>
        <v>2021-08-16</v>
      </c>
      <c r="B2900" s="1" t="str">
        <f t="shared" si="45"/>
        <v>08/16/2021</v>
      </c>
      <c r="C2900" t="str">
        <f>"25.7859"</f>
        <v>25.7859</v>
      </c>
      <c r="D2900" s="1" t="s">
        <v>2891</v>
      </c>
      <c r="E2900" t="s">
        <v>7006</v>
      </c>
    </row>
    <row r="2901" spans="1:5" x14ac:dyDescent="0.35">
      <c r="A2901" t="str">
        <f>"2021-08-17"</f>
        <v>2021-08-17</v>
      </c>
      <c r="B2901" s="1" t="str">
        <f t="shared" si="45"/>
        <v>08/17/2021</v>
      </c>
      <c r="C2901" t="str">
        <f>"25.6385"</f>
        <v>25.6385</v>
      </c>
      <c r="D2901" s="1" t="s">
        <v>2892</v>
      </c>
      <c r="E2901" t="s">
        <v>7007</v>
      </c>
    </row>
    <row r="2902" spans="1:5" x14ac:dyDescent="0.35">
      <c r="A2902" t="str">
        <f>"2021-08-18"</f>
        <v>2021-08-18</v>
      </c>
      <c r="B2902" s="1" t="str">
        <f t="shared" si="45"/>
        <v>08/18/2021</v>
      </c>
      <c r="C2902" t="str">
        <f>"25.2757"</f>
        <v>25.2757</v>
      </c>
      <c r="D2902" s="1" t="s">
        <v>2893</v>
      </c>
      <c r="E2902" t="s">
        <v>7008</v>
      </c>
    </row>
    <row r="2903" spans="1:5" x14ac:dyDescent="0.35">
      <c r="A2903" t="str">
        <f>"2021-08-19"</f>
        <v>2021-08-19</v>
      </c>
      <c r="B2903" s="1" t="str">
        <f t="shared" si="45"/>
        <v>08/19/2021</v>
      </c>
      <c r="C2903" t="str">
        <f>"25.1945"</f>
        <v>25.1945</v>
      </c>
      <c r="D2903" s="1" t="s">
        <v>2894</v>
      </c>
      <c r="E2903" t="s">
        <v>7009</v>
      </c>
    </row>
    <row r="2904" spans="1:5" x14ac:dyDescent="0.35">
      <c r="A2904" t="str">
        <f>"2021-08-20"</f>
        <v>2021-08-20</v>
      </c>
      <c r="B2904" s="1" t="str">
        <f t="shared" si="45"/>
        <v>08/20/2021</v>
      </c>
      <c r="C2904" t="str">
        <f>"25.0984"</f>
        <v>25.0984</v>
      </c>
      <c r="D2904" s="1" t="s">
        <v>2895</v>
      </c>
      <c r="E2904" t="s">
        <v>7010</v>
      </c>
    </row>
    <row r="2905" spans="1:5" x14ac:dyDescent="0.35">
      <c r="A2905" t="str">
        <f>"2021-08-23"</f>
        <v>2021-08-23</v>
      </c>
      <c r="B2905" s="1" t="str">
        <f t="shared" si="45"/>
        <v>08/23/2021</v>
      </c>
      <c r="C2905" t="str">
        <f>"25.3734"</f>
        <v>25.3734</v>
      </c>
      <c r="D2905" s="1" t="s">
        <v>2896</v>
      </c>
      <c r="E2905" t="s">
        <v>7011</v>
      </c>
    </row>
    <row r="2906" spans="1:5" x14ac:dyDescent="0.35">
      <c r="A2906" t="str">
        <f>"2021-08-24"</f>
        <v>2021-08-24</v>
      </c>
      <c r="B2906" s="1" t="str">
        <f t="shared" si="45"/>
        <v>08/24/2021</v>
      </c>
      <c r="C2906" t="str">
        <f>"26.1872"</f>
        <v>26.1872</v>
      </c>
      <c r="D2906" s="1" t="s">
        <v>2897</v>
      </c>
      <c r="E2906" t="s">
        <v>7012</v>
      </c>
    </row>
    <row r="2907" spans="1:5" x14ac:dyDescent="0.35">
      <c r="A2907" t="str">
        <f>"2021-08-25"</f>
        <v>2021-08-25</v>
      </c>
      <c r="B2907" s="1" t="str">
        <f t="shared" si="45"/>
        <v>08/25/2021</v>
      </c>
      <c r="C2907" t="str">
        <f>"25.8472"</f>
        <v>25.8472</v>
      </c>
      <c r="D2907" s="1" t="s">
        <v>2898</v>
      </c>
      <c r="E2907" t="s">
        <v>7013</v>
      </c>
    </row>
    <row r="2908" spans="1:5" x14ac:dyDescent="0.35">
      <c r="A2908" t="str">
        <f>"2021-08-26"</f>
        <v>2021-08-26</v>
      </c>
      <c r="B2908" s="1" t="str">
        <f t="shared" si="45"/>
        <v>08/26/2021</v>
      </c>
      <c r="C2908" t="str">
        <f>"26.509"</f>
        <v>26.509</v>
      </c>
      <c r="D2908" s="1" t="s">
        <v>2899</v>
      </c>
      <c r="E2908" t="s">
        <v>7014</v>
      </c>
    </row>
    <row r="2909" spans="1:5" x14ac:dyDescent="0.35">
      <c r="A2909" t="str">
        <f>"2021-08-27"</f>
        <v>2021-08-27</v>
      </c>
      <c r="B2909" s="1" t="str">
        <f t="shared" si="45"/>
        <v>08/27/2021</v>
      </c>
      <c r="C2909" t="str">
        <f>"25.9186"</f>
        <v>25.9186</v>
      </c>
      <c r="D2909" s="1" t="s">
        <v>2900</v>
      </c>
      <c r="E2909" t="s">
        <v>7015</v>
      </c>
    </row>
    <row r="2910" spans="1:5" x14ac:dyDescent="0.35">
      <c r="A2910" t="str">
        <f>"2021-08-31"</f>
        <v>2021-08-31</v>
      </c>
      <c r="B2910" s="1" t="str">
        <f t="shared" si="45"/>
        <v>08/31/2021</v>
      </c>
      <c r="C2910" t="str">
        <f>"25.9697"</f>
        <v>25.9697</v>
      </c>
      <c r="D2910" s="1" t="s">
        <v>2901</v>
      </c>
      <c r="E2910" t="s">
        <v>7016</v>
      </c>
    </row>
    <row r="2911" spans="1:5" x14ac:dyDescent="0.35">
      <c r="A2911" t="str">
        <f>"2021-09-01"</f>
        <v>2021-09-01</v>
      </c>
      <c r="B2911" s="1" t="str">
        <f t="shared" si="45"/>
        <v>09/01/2021</v>
      </c>
      <c r="C2911" t="str">
        <f>"26.6479"</f>
        <v>26.6479</v>
      </c>
      <c r="D2911" s="1" t="s">
        <v>2902</v>
      </c>
      <c r="E2911" t="s">
        <v>7017</v>
      </c>
    </row>
    <row r="2912" spans="1:5" x14ac:dyDescent="0.35">
      <c r="A2912" t="str">
        <f>"2021-09-02"</f>
        <v>2021-09-02</v>
      </c>
      <c r="B2912" s="1" t="str">
        <f t="shared" si="45"/>
        <v>09/02/2021</v>
      </c>
      <c r="C2912" t="str">
        <f>"26.7796"</f>
        <v>26.7796</v>
      </c>
      <c r="D2912" s="1" t="s">
        <v>2903</v>
      </c>
      <c r="E2912" t="s">
        <v>7018</v>
      </c>
    </row>
    <row r="2913" spans="1:5" x14ac:dyDescent="0.35">
      <c r="A2913" t="str">
        <f>"2021-09-03"</f>
        <v>2021-09-03</v>
      </c>
      <c r="B2913" s="1" t="str">
        <f t="shared" si="45"/>
        <v>09/03/2021</v>
      </c>
      <c r="C2913" t="str">
        <f>"26.4273"</f>
        <v>26.4273</v>
      </c>
      <c r="D2913" s="1" t="s">
        <v>2904</v>
      </c>
      <c r="E2913" t="s">
        <v>7019</v>
      </c>
    </row>
    <row r="2914" spans="1:5" x14ac:dyDescent="0.35">
      <c r="A2914" t="str">
        <f>"2021-09-07"</f>
        <v>2021-09-07</v>
      </c>
      <c r="B2914" s="1" t="str">
        <f t="shared" si="45"/>
        <v>09/07/2021</v>
      </c>
      <c r="C2914" t="str">
        <f>"26.4701"</f>
        <v>26.4701</v>
      </c>
      <c r="D2914" s="1" t="s">
        <v>2905</v>
      </c>
      <c r="E2914" t="s">
        <v>7020</v>
      </c>
    </row>
    <row r="2915" spans="1:5" x14ac:dyDescent="0.35">
      <c r="A2915" t="str">
        <f>"2021-09-08"</f>
        <v>2021-09-08</v>
      </c>
      <c r="B2915" s="1" t="str">
        <f t="shared" si="45"/>
        <v>09/08/2021</v>
      </c>
      <c r="C2915" t="str">
        <f>"25.8519"</f>
        <v>25.8519</v>
      </c>
      <c r="D2915" s="1" t="s">
        <v>2906</v>
      </c>
      <c r="E2915" t="s">
        <v>7021</v>
      </c>
    </row>
    <row r="2916" spans="1:5" x14ac:dyDescent="0.35">
      <c r="A2916" t="str">
        <f>"2021-09-09"</f>
        <v>2021-09-09</v>
      </c>
      <c r="B2916" s="1" t="str">
        <f t="shared" si="45"/>
        <v>09/09/2021</v>
      </c>
      <c r="C2916" t="str">
        <f>"25.7971"</f>
        <v>25.7971</v>
      </c>
      <c r="D2916" s="1" t="s">
        <v>2907</v>
      </c>
      <c r="E2916" t="s">
        <v>7022</v>
      </c>
    </row>
    <row r="2917" spans="1:5" x14ac:dyDescent="0.35">
      <c r="A2917" t="str">
        <f>"2021-09-10"</f>
        <v>2021-09-10</v>
      </c>
      <c r="B2917" s="1" t="str">
        <f t="shared" si="45"/>
        <v>09/10/2021</v>
      </c>
      <c r="C2917" t="str">
        <f>"25.5542"</f>
        <v>25.5542</v>
      </c>
      <c r="D2917" s="1" t="s">
        <v>2908</v>
      </c>
      <c r="E2917" t="s">
        <v>7023</v>
      </c>
    </row>
    <row r="2918" spans="1:5" x14ac:dyDescent="0.35">
      <c r="A2918" t="str">
        <f>"2021-09-13"</f>
        <v>2021-09-13</v>
      </c>
      <c r="B2918" s="1" t="str">
        <f t="shared" si="45"/>
        <v>09/13/2021</v>
      </c>
      <c r="C2918" t="str">
        <f>"25.482"</f>
        <v>25.482</v>
      </c>
      <c r="D2918" s="1" t="s">
        <v>2909</v>
      </c>
      <c r="E2918" t="s">
        <v>7024</v>
      </c>
    </row>
    <row r="2919" spans="1:5" x14ac:dyDescent="0.35">
      <c r="A2919" t="str">
        <f>"2021-09-14"</f>
        <v>2021-09-14</v>
      </c>
      <c r="B2919" s="1" t="str">
        <f t="shared" si="45"/>
        <v>09/14/2021</v>
      </c>
      <c r="C2919" t="str">
        <f>"25.4568"</f>
        <v>25.4568</v>
      </c>
      <c r="D2919" s="1" t="s">
        <v>2910</v>
      </c>
      <c r="E2919" t="s">
        <v>7025</v>
      </c>
    </row>
    <row r="2920" spans="1:5" x14ac:dyDescent="0.35">
      <c r="A2920" t="str">
        <f>"2021-09-15"</f>
        <v>2021-09-15</v>
      </c>
      <c r="B2920" s="1" t="str">
        <f t="shared" si="45"/>
        <v>09/15/2021</v>
      </c>
      <c r="C2920" t="str">
        <f>"25.235"</f>
        <v>25.235</v>
      </c>
      <c r="D2920" s="1" t="s">
        <v>2911</v>
      </c>
      <c r="E2920" t="s">
        <v>7026</v>
      </c>
    </row>
    <row r="2921" spans="1:5" x14ac:dyDescent="0.35">
      <c r="A2921" t="str">
        <f>"2021-09-16"</f>
        <v>2021-09-16</v>
      </c>
      <c r="B2921" s="1" t="str">
        <f t="shared" si="45"/>
        <v>09/16/2021</v>
      </c>
      <c r="C2921" t="str">
        <f>"26.2353"</f>
        <v>26.2353</v>
      </c>
      <c r="D2921" s="1" t="s">
        <v>2912</v>
      </c>
      <c r="E2921" t="s">
        <v>7027</v>
      </c>
    </row>
    <row r="2922" spans="1:5" x14ac:dyDescent="0.35">
      <c r="A2922" t="str">
        <f>"2021-09-17"</f>
        <v>2021-09-17</v>
      </c>
      <c r="B2922" s="1" t="str">
        <f t="shared" si="45"/>
        <v>09/17/2021</v>
      </c>
      <c r="C2922" t="str">
        <f>"26.516"</f>
        <v>26.516</v>
      </c>
      <c r="D2922" s="1" t="s">
        <v>2913</v>
      </c>
      <c r="E2922" t="s">
        <v>7028</v>
      </c>
    </row>
    <row r="2923" spans="1:5" x14ac:dyDescent="0.35">
      <c r="A2923" t="str">
        <f>"2021-09-20"</f>
        <v>2021-09-20</v>
      </c>
      <c r="B2923" s="1" t="str">
        <f t="shared" si="45"/>
        <v>09/20/2021</v>
      </c>
      <c r="C2923" t="str">
        <f>"26.1896"</f>
        <v>26.1896</v>
      </c>
      <c r="D2923" s="1" t="s">
        <v>2914</v>
      </c>
      <c r="E2923" t="s">
        <v>7029</v>
      </c>
    </row>
    <row r="2924" spans="1:5" x14ac:dyDescent="0.35">
      <c r="A2924" t="str">
        <f>"2021-09-21"</f>
        <v>2021-09-21</v>
      </c>
      <c r="B2924" s="1" t="str">
        <f t="shared" si="45"/>
        <v>09/21/2021</v>
      </c>
      <c r="C2924" t="str">
        <f>"26.3659"</f>
        <v>26.3659</v>
      </c>
      <c r="D2924" s="1" t="s">
        <v>2915</v>
      </c>
      <c r="E2924" t="s">
        <v>7030</v>
      </c>
    </row>
    <row r="2925" spans="1:5" x14ac:dyDescent="0.35">
      <c r="A2925" t="str">
        <f>"2021-09-22"</f>
        <v>2021-09-22</v>
      </c>
      <c r="B2925" s="1" t="str">
        <f t="shared" si="45"/>
        <v>09/22/2021</v>
      </c>
      <c r="C2925" t="str">
        <f>"26.7863"</f>
        <v>26.7863</v>
      </c>
      <c r="D2925" s="1" t="s">
        <v>2916</v>
      </c>
      <c r="E2925" t="s">
        <v>7031</v>
      </c>
    </row>
    <row r="2926" spans="1:5" x14ac:dyDescent="0.35">
      <c r="A2926" t="str">
        <f>"2021-09-23"</f>
        <v>2021-09-23</v>
      </c>
      <c r="B2926" s="1" t="str">
        <f t="shared" si="45"/>
        <v>09/23/2021</v>
      </c>
      <c r="C2926" t="str">
        <f>"27.4057"</f>
        <v>27.4057</v>
      </c>
      <c r="D2926" s="1" t="s">
        <v>2917</v>
      </c>
      <c r="E2926" t="s">
        <v>7032</v>
      </c>
    </row>
    <row r="2927" spans="1:5" x14ac:dyDescent="0.35">
      <c r="A2927" t="str">
        <f>"2021-09-24"</f>
        <v>2021-09-24</v>
      </c>
      <c r="B2927" s="1" t="str">
        <f t="shared" si="45"/>
        <v>09/24/2021</v>
      </c>
      <c r="C2927" t="str">
        <f>"27.65"</f>
        <v>27.65</v>
      </c>
      <c r="D2927" s="1" t="s">
        <v>2918</v>
      </c>
      <c r="E2927" t="s">
        <v>7033</v>
      </c>
    </row>
    <row r="2928" spans="1:5" x14ac:dyDescent="0.35">
      <c r="A2928" t="str">
        <f>"2021-09-27"</f>
        <v>2021-09-27</v>
      </c>
      <c r="B2928" s="1" t="str">
        <f t="shared" si="45"/>
        <v>09/27/2021</v>
      </c>
      <c r="C2928" t="str">
        <f>"27.1458"</f>
        <v>27.1458</v>
      </c>
      <c r="D2928" s="1" t="s">
        <v>2919</v>
      </c>
      <c r="E2928" t="s">
        <v>7034</v>
      </c>
    </row>
    <row r="2929" spans="1:5" x14ac:dyDescent="0.35">
      <c r="A2929" t="str">
        <f>"2021-09-28"</f>
        <v>2021-09-28</v>
      </c>
      <c r="B2929" s="1" t="str">
        <f t="shared" si="45"/>
        <v>09/28/2021</v>
      </c>
      <c r="C2929" t="str">
        <f>"28.014"</f>
        <v>28.014</v>
      </c>
      <c r="D2929" s="1" t="s">
        <v>2920</v>
      </c>
      <c r="E2929" t="s">
        <v>7035</v>
      </c>
    </row>
    <row r="2930" spans="1:5" x14ac:dyDescent="0.35">
      <c r="A2930" t="str">
        <f>"2021-09-29"</f>
        <v>2021-09-29</v>
      </c>
      <c r="B2930" s="1" t="str">
        <f t="shared" si="45"/>
        <v>09/29/2021</v>
      </c>
      <c r="C2930" t="str">
        <f>"28.0789"</f>
        <v>28.0789</v>
      </c>
      <c r="D2930" s="1" t="s">
        <v>2921</v>
      </c>
      <c r="E2930" t="s">
        <v>7036</v>
      </c>
    </row>
    <row r="2931" spans="1:5" x14ac:dyDescent="0.35">
      <c r="A2931" t="str">
        <f>"2021-09-30"</f>
        <v>2021-09-30</v>
      </c>
      <c r="B2931" s="1" t="str">
        <f t="shared" si="45"/>
        <v>09/30/2021</v>
      </c>
      <c r="C2931" t="str">
        <f>"27.724"</f>
        <v>27.724</v>
      </c>
      <c r="D2931" s="1" t="s">
        <v>2922</v>
      </c>
      <c r="E2931" t="s">
        <v>7037</v>
      </c>
    </row>
    <row r="2932" spans="1:5" x14ac:dyDescent="0.35">
      <c r="A2932" t="str">
        <f>"2021-10-01"</f>
        <v>2021-10-01</v>
      </c>
      <c r="B2932" s="1" t="str">
        <f t="shared" si="45"/>
        <v>10/01/2021</v>
      </c>
      <c r="C2932" t="str">
        <f>"27.9934"</f>
        <v>27.9934</v>
      </c>
      <c r="D2932" s="1" t="s">
        <v>2923</v>
      </c>
      <c r="E2932" t="s">
        <v>7038</v>
      </c>
    </row>
    <row r="2933" spans="1:5" x14ac:dyDescent="0.35">
      <c r="A2933" t="str">
        <f>"2021-10-04"</f>
        <v>2021-10-04</v>
      </c>
      <c r="B2933" s="1" t="str">
        <f t="shared" si="45"/>
        <v>10/04/2021</v>
      </c>
      <c r="C2933" t="str">
        <f>"27.5915"</f>
        <v>27.5915</v>
      </c>
      <c r="D2933" s="1" t="s">
        <v>2924</v>
      </c>
      <c r="E2933" t="s">
        <v>7039</v>
      </c>
    </row>
    <row r="2934" spans="1:5" x14ac:dyDescent="0.35">
      <c r="A2934" t="str">
        <f>"2021-10-05"</f>
        <v>2021-10-05</v>
      </c>
      <c r="B2934" s="1" t="str">
        <f t="shared" si="45"/>
        <v>10/05/2021</v>
      </c>
      <c r="C2934" t="str">
        <f>"28.0518"</f>
        <v>28.0518</v>
      </c>
      <c r="D2934" s="1" t="s">
        <v>2925</v>
      </c>
      <c r="E2934" t="s">
        <v>7040</v>
      </c>
    </row>
    <row r="2935" spans="1:5" x14ac:dyDescent="0.35">
      <c r="A2935" t="str">
        <f>"2021-10-06"</f>
        <v>2021-10-06</v>
      </c>
      <c r="B2935" s="1" t="str">
        <f t="shared" si="45"/>
        <v>10/06/2021</v>
      </c>
      <c r="C2935" t="str">
        <f>"27.3326"</f>
        <v>27.3326</v>
      </c>
      <c r="D2935" s="1" t="s">
        <v>2926</v>
      </c>
      <c r="E2935" t="s">
        <v>7041</v>
      </c>
    </row>
    <row r="2936" spans="1:5" x14ac:dyDescent="0.35">
      <c r="A2936" t="str">
        <f>"2021-10-07"</f>
        <v>2021-10-07</v>
      </c>
      <c r="B2936" s="1" t="str">
        <f t="shared" si="45"/>
        <v>10/07/2021</v>
      </c>
      <c r="C2936" t="str">
        <f>"28.1786"</f>
        <v>28.1786</v>
      </c>
      <c r="D2936" s="1" t="s">
        <v>2927</v>
      </c>
      <c r="E2936" t="s">
        <v>7042</v>
      </c>
    </row>
    <row r="2937" spans="1:5" x14ac:dyDescent="0.35">
      <c r="A2937" t="str">
        <f>"2021-10-08"</f>
        <v>2021-10-08</v>
      </c>
      <c r="B2937" s="1" t="str">
        <f t="shared" si="45"/>
        <v>10/08/2021</v>
      </c>
      <c r="C2937" t="str">
        <f>"28.129"</f>
        <v>28.129</v>
      </c>
      <c r="D2937" s="1" t="s">
        <v>2928</v>
      </c>
      <c r="E2937" t="s">
        <v>7043</v>
      </c>
    </row>
    <row r="2938" spans="1:5" x14ac:dyDescent="0.35">
      <c r="A2938" t="str">
        <f>"2021-10-11"</f>
        <v>2021-10-11</v>
      </c>
      <c r="B2938" s="1" t="str">
        <f t="shared" si="45"/>
        <v>10/11/2021</v>
      </c>
      <c r="C2938" t="str">
        <f>"28.1095"</f>
        <v>28.1095</v>
      </c>
      <c r="D2938" s="1" t="s">
        <v>2929</v>
      </c>
      <c r="E2938" t="s">
        <v>7044</v>
      </c>
    </row>
    <row r="2939" spans="1:5" x14ac:dyDescent="0.35">
      <c r="A2939" t="str">
        <f>"2021-10-12"</f>
        <v>2021-10-12</v>
      </c>
      <c r="B2939" s="1" t="str">
        <f t="shared" si="45"/>
        <v>10/12/2021</v>
      </c>
      <c r="C2939" t="str">
        <f>"27.5327"</f>
        <v>27.5327</v>
      </c>
      <c r="D2939" s="1" t="s">
        <v>2930</v>
      </c>
      <c r="E2939" t="s">
        <v>7045</v>
      </c>
    </row>
    <row r="2940" spans="1:5" x14ac:dyDescent="0.35">
      <c r="A2940" t="str">
        <f>"2021-10-13"</f>
        <v>2021-10-13</v>
      </c>
      <c r="B2940" s="1" t="str">
        <f t="shared" si="45"/>
        <v>10/13/2021</v>
      </c>
      <c r="C2940" t="str">
        <f>"27.3594"</f>
        <v>27.3594</v>
      </c>
      <c r="D2940" s="1" t="s">
        <v>2931</v>
      </c>
      <c r="E2940" t="s">
        <v>7046</v>
      </c>
    </row>
    <row r="2941" spans="1:5" x14ac:dyDescent="0.35">
      <c r="A2941" t="str">
        <f>"2021-10-14"</f>
        <v>2021-10-14</v>
      </c>
      <c r="B2941" s="1" t="str">
        <f t="shared" si="45"/>
        <v>10/14/2021</v>
      </c>
      <c r="C2941" t="str">
        <f>"27.0642"</f>
        <v>27.0642</v>
      </c>
      <c r="D2941" s="1" t="s">
        <v>2932</v>
      </c>
      <c r="E2941" t="s">
        <v>7047</v>
      </c>
    </row>
    <row r="2942" spans="1:5" x14ac:dyDescent="0.35">
      <c r="A2942" t="str">
        <f>"2021-10-15"</f>
        <v>2021-10-15</v>
      </c>
      <c r="B2942" s="1" t="str">
        <f t="shared" si="45"/>
        <v>10/15/2021</v>
      </c>
      <c r="C2942" t="str">
        <f>"28.0378"</f>
        <v>28.0378</v>
      </c>
      <c r="D2942" s="1" t="s">
        <v>2933</v>
      </c>
      <c r="E2942" t="s">
        <v>7048</v>
      </c>
    </row>
    <row r="2943" spans="1:5" x14ac:dyDescent="0.35">
      <c r="A2943" t="str">
        <f>"2021-10-18"</f>
        <v>2021-10-18</v>
      </c>
      <c r="B2943" s="1" t="str">
        <f t="shared" si="45"/>
        <v>10/18/2021</v>
      </c>
      <c r="C2943" t="str">
        <f>"27.8"</f>
        <v>27.8</v>
      </c>
      <c r="D2943" s="1" t="s">
        <v>2934</v>
      </c>
      <c r="E2943" t="s">
        <v>7049</v>
      </c>
    </row>
    <row r="2944" spans="1:5" x14ac:dyDescent="0.35">
      <c r="A2944" t="str">
        <f>"2021-10-19"</f>
        <v>2021-10-19</v>
      </c>
      <c r="B2944" s="1" t="str">
        <f t="shared" si="45"/>
        <v>10/19/2021</v>
      </c>
      <c r="C2944" t="str">
        <f>"26.9493"</f>
        <v>26.9493</v>
      </c>
      <c r="D2944" s="1" t="s">
        <v>2935</v>
      </c>
      <c r="E2944" t="s">
        <v>7050</v>
      </c>
    </row>
    <row r="2945" spans="1:5" x14ac:dyDescent="0.35">
      <c r="A2945" t="str">
        <f>"2021-10-20"</f>
        <v>2021-10-20</v>
      </c>
      <c r="B2945" s="1" t="str">
        <f t="shared" si="45"/>
        <v>10/20/2021</v>
      </c>
      <c r="C2945" t="str">
        <f>"25.8544"</f>
        <v>25.8544</v>
      </c>
      <c r="D2945" s="1" t="s">
        <v>2936</v>
      </c>
      <c r="E2945" t="s">
        <v>7051</v>
      </c>
    </row>
    <row r="2946" spans="1:5" x14ac:dyDescent="0.35">
      <c r="A2946" t="str">
        <f>"2021-10-21"</f>
        <v>2021-10-21</v>
      </c>
      <c r="B2946" s="1" t="str">
        <f t="shared" si="45"/>
        <v>10/21/2021</v>
      </c>
      <c r="C2946" t="str">
        <f>"26.4728"</f>
        <v>26.4728</v>
      </c>
      <c r="D2946" s="1" t="s">
        <v>2937</v>
      </c>
      <c r="E2946" t="s">
        <v>7052</v>
      </c>
    </row>
    <row r="2947" spans="1:5" x14ac:dyDescent="0.35">
      <c r="A2947" t="str">
        <f>"2021-10-22"</f>
        <v>2021-10-22</v>
      </c>
      <c r="B2947" s="1" t="str">
        <f t="shared" ref="B2947:B3010" si="46">LEFT(RIGHT(A2947,5),2)&amp;"/"&amp;RIGHT(A2947,2)&amp;"/"&amp;LEFT(A2947,4)</f>
        <v>10/22/2021</v>
      </c>
      <c r="C2947" t="str">
        <f>"25.6997"</f>
        <v>25.6997</v>
      </c>
      <c r="D2947" s="1" t="s">
        <v>2938</v>
      </c>
      <c r="E2947" t="s">
        <v>7053</v>
      </c>
    </row>
    <row r="2948" spans="1:5" x14ac:dyDescent="0.35">
      <c r="A2948" t="str">
        <f>"2021-10-25"</f>
        <v>2021-10-25</v>
      </c>
      <c r="B2948" s="1" t="str">
        <f t="shared" si="46"/>
        <v>10/25/2021</v>
      </c>
      <c r="C2948" t="str">
        <f>"25.4212"</f>
        <v>25.4212</v>
      </c>
      <c r="D2948" s="1" t="s">
        <v>2939</v>
      </c>
      <c r="E2948" t="s">
        <v>7054</v>
      </c>
    </row>
    <row r="2949" spans="1:5" x14ac:dyDescent="0.35">
      <c r="A2949" t="str">
        <f>"2021-10-26"</f>
        <v>2021-10-26</v>
      </c>
      <c r="B2949" s="1" t="str">
        <f t="shared" si="46"/>
        <v>10/26/2021</v>
      </c>
      <c r="C2949" t="str">
        <f>"26.6042"</f>
        <v>26.6042</v>
      </c>
      <c r="D2949" s="1" t="s">
        <v>2940</v>
      </c>
      <c r="E2949" t="s">
        <v>7055</v>
      </c>
    </row>
    <row r="2950" spans="1:5" x14ac:dyDescent="0.35">
      <c r="A2950" t="str">
        <f>"2021-10-27"</f>
        <v>2021-10-27</v>
      </c>
      <c r="B2950" s="1" t="str">
        <f t="shared" si="46"/>
        <v>10/27/2021</v>
      </c>
      <c r="C2950" t="str">
        <f>"26.96"</f>
        <v>26.96</v>
      </c>
      <c r="D2950" s="1" t="s">
        <v>2941</v>
      </c>
      <c r="E2950" t="s">
        <v>7056</v>
      </c>
    </row>
    <row r="2951" spans="1:5" x14ac:dyDescent="0.35">
      <c r="A2951" t="str">
        <f>"2021-10-28"</f>
        <v>2021-10-28</v>
      </c>
      <c r="B2951" s="1" t="str">
        <f t="shared" si="46"/>
        <v>10/28/2021</v>
      </c>
      <c r="C2951" t="str">
        <f>"27.1887"</f>
        <v>27.1887</v>
      </c>
      <c r="D2951" s="1" t="s">
        <v>2942</v>
      </c>
      <c r="E2951" t="s">
        <v>7057</v>
      </c>
    </row>
    <row r="2952" spans="1:5" x14ac:dyDescent="0.35">
      <c r="A2952" t="str">
        <f>"2021-11-01"</f>
        <v>2021-11-01</v>
      </c>
      <c r="B2952" s="1" t="str">
        <f t="shared" si="46"/>
        <v>11/01/2021</v>
      </c>
      <c r="C2952" t="str">
        <f>"27.6278"</f>
        <v>27.6278</v>
      </c>
      <c r="D2952" s="1" t="s">
        <v>2943</v>
      </c>
      <c r="E2952" t="s">
        <v>7058</v>
      </c>
    </row>
    <row r="2953" spans="1:5" x14ac:dyDescent="0.35">
      <c r="A2953" t="str">
        <f>"2021-11-02"</f>
        <v>2021-11-02</v>
      </c>
      <c r="B2953" s="1" t="str">
        <f t="shared" si="46"/>
        <v>11/02/2021</v>
      </c>
      <c r="C2953" t="str">
        <f>"28.2344"</f>
        <v>28.2344</v>
      </c>
      <c r="D2953" s="1" t="s">
        <v>2944</v>
      </c>
      <c r="E2953" t="s">
        <v>7059</v>
      </c>
    </row>
    <row r="2954" spans="1:5" x14ac:dyDescent="0.35">
      <c r="A2954" t="str">
        <f>"2021-11-03"</f>
        <v>2021-11-03</v>
      </c>
      <c r="B2954" s="1" t="str">
        <f t="shared" si="46"/>
        <v>11/03/2021</v>
      </c>
      <c r="C2954" t="str">
        <f>"28.62"</f>
        <v>28.62</v>
      </c>
      <c r="D2954" s="1" t="s">
        <v>2945</v>
      </c>
      <c r="E2954" t="s">
        <v>7060</v>
      </c>
    </row>
    <row r="2955" spans="1:5" x14ac:dyDescent="0.35">
      <c r="A2955" t="str">
        <f>"2021-11-04"</f>
        <v>2021-11-04</v>
      </c>
      <c r="B2955" s="1" t="str">
        <f t="shared" si="46"/>
        <v>11/04/2021</v>
      </c>
      <c r="C2955" t="str">
        <f>"30.5388"</f>
        <v>30.5388</v>
      </c>
      <c r="D2955" s="1" t="s">
        <v>2946</v>
      </c>
      <c r="E2955" t="s">
        <v>7061</v>
      </c>
    </row>
    <row r="2956" spans="1:5" x14ac:dyDescent="0.35">
      <c r="A2956" t="str">
        <f>"2021-11-05"</f>
        <v>2021-11-05</v>
      </c>
      <c r="B2956" s="1" t="str">
        <f t="shared" si="46"/>
        <v>11/05/2021</v>
      </c>
      <c r="C2956" t="str">
        <f>"31.1773"</f>
        <v>31.1773</v>
      </c>
      <c r="D2956" s="1" t="s">
        <v>2947</v>
      </c>
      <c r="E2956" t="s">
        <v>7062</v>
      </c>
    </row>
    <row r="2957" spans="1:5" x14ac:dyDescent="0.35">
      <c r="A2957" t="str">
        <f>"2021-11-08"</f>
        <v>2021-11-08</v>
      </c>
      <c r="B2957" s="1" t="str">
        <f t="shared" si="46"/>
        <v>11/08/2021</v>
      </c>
      <c r="C2957" t="str">
        <f>"31.7125"</f>
        <v>31.7125</v>
      </c>
      <c r="D2957" s="1" t="s">
        <v>2948</v>
      </c>
      <c r="E2957" t="s">
        <v>7063</v>
      </c>
    </row>
    <row r="2958" spans="1:5" x14ac:dyDescent="0.35">
      <c r="A2958" t="str">
        <f>"2021-11-09"</f>
        <v>2021-11-09</v>
      </c>
      <c r="B2958" s="1" t="str">
        <f t="shared" si="46"/>
        <v>11/09/2021</v>
      </c>
      <c r="C2958" t="str">
        <f>"31.872"</f>
        <v>31.872</v>
      </c>
      <c r="D2958" s="1" t="s">
        <v>2949</v>
      </c>
      <c r="E2958" t="s">
        <v>7064</v>
      </c>
    </row>
    <row r="2959" spans="1:5" x14ac:dyDescent="0.35">
      <c r="A2959" t="str">
        <f>"2021-11-10"</f>
        <v>2021-11-10</v>
      </c>
      <c r="B2959" s="1" t="str">
        <f t="shared" si="46"/>
        <v>11/10/2021</v>
      </c>
      <c r="C2959" t="str">
        <f>"31.377"</f>
        <v>31.377</v>
      </c>
      <c r="D2959" s="1" t="s">
        <v>2950</v>
      </c>
      <c r="E2959" t="s">
        <v>7065</v>
      </c>
    </row>
    <row r="2960" spans="1:5" x14ac:dyDescent="0.35">
      <c r="A2960" t="str">
        <f>"2021-11-11"</f>
        <v>2021-11-11</v>
      </c>
      <c r="B2960" s="1" t="str">
        <f t="shared" si="46"/>
        <v>11/11/2021</v>
      </c>
      <c r="C2960" t="str">
        <f>"30.0526"</f>
        <v>30.0526</v>
      </c>
      <c r="D2960" s="1" t="s">
        <v>2951</v>
      </c>
      <c r="E2960" t="s">
        <v>7066</v>
      </c>
    </row>
    <row r="2961" spans="1:5" x14ac:dyDescent="0.35">
      <c r="A2961" t="str">
        <f>"2021-11-12"</f>
        <v>2021-11-12</v>
      </c>
      <c r="B2961" s="1" t="str">
        <f t="shared" si="46"/>
        <v>11/12/2021</v>
      </c>
      <c r="C2961" t="str">
        <f>"29.9097"</f>
        <v>29.9097</v>
      </c>
      <c r="D2961" s="1" t="s">
        <v>2952</v>
      </c>
      <c r="E2961" t="s">
        <v>7067</v>
      </c>
    </row>
    <row r="2962" spans="1:5" x14ac:dyDescent="0.35">
      <c r="A2962" t="str">
        <f>"2021-11-15"</f>
        <v>2021-11-15</v>
      </c>
      <c r="B2962" s="1" t="str">
        <f t="shared" si="46"/>
        <v>11/15/2021</v>
      </c>
      <c r="C2962" t="str">
        <f>"29.2651"</f>
        <v>29.2651</v>
      </c>
      <c r="D2962" s="1" t="s">
        <v>2953</v>
      </c>
      <c r="E2962" t="s">
        <v>7068</v>
      </c>
    </row>
    <row r="2963" spans="1:5" x14ac:dyDescent="0.35">
      <c r="A2963" t="str">
        <f>"2021-11-16"</f>
        <v>2021-11-16</v>
      </c>
      <c r="B2963" s="1" t="str">
        <f t="shared" si="46"/>
        <v>11/16/2021</v>
      </c>
      <c r="C2963" t="str">
        <f>"29.4641"</f>
        <v>29.4641</v>
      </c>
      <c r="D2963" s="1" t="s">
        <v>2954</v>
      </c>
      <c r="E2963" t="s">
        <v>7069</v>
      </c>
    </row>
    <row r="2964" spans="1:5" x14ac:dyDescent="0.35">
      <c r="A2964" t="str">
        <f>"2021-11-17"</f>
        <v>2021-11-17</v>
      </c>
      <c r="B2964" s="1" t="str">
        <f t="shared" si="46"/>
        <v>11/17/2021</v>
      </c>
      <c r="C2964" t="str">
        <f>"28.9371"</f>
        <v>28.9371</v>
      </c>
      <c r="D2964" s="1" t="s">
        <v>2955</v>
      </c>
      <c r="E2964" t="s">
        <v>7070</v>
      </c>
    </row>
    <row r="2965" spans="1:5" x14ac:dyDescent="0.35">
      <c r="A2965" t="str">
        <f>"2021-11-18"</f>
        <v>2021-11-18</v>
      </c>
      <c r="B2965" s="1" t="str">
        <f t="shared" si="46"/>
        <v>11/18/2021</v>
      </c>
      <c r="C2965" t="str">
        <f>"28.0352"</f>
        <v>28.0352</v>
      </c>
      <c r="D2965" s="1" t="s">
        <v>2956</v>
      </c>
      <c r="E2965" t="s">
        <v>7071</v>
      </c>
    </row>
    <row r="2966" spans="1:5" x14ac:dyDescent="0.35">
      <c r="A2966" t="str">
        <f>"2021-11-19"</f>
        <v>2021-11-19</v>
      </c>
      <c r="B2966" s="1" t="str">
        <f t="shared" si="46"/>
        <v>11/19/2021</v>
      </c>
      <c r="C2966" t="str">
        <f>"26.0161"</f>
        <v>26.0161</v>
      </c>
      <c r="D2966" s="1" t="s">
        <v>2957</v>
      </c>
      <c r="E2966" t="s">
        <v>7072</v>
      </c>
    </row>
    <row r="2967" spans="1:5" x14ac:dyDescent="0.35">
      <c r="A2967" t="str">
        <f>"2021-11-22"</f>
        <v>2021-11-22</v>
      </c>
      <c r="B2967" s="1" t="str">
        <f t="shared" si="46"/>
        <v>11/22/2021</v>
      </c>
      <c r="C2967" t="str">
        <f>"27.3405"</f>
        <v>27.3405</v>
      </c>
      <c r="D2967" s="1" t="s">
        <v>2958</v>
      </c>
      <c r="E2967" t="s">
        <v>7073</v>
      </c>
    </row>
    <row r="2968" spans="1:5" x14ac:dyDescent="0.35">
      <c r="A2968" t="str">
        <f>"2021-11-23"</f>
        <v>2021-11-23</v>
      </c>
      <c r="B2968" s="1" t="str">
        <f t="shared" si="46"/>
        <v>11/23/2021</v>
      </c>
      <c r="C2968" t="str">
        <f>"28.6223"</f>
        <v>28.6223</v>
      </c>
      <c r="D2968" s="1" t="s">
        <v>2959</v>
      </c>
      <c r="E2968" t="s">
        <v>7074</v>
      </c>
    </row>
    <row r="2969" spans="1:5" x14ac:dyDescent="0.35">
      <c r="A2969" t="str">
        <f>"2021-11-24"</f>
        <v>2021-11-24</v>
      </c>
      <c r="B2969" s="1" t="str">
        <f t="shared" si="46"/>
        <v>11/24/2021</v>
      </c>
      <c r="C2969" t="str">
        <f>"25.7992"</f>
        <v>25.7992</v>
      </c>
      <c r="D2969" s="1" t="s">
        <v>2960</v>
      </c>
      <c r="E2969" t="s">
        <v>7075</v>
      </c>
    </row>
    <row r="2970" spans="1:5" x14ac:dyDescent="0.35">
      <c r="A2970" t="str">
        <f>"2021-11-26"</f>
        <v>2021-11-26</v>
      </c>
      <c r="B2970" s="1" t="str">
        <f t="shared" si="46"/>
        <v>11/26/2021</v>
      </c>
      <c r="C2970" t="str">
        <f>"24.699"</f>
        <v>24.699</v>
      </c>
      <c r="D2970" s="1" t="s">
        <v>2961</v>
      </c>
      <c r="E2970" t="s">
        <v>7076</v>
      </c>
    </row>
    <row r="2971" spans="1:5" x14ac:dyDescent="0.35">
      <c r="A2971" t="str">
        <f>"2021-11-29"</f>
        <v>2021-11-29</v>
      </c>
      <c r="B2971" s="1" t="str">
        <f t="shared" si="46"/>
        <v>11/29/2021</v>
      </c>
      <c r="C2971" t="str">
        <f>"24.5157"</f>
        <v>24.5157</v>
      </c>
      <c r="D2971" s="1" t="s">
        <v>2962</v>
      </c>
      <c r="E2971" t="s">
        <v>7077</v>
      </c>
    </row>
    <row r="2972" spans="1:5" x14ac:dyDescent="0.35">
      <c r="A2972" t="str">
        <f>"2021-11-30"</f>
        <v>2021-11-30</v>
      </c>
      <c r="B2972" s="1" t="str">
        <f t="shared" si="46"/>
        <v>11/30/2021</v>
      </c>
      <c r="C2972" t="str">
        <f>"23.7803"</f>
        <v>23.7803</v>
      </c>
      <c r="D2972" s="1" t="s">
        <v>2963</v>
      </c>
      <c r="E2972" t="s">
        <v>7078</v>
      </c>
    </row>
    <row r="2973" spans="1:5" x14ac:dyDescent="0.35">
      <c r="A2973" t="str">
        <f>"2021-12-01"</f>
        <v>2021-12-01</v>
      </c>
      <c r="B2973" s="1" t="str">
        <f t="shared" si="46"/>
        <v>12/01/2021</v>
      </c>
      <c r="C2973" t="str">
        <f>"23.805"</f>
        <v>23.805</v>
      </c>
      <c r="D2973" s="1" t="s">
        <v>2964</v>
      </c>
      <c r="E2973" t="s">
        <v>7079</v>
      </c>
    </row>
    <row r="2974" spans="1:5" x14ac:dyDescent="0.35">
      <c r="A2974" t="str">
        <f>"2021-12-02"</f>
        <v>2021-12-02</v>
      </c>
      <c r="B2974" s="1" t="str">
        <f t="shared" si="46"/>
        <v>12/02/2021</v>
      </c>
      <c r="C2974" t="str">
        <f>"23.9819"</f>
        <v>23.9819</v>
      </c>
      <c r="D2974" s="1" t="s">
        <v>2965</v>
      </c>
      <c r="E2974" t="s">
        <v>7080</v>
      </c>
    </row>
    <row r="2975" spans="1:5" x14ac:dyDescent="0.35">
      <c r="A2975" t="str">
        <f>"2021-12-03"</f>
        <v>2021-12-03</v>
      </c>
      <c r="B2975" s="1" t="str">
        <f t="shared" si="46"/>
        <v>12/03/2021</v>
      </c>
      <c r="C2975" t="str">
        <f>"23.5784"</f>
        <v>23.5784</v>
      </c>
      <c r="D2975" s="1" t="s">
        <v>2966</v>
      </c>
      <c r="E2975" t="s">
        <v>7081</v>
      </c>
    </row>
    <row r="2976" spans="1:5" x14ac:dyDescent="0.35">
      <c r="A2976" t="str">
        <f>"2021-12-06"</f>
        <v>2021-12-06</v>
      </c>
      <c r="B2976" s="1" t="str">
        <f t="shared" si="46"/>
        <v>12/06/2021</v>
      </c>
      <c r="C2976" t="str">
        <f>"23.991"</f>
        <v>23.991</v>
      </c>
      <c r="D2976" s="1" t="s">
        <v>2967</v>
      </c>
      <c r="E2976" t="s">
        <v>7082</v>
      </c>
    </row>
    <row r="2977" spans="1:5" x14ac:dyDescent="0.35">
      <c r="A2977" t="str">
        <f>"2021-12-07"</f>
        <v>2021-12-07</v>
      </c>
      <c r="B2977" s="1" t="str">
        <f t="shared" si="46"/>
        <v>12/07/2021</v>
      </c>
      <c r="C2977" t="str">
        <f>"24.3057"</f>
        <v>24.3057</v>
      </c>
      <c r="D2977" s="1" t="s">
        <v>2968</v>
      </c>
      <c r="E2977" t="s">
        <v>7083</v>
      </c>
    </row>
    <row r="2978" spans="1:5" x14ac:dyDescent="0.35">
      <c r="A2978" t="str">
        <f>"2021-12-08"</f>
        <v>2021-12-08</v>
      </c>
      <c r="B2978" s="1" t="str">
        <f t="shared" si="46"/>
        <v>12/08/2021</v>
      </c>
      <c r="C2978" t="str">
        <f>"26.2889"</f>
        <v>26.2889</v>
      </c>
      <c r="D2978" s="1" t="s">
        <v>2969</v>
      </c>
      <c r="E2978" t="s">
        <v>7084</v>
      </c>
    </row>
    <row r="2979" spans="1:5" x14ac:dyDescent="0.35">
      <c r="A2979" t="str">
        <f>"2021-12-09"</f>
        <v>2021-12-09</v>
      </c>
      <c r="B2979" s="1" t="str">
        <f t="shared" si="46"/>
        <v>12/09/2021</v>
      </c>
      <c r="C2979" t="str">
        <f>"28.1812"</f>
        <v>28.1812</v>
      </c>
      <c r="D2979" s="1" t="s">
        <v>2970</v>
      </c>
      <c r="E2979" t="s">
        <v>7085</v>
      </c>
    </row>
    <row r="2980" spans="1:5" x14ac:dyDescent="0.35">
      <c r="A2980" t="str">
        <f>"2021-12-10"</f>
        <v>2021-12-10</v>
      </c>
      <c r="B2980" s="1" t="str">
        <f t="shared" si="46"/>
        <v>12/10/2021</v>
      </c>
      <c r="C2980" t="str">
        <f>"28.1695"</f>
        <v>28.1695</v>
      </c>
      <c r="D2980" s="1" t="s">
        <v>2971</v>
      </c>
      <c r="E2980" t="s">
        <v>7086</v>
      </c>
    </row>
    <row r="2981" spans="1:5" x14ac:dyDescent="0.35">
      <c r="A2981" t="str">
        <f>"2021-12-13"</f>
        <v>2021-12-13</v>
      </c>
      <c r="B2981" s="1" t="str">
        <f t="shared" si="46"/>
        <v>12/13/2021</v>
      </c>
      <c r="C2981" t="str">
        <f>"28.453"</f>
        <v>28.453</v>
      </c>
      <c r="D2981" s="1" t="s">
        <v>2972</v>
      </c>
      <c r="E2981" t="s">
        <v>7087</v>
      </c>
    </row>
    <row r="2982" spans="1:5" x14ac:dyDescent="0.35">
      <c r="A2982" t="str">
        <f>"2021-12-14"</f>
        <v>2021-12-14</v>
      </c>
      <c r="B2982" s="1" t="str">
        <f t="shared" si="46"/>
        <v>12/14/2021</v>
      </c>
      <c r="C2982" t="str">
        <f>"28.7395"</f>
        <v>28.7395</v>
      </c>
      <c r="D2982" s="1" t="s">
        <v>2973</v>
      </c>
      <c r="E2982" t="s">
        <v>7088</v>
      </c>
    </row>
    <row r="2983" spans="1:5" x14ac:dyDescent="0.35">
      <c r="A2983" t="str">
        <f>"2021-12-15"</f>
        <v>2021-12-15</v>
      </c>
      <c r="B2983" s="1" t="str">
        <f t="shared" si="46"/>
        <v>12/15/2021</v>
      </c>
      <c r="C2983" t="str">
        <f>"28.8178"</f>
        <v>28.8178</v>
      </c>
      <c r="D2983" s="1" t="s">
        <v>2974</v>
      </c>
      <c r="E2983" t="s">
        <v>7089</v>
      </c>
    </row>
    <row r="2984" spans="1:5" x14ac:dyDescent="0.35">
      <c r="A2984" t="str">
        <f>"2021-12-16"</f>
        <v>2021-12-16</v>
      </c>
      <c r="B2984" s="1" t="str">
        <f t="shared" si="46"/>
        <v>12/16/2021</v>
      </c>
      <c r="C2984" t="str">
        <f>"29.3564"</f>
        <v>29.3564</v>
      </c>
      <c r="D2984" s="1" t="s">
        <v>2975</v>
      </c>
      <c r="E2984" t="s">
        <v>7090</v>
      </c>
    </row>
    <row r="2985" spans="1:5" x14ac:dyDescent="0.35">
      <c r="A2985" t="str">
        <f>"2021-12-17"</f>
        <v>2021-12-17</v>
      </c>
      <c r="B2985" s="1" t="str">
        <f t="shared" si="46"/>
        <v>12/17/2021</v>
      </c>
      <c r="C2985" t="str">
        <f>"24.9058"</f>
        <v>24.9058</v>
      </c>
      <c r="D2985" s="1" t="s">
        <v>2976</v>
      </c>
      <c r="E2985" t="s">
        <v>7091</v>
      </c>
    </row>
    <row r="2986" spans="1:5" x14ac:dyDescent="0.35">
      <c r="A2986" t="str">
        <f>"2021-12-20"</f>
        <v>2021-12-20</v>
      </c>
      <c r="B2986" s="1" t="str">
        <f t="shared" si="46"/>
        <v>12/20/2021</v>
      </c>
      <c r="C2986" t="str">
        <f>"23.115"</f>
        <v>23.115</v>
      </c>
      <c r="D2986" s="1" t="s">
        <v>2977</v>
      </c>
      <c r="E2986" t="s">
        <v>7092</v>
      </c>
    </row>
    <row r="2987" spans="1:5" x14ac:dyDescent="0.35">
      <c r="A2987" t="str">
        <f>"2021-12-21"</f>
        <v>2021-12-21</v>
      </c>
      <c r="B2987" s="1" t="str">
        <f t="shared" si="46"/>
        <v>12/21/2021</v>
      </c>
      <c r="C2987" t="str">
        <f>"25.7286"</f>
        <v>25.7286</v>
      </c>
      <c r="D2987" s="1" t="s">
        <v>2978</v>
      </c>
      <c r="E2987" t="s">
        <v>7093</v>
      </c>
    </row>
    <row r="2988" spans="1:5" x14ac:dyDescent="0.35">
      <c r="A2988" t="str">
        <f>"2021-12-22"</f>
        <v>2021-12-22</v>
      </c>
      <c r="B2988" s="1" t="str">
        <f t="shared" si="46"/>
        <v>12/22/2021</v>
      </c>
      <c r="C2988" t="str">
        <f>"26.5634"</f>
        <v>26.5634</v>
      </c>
      <c r="D2988" s="1" t="s">
        <v>2979</v>
      </c>
      <c r="E2988" t="s">
        <v>7094</v>
      </c>
    </row>
    <row r="2989" spans="1:5" x14ac:dyDescent="0.35">
      <c r="A2989" t="str">
        <f>"2021-12-23"</f>
        <v>2021-12-23</v>
      </c>
      <c r="B2989" s="1" t="str">
        <f t="shared" si="46"/>
        <v>12/23/2021</v>
      </c>
      <c r="C2989" t="str">
        <f>"27.4171"</f>
        <v>27.4171</v>
      </c>
      <c r="D2989" s="1" t="s">
        <v>2980</v>
      </c>
      <c r="E2989" t="s">
        <v>7095</v>
      </c>
    </row>
    <row r="2990" spans="1:5" x14ac:dyDescent="0.35">
      <c r="A2990" t="str">
        <f>"2021-12-27"</f>
        <v>2021-12-27</v>
      </c>
      <c r="B2990" s="1" t="str">
        <f t="shared" si="46"/>
        <v>12/27/2021</v>
      </c>
      <c r="C2990" t="str">
        <f>"33.0769"</f>
        <v>33.0769</v>
      </c>
      <c r="D2990" s="1" t="s">
        <v>2981</v>
      </c>
      <c r="E2990" t="s">
        <v>7096</v>
      </c>
    </row>
    <row r="2991" spans="1:5" x14ac:dyDescent="0.35">
      <c r="A2991" t="str">
        <f>"2021-12-28"</f>
        <v>2021-12-28</v>
      </c>
      <c r="B2991" s="1" t="str">
        <f t="shared" si="46"/>
        <v>12/28/2021</v>
      </c>
      <c r="C2991" t="str">
        <f>"30.5436"</f>
        <v>30.5436</v>
      </c>
      <c r="D2991" s="1" t="s">
        <v>2982</v>
      </c>
      <c r="E2991" t="s">
        <v>7097</v>
      </c>
    </row>
    <row r="2992" spans="1:5" x14ac:dyDescent="0.35">
      <c r="A2992" t="str">
        <f>"2021-12-29"</f>
        <v>2021-12-29</v>
      </c>
      <c r="B2992" s="1" t="str">
        <f t="shared" si="46"/>
        <v>12/29/2021</v>
      </c>
      <c r="C2992" t="str">
        <f>"30.7738"</f>
        <v>30.7738</v>
      </c>
      <c r="D2992" s="1" t="s">
        <v>2983</v>
      </c>
      <c r="E2992" t="s">
        <v>7098</v>
      </c>
    </row>
    <row r="2993" spans="1:5" x14ac:dyDescent="0.35">
      <c r="A2993" t="str">
        <f>"2021-12-30"</f>
        <v>2021-12-30</v>
      </c>
      <c r="B2993" s="1" t="str">
        <f t="shared" si="46"/>
        <v>12/30/2021</v>
      </c>
      <c r="C2993" t="str">
        <f>"27.3392"</f>
        <v>27.3392</v>
      </c>
      <c r="D2993" s="1" t="s">
        <v>2984</v>
      </c>
      <c r="E2993" t="s">
        <v>7099</v>
      </c>
    </row>
    <row r="2994" spans="1:5" x14ac:dyDescent="0.35">
      <c r="A2994" t="str">
        <f>"2021-12-31"</f>
        <v>2021-12-31</v>
      </c>
      <c r="B2994" s="1" t="str">
        <f t="shared" si="46"/>
        <v>12/31/2021</v>
      </c>
      <c r="C2994" t="str">
        <f>"25.6374"</f>
        <v>25.6374</v>
      </c>
      <c r="D2994" s="1" t="s">
        <v>2985</v>
      </c>
      <c r="E2994" t="s">
        <v>7100</v>
      </c>
    </row>
    <row r="2995" spans="1:5" x14ac:dyDescent="0.35">
      <c r="A2995" t="str">
        <f>"2022-01-03"</f>
        <v>2022-01-03</v>
      </c>
      <c r="B2995" s="1" t="str">
        <f t="shared" si="46"/>
        <v>01/03/2022</v>
      </c>
      <c r="C2995" t="str">
        <f>"28.2643"</f>
        <v>28.2643</v>
      </c>
      <c r="D2995" s="1" t="s">
        <v>2986</v>
      </c>
      <c r="E2995" t="s">
        <v>7101</v>
      </c>
    </row>
    <row r="2996" spans="1:5" x14ac:dyDescent="0.35">
      <c r="A2996" t="str">
        <f>"2022-01-04"</f>
        <v>2022-01-04</v>
      </c>
      <c r="B2996" s="1" t="str">
        <f t="shared" si="46"/>
        <v>01/04/2022</v>
      </c>
      <c r="C2996" t="str">
        <f>"29.93"</f>
        <v>29.93</v>
      </c>
      <c r="D2996" s="1" t="s">
        <v>2987</v>
      </c>
      <c r="E2996" t="s">
        <v>7102</v>
      </c>
    </row>
    <row r="2997" spans="1:5" x14ac:dyDescent="0.35">
      <c r="A2997" t="str">
        <f>"2022-01-05"</f>
        <v>2022-01-05</v>
      </c>
      <c r="B2997" s="1" t="str">
        <f t="shared" si="46"/>
        <v>01/05/2022</v>
      </c>
      <c r="C2997" t="str">
        <f>"30.3782"</f>
        <v>30.3782</v>
      </c>
      <c r="D2997" s="1" t="s">
        <v>2988</v>
      </c>
      <c r="E2997" t="s">
        <v>7103</v>
      </c>
    </row>
    <row r="2998" spans="1:5" x14ac:dyDescent="0.35">
      <c r="A2998" t="str">
        <f>"2022-01-06"</f>
        <v>2022-01-06</v>
      </c>
      <c r="B2998" s="1" t="str">
        <f t="shared" si="46"/>
        <v>01/06/2022</v>
      </c>
      <c r="C2998" t="str">
        <f>"31.5815"</f>
        <v>31.5815</v>
      </c>
      <c r="D2998" s="1" t="s">
        <v>2989</v>
      </c>
      <c r="E2998" t="s">
        <v>7104</v>
      </c>
    </row>
    <row r="2999" spans="1:5" x14ac:dyDescent="0.35">
      <c r="A2999" t="str">
        <f>"2022-01-07"</f>
        <v>2022-01-07</v>
      </c>
      <c r="B2999" s="1" t="str">
        <f t="shared" si="46"/>
        <v>01/07/2022</v>
      </c>
      <c r="C2999" t="str">
        <f>"31.3215"</f>
        <v>31.3215</v>
      </c>
      <c r="D2999" s="1" t="s">
        <v>2990</v>
      </c>
      <c r="E2999" t="s">
        <v>7105</v>
      </c>
    </row>
    <row r="3000" spans="1:5" x14ac:dyDescent="0.35">
      <c r="A3000" t="str">
        <f>"2022-01-10"</f>
        <v>2022-01-10</v>
      </c>
      <c r="B3000" s="1" t="str">
        <f t="shared" si="46"/>
        <v>01/10/2022</v>
      </c>
      <c r="C3000" t="str">
        <f>"33.5855"</f>
        <v>33.5855</v>
      </c>
      <c r="D3000" s="1" t="s">
        <v>2991</v>
      </c>
      <c r="E3000" t="s">
        <v>7106</v>
      </c>
    </row>
    <row r="3001" spans="1:5" x14ac:dyDescent="0.35">
      <c r="A3001" t="str">
        <f>"2022-01-11"</f>
        <v>2022-01-11</v>
      </c>
      <c r="B3001" s="1" t="str">
        <f t="shared" si="46"/>
        <v>01/11/2022</v>
      </c>
      <c r="C3001" t="str">
        <f>"33.3167"</f>
        <v>33.3167</v>
      </c>
      <c r="D3001" s="1" t="s">
        <v>2992</v>
      </c>
      <c r="E3001" t="s">
        <v>7107</v>
      </c>
    </row>
    <row r="3002" spans="1:5" x14ac:dyDescent="0.35">
      <c r="A3002" t="str">
        <f>"2022-01-12"</f>
        <v>2022-01-12</v>
      </c>
      <c r="B3002" s="1" t="str">
        <f t="shared" si="46"/>
        <v>01/12/2022</v>
      </c>
      <c r="C3002" t="str">
        <f>"33.252"</f>
        <v>33.252</v>
      </c>
      <c r="D3002" s="1" t="s">
        <v>2993</v>
      </c>
      <c r="E3002" t="s">
        <v>7108</v>
      </c>
    </row>
    <row r="3003" spans="1:5" x14ac:dyDescent="0.35">
      <c r="A3003" t="str">
        <f>"2022-01-13"</f>
        <v>2022-01-13</v>
      </c>
      <c r="B3003" s="1" t="str">
        <f t="shared" si="46"/>
        <v>01/13/2022</v>
      </c>
      <c r="C3003" t="str">
        <f>"37.1144"</f>
        <v>37.1144</v>
      </c>
      <c r="D3003" s="1" t="s">
        <v>2994</v>
      </c>
      <c r="E3003" t="s">
        <v>7109</v>
      </c>
    </row>
    <row r="3004" spans="1:5" x14ac:dyDescent="0.35">
      <c r="A3004" t="str">
        <f>"2022-01-14"</f>
        <v>2022-01-14</v>
      </c>
      <c r="B3004" s="1" t="str">
        <f t="shared" si="46"/>
        <v>01/14/2022</v>
      </c>
      <c r="C3004" t="str">
        <f>"35.575"</f>
        <v>35.575</v>
      </c>
      <c r="D3004" s="1" t="s">
        <v>2995</v>
      </c>
      <c r="E3004" t="s">
        <v>7110</v>
      </c>
    </row>
    <row r="3005" spans="1:5" x14ac:dyDescent="0.35">
      <c r="A3005" t="str">
        <f>"2022-01-18"</f>
        <v>2022-01-18</v>
      </c>
      <c r="B3005" s="1" t="str">
        <f t="shared" si="46"/>
        <v>01/18/2022</v>
      </c>
      <c r="C3005" t="str">
        <f>"34.2978"</f>
        <v>34.2978</v>
      </c>
      <c r="D3005" s="1" t="s">
        <v>2996</v>
      </c>
      <c r="E3005" t="s">
        <v>7111</v>
      </c>
    </row>
    <row r="3006" spans="1:5" x14ac:dyDescent="0.35">
      <c r="A3006" t="str">
        <f>"2022-01-19"</f>
        <v>2022-01-19</v>
      </c>
      <c r="B3006" s="1" t="str">
        <f t="shared" si="46"/>
        <v>01/19/2022</v>
      </c>
      <c r="C3006" t="str">
        <f>"34.1812"</f>
        <v>34.1812</v>
      </c>
      <c r="D3006" s="1" t="s">
        <v>2997</v>
      </c>
      <c r="E3006" t="s">
        <v>7112</v>
      </c>
    </row>
    <row r="3007" spans="1:5" x14ac:dyDescent="0.35">
      <c r="A3007" t="str">
        <f>"2022-01-20"</f>
        <v>2022-01-20</v>
      </c>
      <c r="B3007" s="1" t="str">
        <f t="shared" si="46"/>
        <v>01/20/2022</v>
      </c>
      <c r="C3007" t="str">
        <f>"35.3378"</f>
        <v>35.3378</v>
      </c>
      <c r="D3007" s="1" t="s">
        <v>2998</v>
      </c>
      <c r="E3007" t="s">
        <v>7113</v>
      </c>
    </row>
    <row r="3008" spans="1:5" x14ac:dyDescent="0.35">
      <c r="A3008" t="str">
        <f>"2022-01-21"</f>
        <v>2022-01-21</v>
      </c>
      <c r="B3008" s="1" t="str">
        <f t="shared" si="46"/>
        <v>01/21/2022</v>
      </c>
      <c r="C3008" t="str">
        <f>"34.9639"</f>
        <v>34.9639</v>
      </c>
      <c r="D3008" s="1" t="s">
        <v>2999</v>
      </c>
      <c r="E3008" t="s">
        <v>7114</v>
      </c>
    </row>
    <row r="3009" spans="1:5" x14ac:dyDescent="0.35">
      <c r="A3009" t="str">
        <f>"2022-01-24"</f>
        <v>2022-01-24</v>
      </c>
      <c r="B3009" s="1" t="str">
        <f t="shared" si="46"/>
        <v>01/24/2022</v>
      </c>
      <c r="C3009" t="str">
        <f>"32.7093"</f>
        <v>32.7093</v>
      </c>
      <c r="D3009" s="1" t="s">
        <v>3000</v>
      </c>
      <c r="E3009" t="s">
        <v>7115</v>
      </c>
    </row>
    <row r="3010" spans="1:5" x14ac:dyDescent="0.35">
      <c r="A3010" t="str">
        <f>"2022-01-25"</f>
        <v>2022-01-25</v>
      </c>
      <c r="B3010" s="1" t="str">
        <f t="shared" si="46"/>
        <v>01/25/2022</v>
      </c>
      <c r="C3010" t="str">
        <f>"32.6398"</f>
        <v>32.6398</v>
      </c>
      <c r="D3010" s="1" t="s">
        <v>3001</v>
      </c>
      <c r="E3010" t="s">
        <v>7116</v>
      </c>
    </row>
    <row r="3011" spans="1:5" x14ac:dyDescent="0.35">
      <c r="A3011" t="str">
        <f>"2022-01-26"</f>
        <v>2022-01-26</v>
      </c>
      <c r="B3011" s="1" t="str">
        <f t="shared" ref="B3011:B3074" si="47">LEFT(RIGHT(A3011,5),2)&amp;"/"&amp;RIGHT(A3011,2)&amp;"/"&amp;LEFT(A3011,4)</f>
        <v>01/26/2022</v>
      </c>
      <c r="C3011" t="str">
        <f>"34.3305"</f>
        <v>34.3305</v>
      </c>
      <c r="D3011" s="1" t="s">
        <v>3002</v>
      </c>
      <c r="E3011" t="s">
        <v>7117</v>
      </c>
    </row>
    <row r="3012" spans="1:5" x14ac:dyDescent="0.35">
      <c r="A3012" t="str">
        <f>"2022-01-27"</f>
        <v>2022-01-27</v>
      </c>
      <c r="B3012" s="1" t="str">
        <f t="shared" si="47"/>
        <v>01/27/2022</v>
      </c>
      <c r="C3012" t="str">
        <f>"36.5866"</f>
        <v>36.5866</v>
      </c>
      <c r="D3012" s="1" t="s">
        <v>3003</v>
      </c>
      <c r="E3012" t="s">
        <v>7118</v>
      </c>
    </row>
    <row r="3013" spans="1:5" x14ac:dyDescent="0.35">
      <c r="A3013" t="str">
        <f>"2022-01-28"</f>
        <v>2022-01-28</v>
      </c>
      <c r="B3013" s="1" t="str">
        <f t="shared" si="47"/>
        <v>01/28/2022</v>
      </c>
      <c r="C3013" t="str">
        <f>"36.0352"</f>
        <v>36.0352</v>
      </c>
      <c r="D3013" s="1" t="s">
        <v>3004</v>
      </c>
      <c r="E3013" t="s">
        <v>7119</v>
      </c>
    </row>
    <row r="3014" spans="1:5" x14ac:dyDescent="0.35">
      <c r="A3014" t="str">
        <f>"2022-01-31"</f>
        <v>2022-01-31</v>
      </c>
      <c r="B3014" s="1" t="str">
        <f t="shared" si="47"/>
        <v>01/31/2022</v>
      </c>
      <c r="C3014" t="str">
        <f>"36.9125"</f>
        <v>36.9125</v>
      </c>
      <c r="D3014" s="1" t="s">
        <v>3005</v>
      </c>
      <c r="E3014" t="s">
        <v>7120</v>
      </c>
    </row>
    <row r="3015" spans="1:5" x14ac:dyDescent="0.35">
      <c r="A3015" t="str">
        <f>"2022-02-01"</f>
        <v>2022-02-01</v>
      </c>
      <c r="B3015" s="1" t="str">
        <f t="shared" si="47"/>
        <v>02/01/2022</v>
      </c>
      <c r="C3015" t="str">
        <f>"36.7996"</f>
        <v>36.7996</v>
      </c>
      <c r="D3015" s="1" t="s">
        <v>3006</v>
      </c>
      <c r="E3015" t="s">
        <v>7121</v>
      </c>
    </row>
    <row r="3016" spans="1:5" x14ac:dyDescent="0.35">
      <c r="A3016" t="str">
        <f>"2022-02-02"</f>
        <v>2022-02-02</v>
      </c>
      <c r="B3016" s="1" t="str">
        <f t="shared" si="47"/>
        <v>02/02/2022</v>
      </c>
      <c r="C3016" t="str">
        <f>"35.7998"</f>
        <v>35.7998</v>
      </c>
      <c r="D3016" s="1" t="s">
        <v>3007</v>
      </c>
      <c r="E3016" t="s">
        <v>7122</v>
      </c>
    </row>
    <row r="3017" spans="1:5" x14ac:dyDescent="0.35">
      <c r="A3017" t="str">
        <f>"2022-02-03"</f>
        <v>2022-02-03</v>
      </c>
      <c r="B3017" s="1" t="str">
        <f t="shared" si="47"/>
        <v>02/03/2022</v>
      </c>
      <c r="C3017" t="str">
        <f>"34.6157"</f>
        <v>34.6157</v>
      </c>
      <c r="D3017" s="1" t="s">
        <v>3008</v>
      </c>
      <c r="E3017" t="s">
        <v>7123</v>
      </c>
    </row>
    <row r="3018" spans="1:5" x14ac:dyDescent="0.35">
      <c r="A3018" t="str">
        <f>"2022-02-04"</f>
        <v>2022-02-04</v>
      </c>
      <c r="B3018" s="1" t="str">
        <f t="shared" si="47"/>
        <v>02/04/2022</v>
      </c>
      <c r="C3018" t="str">
        <f>"33.8337"</f>
        <v>33.8337</v>
      </c>
      <c r="D3018" s="1" t="s">
        <v>3009</v>
      </c>
      <c r="E3018" t="s">
        <v>7124</v>
      </c>
    </row>
    <row r="3019" spans="1:5" x14ac:dyDescent="0.35">
      <c r="A3019" t="str">
        <f>"2022-02-07"</f>
        <v>2022-02-07</v>
      </c>
      <c r="B3019" s="1" t="str">
        <f t="shared" si="47"/>
        <v>02/07/2022</v>
      </c>
      <c r="C3019" t="str">
        <f>"35.6135"</f>
        <v>35.6135</v>
      </c>
      <c r="D3019" s="1" t="s">
        <v>3010</v>
      </c>
      <c r="E3019" t="s">
        <v>7125</v>
      </c>
    </row>
    <row r="3020" spans="1:5" x14ac:dyDescent="0.35">
      <c r="A3020" t="str">
        <f>"2022-02-08"</f>
        <v>2022-02-08</v>
      </c>
      <c r="B3020" s="1" t="str">
        <f t="shared" si="47"/>
        <v>02/08/2022</v>
      </c>
      <c r="C3020" t="str">
        <f>"36.1131"</f>
        <v>36.1131</v>
      </c>
      <c r="D3020" s="1" t="s">
        <v>3011</v>
      </c>
      <c r="E3020" t="s">
        <v>7126</v>
      </c>
    </row>
    <row r="3021" spans="1:5" x14ac:dyDescent="0.35">
      <c r="A3021" t="str">
        <f>"2022-02-09"</f>
        <v>2022-02-09</v>
      </c>
      <c r="B3021" s="1" t="str">
        <f t="shared" si="47"/>
        <v>02/09/2022</v>
      </c>
      <c r="C3021" t="str">
        <f>"37.249"</f>
        <v>37.249</v>
      </c>
      <c r="D3021" s="1" t="s">
        <v>3012</v>
      </c>
      <c r="E3021" t="s">
        <v>7127</v>
      </c>
    </row>
    <row r="3022" spans="1:5" x14ac:dyDescent="0.35">
      <c r="A3022" t="str">
        <f>"2022-02-10"</f>
        <v>2022-02-10</v>
      </c>
      <c r="B3022" s="1" t="str">
        <f t="shared" si="47"/>
        <v>02/10/2022</v>
      </c>
      <c r="C3022" t="str">
        <f>"37.2831"</f>
        <v>37.2831</v>
      </c>
      <c r="D3022" s="1" t="s">
        <v>3013</v>
      </c>
      <c r="E3022" t="s">
        <v>7128</v>
      </c>
    </row>
    <row r="3023" spans="1:5" x14ac:dyDescent="0.35">
      <c r="A3023" t="str">
        <f>"2022-02-11"</f>
        <v>2022-02-11</v>
      </c>
      <c r="B3023" s="1" t="str">
        <f t="shared" si="47"/>
        <v>02/11/2022</v>
      </c>
      <c r="C3023" t="str">
        <f>"37.0834"</f>
        <v>37.0834</v>
      </c>
      <c r="D3023" s="1" t="s">
        <v>3014</v>
      </c>
      <c r="E3023" t="s">
        <v>7129</v>
      </c>
    </row>
    <row r="3024" spans="1:5" x14ac:dyDescent="0.35">
      <c r="A3024" t="str">
        <f>"2022-02-14"</f>
        <v>2022-02-14</v>
      </c>
      <c r="B3024" s="1" t="str">
        <f t="shared" si="47"/>
        <v>02/14/2022</v>
      </c>
      <c r="C3024" t="str">
        <f>"35.2607"</f>
        <v>35.2607</v>
      </c>
      <c r="D3024" s="1" t="s">
        <v>3015</v>
      </c>
      <c r="E3024" t="s">
        <v>7130</v>
      </c>
    </row>
    <row r="3025" spans="1:5" x14ac:dyDescent="0.35">
      <c r="A3025" t="str">
        <f>"2022-02-15"</f>
        <v>2022-02-15</v>
      </c>
      <c r="B3025" s="1" t="str">
        <f t="shared" si="47"/>
        <v>02/15/2022</v>
      </c>
      <c r="C3025" t="str">
        <f>"36.9666"</f>
        <v>36.9666</v>
      </c>
      <c r="D3025" s="1" t="s">
        <v>3016</v>
      </c>
      <c r="E3025" t="s">
        <v>7131</v>
      </c>
    </row>
    <row r="3026" spans="1:5" x14ac:dyDescent="0.35">
      <c r="A3026" t="str">
        <f>"2022-02-16"</f>
        <v>2022-02-16</v>
      </c>
      <c r="B3026" s="1" t="str">
        <f t="shared" si="47"/>
        <v>02/16/2022</v>
      </c>
      <c r="C3026" t="str">
        <f>"36.1886"</f>
        <v>36.1886</v>
      </c>
      <c r="D3026" s="1" t="s">
        <v>3017</v>
      </c>
      <c r="E3026" t="s">
        <v>7132</v>
      </c>
    </row>
    <row r="3027" spans="1:5" x14ac:dyDescent="0.35">
      <c r="A3027" t="str">
        <f>"2022-02-17"</f>
        <v>2022-02-17</v>
      </c>
      <c r="B3027" s="1" t="str">
        <f t="shared" si="47"/>
        <v>02/17/2022</v>
      </c>
      <c r="C3027" t="str">
        <f>"34.5924"</f>
        <v>34.5924</v>
      </c>
      <c r="D3027" s="1" t="s">
        <v>3018</v>
      </c>
      <c r="E3027" t="s">
        <v>7133</v>
      </c>
    </row>
    <row r="3028" spans="1:5" x14ac:dyDescent="0.35">
      <c r="A3028" t="str">
        <f>"2022-02-18"</f>
        <v>2022-02-18</v>
      </c>
      <c r="B3028" s="1" t="str">
        <f t="shared" si="47"/>
        <v>02/18/2022</v>
      </c>
      <c r="C3028" t="str">
        <f>"35.6175"</f>
        <v>35.6175</v>
      </c>
      <c r="D3028" s="1" t="s">
        <v>3019</v>
      </c>
      <c r="E3028" t="s">
        <v>7134</v>
      </c>
    </row>
    <row r="3029" spans="1:5" x14ac:dyDescent="0.35">
      <c r="A3029" t="str">
        <f>"2022-02-22"</f>
        <v>2022-02-22</v>
      </c>
      <c r="B3029" s="1" t="str">
        <f t="shared" si="47"/>
        <v>02/22/2022</v>
      </c>
      <c r="C3029" t="str">
        <f>"34.4602"</f>
        <v>34.4602</v>
      </c>
      <c r="D3029" s="1" t="s">
        <v>3020</v>
      </c>
      <c r="E3029" t="s">
        <v>7135</v>
      </c>
    </row>
    <row r="3030" spans="1:5" x14ac:dyDescent="0.35">
      <c r="A3030" t="str">
        <f>"2022-02-23"</f>
        <v>2022-02-23</v>
      </c>
      <c r="B3030" s="1" t="str">
        <f t="shared" si="47"/>
        <v>02/23/2022</v>
      </c>
      <c r="C3030" t="str">
        <f>"33.2403"</f>
        <v>33.2403</v>
      </c>
      <c r="D3030" s="1" t="s">
        <v>3021</v>
      </c>
      <c r="E3030" t="s">
        <v>7136</v>
      </c>
    </row>
    <row r="3031" spans="1:5" x14ac:dyDescent="0.35">
      <c r="A3031" t="str">
        <f>"2022-02-24"</f>
        <v>2022-02-24</v>
      </c>
      <c r="B3031" s="1" t="str">
        <f t="shared" si="47"/>
        <v>02/24/2022</v>
      </c>
      <c r="C3031" t="str">
        <f>"29.5535"</f>
        <v>29.5535</v>
      </c>
      <c r="D3031" s="1" t="s">
        <v>3022</v>
      </c>
      <c r="E3031" t="s">
        <v>7137</v>
      </c>
    </row>
    <row r="3032" spans="1:5" x14ac:dyDescent="0.35">
      <c r="A3032" t="str">
        <f>"2022-02-25"</f>
        <v>2022-02-25</v>
      </c>
      <c r="B3032" s="1" t="str">
        <f t="shared" si="47"/>
        <v>02/25/2022</v>
      </c>
      <c r="C3032" t="str">
        <f>"32.0292"</f>
        <v>32.0292</v>
      </c>
      <c r="D3032" s="1" t="s">
        <v>3023</v>
      </c>
      <c r="E3032" t="s">
        <v>7138</v>
      </c>
    </row>
    <row r="3033" spans="1:5" x14ac:dyDescent="0.35">
      <c r="A3033" t="str">
        <f>"2022-02-28"</f>
        <v>2022-02-28</v>
      </c>
      <c r="B3033" s="1" t="str">
        <f t="shared" si="47"/>
        <v>02/28/2022</v>
      </c>
      <c r="C3033" t="str">
        <f>"29.9054"</f>
        <v>29.9054</v>
      </c>
      <c r="D3033" s="1" t="s">
        <v>3024</v>
      </c>
      <c r="E3033" t="s">
        <v>7139</v>
      </c>
    </row>
    <row r="3034" spans="1:5" x14ac:dyDescent="0.35">
      <c r="A3034" t="str">
        <f>"2022-03-01"</f>
        <v>2022-03-01</v>
      </c>
      <c r="B3034" s="1" t="str">
        <f t="shared" si="47"/>
        <v>03/01/2022</v>
      </c>
      <c r="C3034" t="str">
        <f>"29.3297"</f>
        <v>29.3297</v>
      </c>
      <c r="D3034" s="1" t="s">
        <v>3025</v>
      </c>
      <c r="E3034" t="s">
        <v>7140</v>
      </c>
    </row>
    <row r="3035" spans="1:5" x14ac:dyDescent="0.35">
      <c r="A3035" t="str">
        <f>"2022-03-02"</f>
        <v>2022-03-02</v>
      </c>
      <c r="B3035" s="1" t="str">
        <f t="shared" si="47"/>
        <v>03/02/2022</v>
      </c>
      <c r="C3035" t="str">
        <f>"30.4059"</f>
        <v>30.4059</v>
      </c>
      <c r="D3035" s="1" t="s">
        <v>3026</v>
      </c>
      <c r="E3035" t="s">
        <v>7141</v>
      </c>
    </row>
    <row r="3036" spans="1:5" x14ac:dyDescent="0.35">
      <c r="A3036" t="str">
        <f>"2022-03-03"</f>
        <v>2022-03-03</v>
      </c>
      <c r="B3036" s="1" t="str">
        <f t="shared" si="47"/>
        <v>03/03/2022</v>
      </c>
      <c r="C3036" t="str">
        <f>"29.8286"</f>
        <v>29.8286</v>
      </c>
      <c r="D3036" s="1" t="s">
        <v>3027</v>
      </c>
      <c r="E3036" t="s">
        <v>7142</v>
      </c>
    </row>
    <row r="3037" spans="1:5" x14ac:dyDescent="0.35">
      <c r="A3037" t="str">
        <f>"2022-03-04"</f>
        <v>2022-03-04</v>
      </c>
      <c r="B3037" s="1" t="str">
        <f t="shared" si="47"/>
        <v>03/04/2022</v>
      </c>
      <c r="C3037" t="str">
        <f>"28.3733"</f>
        <v>28.3733</v>
      </c>
      <c r="D3037" s="1" t="s">
        <v>3028</v>
      </c>
      <c r="E3037" t="s">
        <v>7143</v>
      </c>
    </row>
    <row r="3038" spans="1:5" x14ac:dyDescent="0.35">
      <c r="A3038" t="str">
        <f>"2022-03-07"</f>
        <v>2022-03-07</v>
      </c>
      <c r="B3038" s="1" t="str">
        <f t="shared" si="47"/>
        <v>03/07/2022</v>
      </c>
      <c r="C3038" t="str">
        <f>"28.3731"</f>
        <v>28.3731</v>
      </c>
      <c r="D3038" s="1" t="s">
        <v>3029</v>
      </c>
      <c r="E3038" t="s">
        <v>7144</v>
      </c>
    </row>
    <row r="3039" spans="1:5" x14ac:dyDescent="0.35">
      <c r="A3039" t="str">
        <f>"2022-03-08"</f>
        <v>2022-03-08</v>
      </c>
      <c r="B3039" s="1" t="str">
        <f t="shared" si="47"/>
        <v>03/08/2022</v>
      </c>
      <c r="C3039" t="str">
        <f>"26.8256"</f>
        <v>26.8256</v>
      </c>
      <c r="D3039" s="1" t="s">
        <v>3030</v>
      </c>
      <c r="E3039" t="s">
        <v>7145</v>
      </c>
    </row>
    <row r="3040" spans="1:5" x14ac:dyDescent="0.35">
      <c r="A3040" t="str">
        <f>"2022-03-09"</f>
        <v>2022-03-09</v>
      </c>
      <c r="B3040" s="1" t="str">
        <f t="shared" si="47"/>
        <v>03/09/2022</v>
      </c>
      <c r="C3040" t="str">
        <f>"28.2521"</f>
        <v>28.2521</v>
      </c>
      <c r="D3040" s="1" t="s">
        <v>3031</v>
      </c>
      <c r="E3040" t="s">
        <v>7146</v>
      </c>
    </row>
    <row r="3041" spans="1:5" x14ac:dyDescent="0.35">
      <c r="A3041" t="str">
        <f>"2022-03-10"</f>
        <v>2022-03-10</v>
      </c>
      <c r="B3041" s="1" t="str">
        <f t="shared" si="47"/>
        <v>03/10/2022</v>
      </c>
      <c r="C3041" t="str">
        <f>"27.3334"</f>
        <v>27.3334</v>
      </c>
      <c r="D3041" s="1" t="s">
        <v>3032</v>
      </c>
      <c r="E3041" t="s">
        <v>7147</v>
      </c>
    </row>
    <row r="3042" spans="1:5" x14ac:dyDescent="0.35">
      <c r="A3042" t="str">
        <f>"2022-03-11"</f>
        <v>2022-03-11</v>
      </c>
      <c r="B3042" s="1" t="str">
        <f t="shared" si="47"/>
        <v>03/11/2022</v>
      </c>
      <c r="C3042" t="str">
        <f>"27.9325"</f>
        <v>27.9325</v>
      </c>
      <c r="D3042" s="1" t="s">
        <v>3033</v>
      </c>
      <c r="E3042" t="s">
        <v>7148</v>
      </c>
    </row>
    <row r="3043" spans="1:5" x14ac:dyDescent="0.35">
      <c r="A3043" t="str">
        <f>"2022-03-14"</f>
        <v>2022-03-14</v>
      </c>
      <c r="B3043" s="1" t="str">
        <f t="shared" si="47"/>
        <v>03/14/2022</v>
      </c>
      <c r="C3043" t="str">
        <f>"28.6456"</f>
        <v>28.6456</v>
      </c>
      <c r="D3043" s="1" t="s">
        <v>3034</v>
      </c>
      <c r="E3043" t="s">
        <v>7149</v>
      </c>
    </row>
    <row r="3044" spans="1:5" x14ac:dyDescent="0.35">
      <c r="A3044" t="str">
        <f>"2022-03-15"</f>
        <v>2022-03-15</v>
      </c>
      <c r="B3044" s="1" t="str">
        <f t="shared" si="47"/>
        <v>03/15/2022</v>
      </c>
      <c r="C3044" t="str">
        <f>"30.1938"</f>
        <v>30.1938</v>
      </c>
      <c r="D3044" s="1" t="s">
        <v>3035</v>
      </c>
      <c r="E3044" t="s">
        <v>7150</v>
      </c>
    </row>
    <row r="3045" spans="1:5" x14ac:dyDescent="0.35">
      <c r="A3045" t="str">
        <f>"2022-03-16"</f>
        <v>2022-03-16</v>
      </c>
      <c r="B3045" s="1" t="str">
        <f t="shared" si="47"/>
        <v>03/16/2022</v>
      </c>
      <c r="C3045" t="str">
        <f>"30.7164"</f>
        <v>30.7164</v>
      </c>
      <c r="D3045" s="1" t="s">
        <v>3036</v>
      </c>
      <c r="E3045" t="s">
        <v>7151</v>
      </c>
    </row>
    <row r="3046" spans="1:5" x14ac:dyDescent="0.35">
      <c r="A3046" t="str">
        <f>"2022-03-17"</f>
        <v>2022-03-17</v>
      </c>
      <c r="B3046" s="1" t="str">
        <f t="shared" si="47"/>
        <v>03/17/2022</v>
      </c>
      <c r="C3046" t="str">
        <f>"30.6491"</f>
        <v>30.6491</v>
      </c>
      <c r="D3046" s="1" t="s">
        <v>3037</v>
      </c>
      <c r="E3046" t="s">
        <v>7152</v>
      </c>
    </row>
    <row r="3047" spans="1:5" x14ac:dyDescent="0.35">
      <c r="A3047" t="str">
        <f>"2022-03-18"</f>
        <v>2022-03-18</v>
      </c>
      <c r="B3047" s="1" t="str">
        <f t="shared" si="47"/>
        <v>03/18/2022</v>
      </c>
      <c r="C3047" t="str">
        <f>"30.4113"</f>
        <v>30.4113</v>
      </c>
      <c r="D3047" s="1" t="s">
        <v>3038</v>
      </c>
      <c r="E3047" t="s">
        <v>7153</v>
      </c>
    </row>
    <row r="3048" spans="1:5" x14ac:dyDescent="0.35">
      <c r="A3048" t="str">
        <f>"2022-03-21"</f>
        <v>2022-03-21</v>
      </c>
      <c r="B3048" s="1" t="str">
        <f t="shared" si="47"/>
        <v>03/21/2022</v>
      </c>
      <c r="C3048" t="str">
        <f>"30.4102"</f>
        <v>30.4102</v>
      </c>
      <c r="D3048" s="1" t="s">
        <v>3039</v>
      </c>
      <c r="E3048" t="s">
        <v>7154</v>
      </c>
    </row>
    <row r="3049" spans="1:5" x14ac:dyDescent="0.35">
      <c r="A3049" t="str">
        <f>"2022-03-22"</f>
        <v>2022-03-22</v>
      </c>
      <c r="B3049" s="1" t="str">
        <f t="shared" si="47"/>
        <v>03/22/2022</v>
      </c>
      <c r="C3049" t="str">
        <f>"31.1602"</f>
        <v>31.1602</v>
      </c>
      <c r="D3049" s="1" t="s">
        <v>3040</v>
      </c>
      <c r="E3049" t="s">
        <v>7155</v>
      </c>
    </row>
    <row r="3050" spans="1:5" x14ac:dyDescent="0.35">
      <c r="A3050" t="str">
        <f>"2022-03-23"</f>
        <v>2022-03-23</v>
      </c>
      <c r="B3050" s="1" t="str">
        <f t="shared" si="47"/>
        <v>03/23/2022</v>
      </c>
      <c r="C3050" t="str">
        <f>"30.4563"</f>
        <v>30.4563</v>
      </c>
      <c r="D3050" s="1" t="s">
        <v>3041</v>
      </c>
      <c r="E3050" t="s">
        <v>7156</v>
      </c>
    </row>
    <row r="3051" spans="1:5" x14ac:dyDescent="0.35">
      <c r="A3051" t="str">
        <f>"2022-03-24"</f>
        <v>2022-03-24</v>
      </c>
      <c r="B3051" s="1" t="str">
        <f t="shared" si="47"/>
        <v>03/24/2022</v>
      </c>
      <c r="C3051" t="str">
        <f>"30.0725"</f>
        <v>30.0725</v>
      </c>
      <c r="D3051" s="1" t="s">
        <v>3042</v>
      </c>
      <c r="E3051" t="s">
        <v>7157</v>
      </c>
    </row>
    <row r="3052" spans="1:5" x14ac:dyDescent="0.35">
      <c r="A3052" t="str">
        <f>"2022-03-25"</f>
        <v>2022-03-25</v>
      </c>
      <c r="B3052" s="1" t="str">
        <f t="shared" si="47"/>
        <v>03/25/2022</v>
      </c>
      <c r="C3052" t="str">
        <f>"30.2166"</f>
        <v>30.2166</v>
      </c>
      <c r="D3052" s="1" t="s">
        <v>3043</v>
      </c>
      <c r="E3052" t="s">
        <v>7158</v>
      </c>
    </row>
    <row r="3053" spans="1:5" x14ac:dyDescent="0.35">
      <c r="A3053" t="str">
        <f>"2022-03-28"</f>
        <v>2022-03-28</v>
      </c>
      <c r="B3053" s="1" t="str">
        <f t="shared" si="47"/>
        <v>03/28/2022</v>
      </c>
      <c r="C3053" t="str">
        <f>"31.4284"</f>
        <v>31.4284</v>
      </c>
      <c r="D3053" s="1" t="s">
        <v>3044</v>
      </c>
      <c r="E3053" t="s">
        <v>7159</v>
      </c>
    </row>
    <row r="3054" spans="1:5" x14ac:dyDescent="0.35">
      <c r="A3054" t="str">
        <f>"2022-03-29"</f>
        <v>2022-03-29</v>
      </c>
      <c r="B3054" s="1" t="str">
        <f t="shared" si="47"/>
        <v>03/29/2022</v>
      </c>
      <c r="C3054" t="str">
        <f>"34.7271"</f>
        <v>34.7271</v>
      </c>
      <c r="D3054" s="1" t="s">
        <v>3045</v>
      </c>
      <c r="E3054" t="s">
        <v>7160</v>
      </c>
    </row>
    <row r="3055" spans="1:5" x14ac:dyDescent="0.35">
      <c r="A3055" t="str">
        <f>"2022-03-30"</f>
        <v>2022-03-30</v>
      </c>
      <c r="B3055" s="1" t="str">
        <f t="shared" si="47"/>
        <v>03/30/2022</v>
      </c>
      <c r="C3055" t="str">
        <f>"35.5315"</f>
        <v>35.5315</v>
      </c>
      <c r="D3055" s="1" t="s">
        <v>3046</v>
      </c>
      <c r="E3055" t="s">
        <v>7161</v>
      </c>
    </row>
    <row r="3056" spans="1:5" x14ac:dyDescent="0.35">
      <c r="A3056" t="str">
        <f>"2022-03-31"</f>
        <v>2022-03-31</v>
      </c>
      <c r="B3056" s="1" t="str">
        <f t="shared" si="47"/>
        <v>03/31/2022</v>
      </c>
      <c r="C3056" t="str">
        <f>"35.1358"</f>
        <v>35.1358</v>
      </c>
      <c r="D3056" s="1" t="s">
        <v>3047</v>
      </c>
      <c r="E3056" t="s">
        <v>7162</v>
      </c>
    </row>
    <row r="3057" spans="1:5" x14ac:dyDescent="0.35">
      <c r="A3057" t="str">
        <f>"2022-04-01"</f>
        <v>2022-04-01</v>
      </c>
      <c r="B3057" s="1" t="str">
        <f t="shared" si="47"/>
        <v>04/01/2022</v>
      </c>
      <c r="C3057" t="str">
        <f>"36.2246"</f>
        <v>36.2246</v>
      </c>
      <c r="D3057" s="1" t="s">
        <v>3048</v>
      </c>
      <c r="E3057" t="s">
        <v>7163</v>
      </c>
    </row>
    <row r="3058" spans="1:5" x14ac:dyDescent="0.35">
      <c r="A3058" t="str">
        <f>"2022-04-04"</f>
        <v>2022-04-04</v>
      </c>
      <c r="B3058" s="1" t="str">
        <f t="shared" si="47"/>
        <v>04/04/2022</v>
      </c>
      <c r="C3058" t="str">
        <f>"36.7628"</f>
        <v>36.7628</v>
      </c>
      <c r="D3058" s="1" t="s">
        <v>3049</v>
      </c>
      <c r="E3058" t="s">
        <v>7164</v>
      </c>
    </row>
    <row r="3059" spans="1:5" x14ac:dyDescent="0.35">
      <c r="A3059" t="str">
        <f>"2022-04-05"</f>
        <v>2022-04-05</v>
      </c>
      <c r="B3059" s="1" t="str">
        <f t="shared" si="47"/>
        <v>04/05/2022</v>
      </c>
      <c r="C3059" t="str">
        <f>"37.9844"</f>
        <v>37.9844</v>
      </c>
      <c r="D3059" s="1" t="s">
        <v>3050</v>
      </c>
      <c r="E3059" t="s">
        <v>7165</v>
      </c>
    </row>
    <row r="3060" spans="1:5" x14ac:dyDescent="0.35">
      <c r="A3060" t="str">
        <f>"2022-04-06"</f>
        <v>2022-04-06</v>
      </c>
      <c r="B3060" s="1" t="str">
        <f t="shared" si="47"/>
        <v>04/06/2022</v>
      </c>
      <c r="C3060" t="str">
        <f>"38.1374"</f>
        <v>38.1374</v>
      </c>
      <c r="D3060" s="1" t="s">
        <v>3051</v>
      </c>
      <c r="E3060" t="s">
        <v>7166</v>
      </c>
    </row>
    <row r="3061" spans="1:5" x14ac:dyDescent="0.35">
      <c r="A3061" t="str">
        <f>"2022-04-07"</f>
        <v>2022-04-07</v>
      </c>
      <c r="B3061" s="1" t="str">
        <f t="shared" si="47"/>
        <v>04/07/2022</v>
      </c>
      <c r="C3061" t="str">
        <f>"38.975"</f>
        <v>38.975</v>
      </c>
      <c r="D3061" s="1" t="s">
        <v>3052</v>
      </c>
      <c r="E3061" t="s">
        <v>7167</v>
      </c>
    </row>
    <row r="3062" spans="1:5" x14ac:dyDescent="0.35">
      <c r="A3062" t="str">
        <f>"2022-04-08"</f>
        <v>2022-04-08</v>
      </c>
      <c r="B3062" s="1" t="str">
        <f t="shared" si="47"/>
        <v>04/08/2022</v>
      </c>
      <c r="C3062" t="str">
        <f>"38.3503"</f>
        <v>38.3503</v>
      </c>
      <c r="D3062" s="1" t="s">
        <v>3053</v>
      </c>
      <c r="E3062" t="s">
        <v>7168</v>
      </c>
    </row>
    <row r="3063" spans="1:5" x14ac:dyDescent="0.35">
      <c r="A3063" t="str">
        <f>"2022-04-11"</f>
        <v>2022-04-11</v>
      </c>
      <c r="B3063" s="1" t="str">
        <f t="shared" si="47"/>
        <v>04/11/2022</v>
      </c>
      <c r="C3063" t="str">
        <f>"39.2438"</f>
        <v>39.2438</v>
      </c>
      <c r="D3063" s="1" t="s">
        <v>3054</v>
      </c>
      <c r="E3063" t="s">
        <v>7169</v>
      </c>
    </row>
    <row r="3064" spans="1:5" x14ac:dyDescent="0.35">
      <c r="A3064" t="str">
        <f>"2022-04-12"</f>
        <v>2022-04-12</v>
      </c>
      <c r="B3064" s="1" t="str">
        <f t="shared" si="47"/>
        <v>04/12/2022</v>
      </c>
      <c r="C3064" t="str">
        <f>"40.0516"</f>
        <v>40.0516</v>
      </c>
      <c r="D3064" s="1" t="s">
        <v>3055</v>
      </c>
      <c r="E3064" t="s">
        <v>7170</v>
      </c>
    </row>
    <row r="3065" spans="1:5" x14ac:dyDescent="0.35">
      <c r="A3065" t="str">
        <f>"2022-04-13"</f>
        <v>2022-04-13</v>
      </c>
      <c r="B3065" s="1" t="str">
        <f t="shared" si="47"/>
        <v>04/13/2022</v>
      </c>
      <c r="C3065" t="str">
        <f>"39.8189"</f>
        <v>39.8189</v>
      </c>
      <c r="D3065" s="1" t="s">
        <v>3056</v>
      </c>
      <c r="E3065" t="s">
        <v>7171</v>
      </c>
    </row>
    <row r="3066" spans="1:5" x14ac:dyDescent="0.35">
      <c r="A3066" t="str">
        <f>"2022-04-14"</f>
        <v>2022-04-14</v>
      </c>
      <c r="B3066" s="1" t="str">
        <f t="shared" si="47"/>
        <v>04/14/2022</v>
      </c>
      <c r="C3066" t="str">
        <f>"40.409"</f>
        <v>40.409</v>
      </c>
      <c r="D3066" s="1" t="s">
        <v>3057</v>
      </c>
      <c r="E3066" t="s">
        <v>7172</v>
      </c>
    </row>
    <row r="3067" spans="1:5" x14ac:dyDescent="0.35">
      <c r="A3067" t="str">
        <f>"2022-04-18"</f>
        <v>2022-04-18</v>
      </c>
      <c r="B3067" s="1" t="str">
        <f t="shared" si="47"/>
        <v>04/18/2022</v>
      </c>
      <c r="C3067" t="str">
        <f>"40.3792"</f>
        <v>40.3792</v>
      </c>
      <c r="D3067" s="1" t="s">
        <v>3058</v>
      </c>
      <c r="E3067" t="s">
        <v>7173</v>
      </c>
    </row>
    <row r="3068" spans="1:5" x14ac:dyDescent="0.35">
      <c r="A3068" t="str">
        <f>"2022-04-19"</f>
        <v>2022-04-19</v>
      </c>
      <c r="B3068" s="1" t="str">
        <f t="shared" si="47"/>
        <v>04/19/2022</v>
      </c>
      <c r="C3068" t="str">
        <f>"42.104"</f>
        <v>42.104</v>
      </c>
      <c r="D3068" s="1" t="s">
        <v>3059</v>
      </c>
      <c r="E3068" t="s">
        <v>7174</v>
      </c>
    </row>
    <row r="3069" spans="1:5" x14ac:dyDescent="0.35">
      <c r="A3069" t="str">
        <f>"2022-04-20"</f>
        <v>2022-04-20</v>
      </c>
      <c r="B3069" s="1" t="str">
        <f t="shared" si="47"/>
        <v>04/20/2022</v>
      </c>
      <c r="C3069" t="str">
        <f>"42.2541"</f>
        <v>42.2541</v>
      </c>
      <c r="D3069" s="1" t="s">
        <v>3060</v>
      </c>
      <c r="E3069" t="s">
        <v>7175</v>
      </c>
    </row>
    <row r="3070" spans="1:5" x14ac:dyDescent="0.35">
      <c r="A3070" t="str">
        <f>"2022-04-21"</f>
        <v>2022-04-21</v>
      </c>
      <c r="B3070" s="1" t="str">
        <f t="shared" si="47"/>
        <v>04/21/2022</v>
      </c>
      <c r="C3070" t="str">
        <f>"43.8113"</f>
        <v>43.8113</v>
      </c>
      <c r="D3070" s="1" t="s">
        <v>3061</v>
      </c>
      <c r="E3070" t="s">
        <v>7176</v>
      </c>
    </row>
    <row r="3071" spans="1:5" x14ac:dyDescent="0.35">
      <c r="A3071" t="str">
        <f>"2022-04-22"</f>
        <v>2022-04-22</v>
      </c>
      <c r="B3071" s="1" t="str">
        <f t="shared" si="47"/>
        <v>04/22/2022</v>
      </c>
      <c r="C3071" t="str">
        <f>"43.5331"</f>
        <v>43.5331</v>
      </c>
      <c r="D3071" s="1" t="s">
        <v>3062</v>
      </c>
      <c r="E3071" t="s">
        <v>7177</v>
      </c>
    </row>
    <row r="3072" spans="1:5" x14ac:dyDescent="0.35">
      <c r="A3072" t="str">
        <f>"2022-04-25"</f>
        <v>2022-04-25</v>
      </c>
      <c r="B3072" s="1" t="str">
        <f t="shared" si="47"/>
        <v>04/25/2022</v>
      </c>
      <c r="C3072" t="str">
        <f>"44.1165"</f>
        <v>44.1165</v>
      </c>
      <c r="D3072" s="1" t="s">
        <v>3063</v>
      </c>
      <c r="E3072" t="s">
        <v>7178</v>
      </c>
    </row>
    <row r="3073" spans="1:5" x14ac:dyDescent="0.35">
      <c r="A3073" t="str">
        <f>"2022-04-26"</f>
        <v>2022-04-26</v>
      </c>
      <c r="B3073" s="1" t="str">
        <f t="shared" si="47"/>
        <v>04/26/2022</v>
      </c>
      <c r="C3073" t="str">
        <f>"43.2988"</f>
        <v>43.2988</v>
      </c>
      <c r="D3073" s="1" t="s">
        <v>3064</v>
      </c>
      <c r="E3073" t="s">
        <v>7179</v>
      </c>
    </row>
    <row r="3074" spans="1:5" x14ac:dyDescent="0.35">
      <c r="A3074" t="str">
        <f>"2022-04-27"</f>
        <v>2022-04-27</v>
      </c>
      <c r="B3074" s="1" t="str">
        <f t="shared" si="47"/>
        <v>04/27/2022</v>
      </c>
      <c r="C3074" t="str">
        <f>"45.1328"</f>
        <v>45.1328</v>
      </c>
      <c r="D3074" s="1" t="s">
        <v>3065</v>
      </c>
      <c r="E3074" t="s">
        <v>7180</v>
      </c>
    </row>
    <row r="3075" spans="1:5" x14ac:dyDescent="0.35">
      <c r="A3075" t="str">
        <f>"2022-04-28"</f>
        <v>2022-04-28</v>
      </c>
      <c r="B3075" s="1" t="str">
        <f t="shared" ref="B3075:B3138" si="48">LEFT(RIGHT(A3075,5),2)&amp;"/"&amp;RIGHT(A3075,2)&amp;"/"&amp;LEFT(A3075,4)</f>
        <v>04/28/2022</v>
      </c>
      <c r="C3075" t="str">
        <f>"45.0352"</f>
        <v>45.0352</v>
      </c>
      <c r="D3075" s="1" t="s">
        <v>3066</v>
      </c>
      <c r="E3075" t="s">
        <v>7181</v>
      </c>
    </row>
    <row r="3076" spans="1:5" x14ac:dyDescent="0.35">
      <c r="A3076" t="str">
        <f>"2022-04-29"</f>
        <v>2022-04-29</v>
      </c>
      <c r="B3076" s="1" t="str">
        <f t="shared" si="48"/>
        <v>04/29/2022</v>
      </c>
      <c r="C3076" t="str">
        <f>"45.4495"</f>
        <v>45.4495</v>
      </c>
      <c r="D3076" s="1" t="s">
        <v>3067</v>
      </c>
      <c r="E3076" t="s">
        <v>7182</v>
      </c>
    </row>
    <row r="3077" spans="1:5" x14ac:dyDescent="0.35">
      <c r="A3077" t="str">
        <f>"2022-05-05"</f>
        <v>2022-05-05</v>
      </c>
      <c r="B3077" s="1" t="str">
        <f t="shared" si="48"/>
        <v>05/05/2022</v>
      </c>
      <c r="C3077" t="str">
        <f>"48.0591"</f>
        <v>48.0591</v>
      </c>
      <c r="D3077" s="1" t="s">
        <v>3068</v>
      </c>
      <c r="E3077" t="s">
        <v>7183</v>
      </c>
    </row>
    <row r="3078" spans="1:5" x14ac:dyDescent="0.35">
      <c r="A3078" t="str">
        <f>"2022-05-06"</f>
        <v>2022-05-06</v>
      </c>
      <c r="B3078" s="1" t="str">
        <f t="shared" si="48"/>
        <v>05/06/2022</v>
      </c>
      <c r="C3078" t="str">
        <f>"47.1377"</f>
        <v>47.1377</v>
      </c>
      <c r="D3078" s="1" t="s">
        <v>3069</v>
      </c>
      <c r="E3078" t="s">
        <v>7184</v>
      </c>
    </row>
    <row r="3079" spans="1:5" x14ac:dyDescent="0.35">
      <c r="A3079" t="str">
        <f>"2022-05-09"</f>
        <v>2022-05-09</v>
      </c>
      <c r="B3079" s="1" t="str">
        <f t="shared" si="48"/>
        <v>05/09/2022</v>
      </c>
      <c r="C3079" t="str">
        <f>"47.4198"</f>
        <v>47.4198</v>
      </c>
      <c r="D3079" s="1" t="s">
        <v>3070</v>
      </c>
      <c r="E3079" t="s">
        <v>7185</v>
      </c>
    </row>
    <row r="3080" spans="1:5" x14ac:dyDescent="0.35">
      <c r="A3080" t="str">
        <f>"2022-05-10"</f>
        <v>2022-05-10</v>
      </c>
      <c r="B3080" s="1" t="str">
        <f t="shared" si="48"/>
        <v>05/10/2022</v>
      </c>
      <c r="C3080" t="str">
        <f>"47.8093"</f>
        <v>47.8093</v>
      </c>
      <c r="D3080" s="1" t="s">
        <v>3071</v>
      </c>
      <c r="E3080" t="s">
        <v>7186</v>
      </c>
    </row>
    <row r="3081" spans="1:5" x14ac:dyDescent="0.35">
      <c r="A3081" t="str">
        <f>"2022-05-11"</f>
        <v>2022-05-11</v>
      </c>
      <c r="B3081" s="1" t="str">
        <f t="shared" si="48"/>
        <v>05/11/2022</v>
      </c>
      <c r="C3081" t="str">
        <f>"46.2303"</f>
        <v>46.2303</v>
      </c>
      <c r="D3081" s="1" t="s">
        <v>3072</v>
      </c>
      <c r="E3081" t="s">
        <v>7187</v>
      </c>
    </row>
    <row r="3082" spans="1:5" x14ac:dyDescent="0.35">
      <c r="A3082" t="str">
        <f>"2022-05-12"</f>
        <v>2022-05-12</v>
      </c>
      <c r="B3082" s="1" t="str">
        <f t="shared" si="48"/>
        <v>05/12/2022</v>
      </c>
      <c r="C3082" t="str">
        <f>"46.704"</f>
        <v>46.704</v>
      </c>
      <c r="D3082" s="1" t="s">
        <v>3073</v>
      </c>
      <c r="E3082" t="s">
        <v>7188</v>
      </c>
    </row>
    <row r="3083" spans="1:5" x14ac:dyDescent="0.35">
      <c r="A3083" t="str">
        <f>"2022-05-13"</f>
        <v>2022-05-13</v>
      </c>
      <c r="B3083" s="1" t="str">
        <f t="shared" si="48"/>
        <v>05/13/2022</v>
      </c>
      <c r="C3083" t="str">
        <f>"47.449"</f>
        <v>47.449</v>
      </c>
      <c r="D3083" s="1" t="s">
        <v>3074</v>
      </c>
      <c r="E3083" t="s">
        <v>7189</v>
      </c>
    </row>
    <row r="3084" spans="1:5" x14ac:dyDescent="0.35">
      <c r="A3084" t="str">
        <f>"2022-05-16"</f>
        <v>2022-05-16</v>
      </c>
      <c r="B3084" s="1" t="str">
        <f t="shared" si="48"/>
        <v>05/16/2022</v>
      </c>
      <c r="C3084" t="str">
        <f>"47.3311"</f>
        <v>47.3311</v>
      </c>
      <c r="D3084" s="1" t="s">
        <v>3075</v>
      </c>
      <c r="E3084" t="s">
        <v>7190</v>
      </c>
    </row>
    <row r="3085" spans="1:5" x14ac:dyDescent="0.35">
      <c r="A3085" t="str">
        <f>"2022-05-17"</f>
        <v>2022-05-17</v>
      </c>
      <c r="B3085" s="1" t="str">
        <f t="shared" si="48"/>
        <v>05/17/2022</v>
      </c>
      <c r="C3085" t="str">
        <f>"46.1435"</f>
        <v>46.1435</v>
      </c>
      <c r="D3085" s="1" t="s">
        <v>3076</v>
      </c>
      <c r="E3085" t="s">
        <v>7191</v>
      </c>
    </row>
    <row r="3086" spans="1:5" x14ac:dyDescent="0.35">
      <c r="A3086" t="str">
        <f>"2022-05-18"</f>
        <v>2022-05-18</v>
      </c>
      <c r="B3086" s="1" t="str">
        <f t="shared" si="48"/>
        <v>05/18/2022</v>
      </c>
      <c r="C3086" t="str">
        <f>"45.6413"</f>
        <v>45.6413</v>
      </c>
      <c r="D3086" s="1" t="s">
        <v>3077</v>
      </c>
      <c r="E3086" t="s">
        <v>7192</v>
      </c>
    </row>
    <row r="3087" spans="1:5" x14ac:dyDescent="0.35">
      <c r="A3087" t="str">
        <f>"2022-05-20"</f>
        <v>2022-05-20</v>
      </c>
      <c r="B3087" s="1" t="str">
        <f t="shared" si="48"/>
        <v>05/20/2022</v>
      </c>
      <c r="C3087" t="str">
        <f>"45.5145"</f>
        <v>45.5145</v>
      </c>
      <c r="D3087" s="1" t="s">
        <v>3078</v>
      </c>
      <c r="E3087" t="s">
        <v>6649</v>
      </c>
    </row>
    <row r="3088" spans="1:5" x14ac:dyDescent="0.35">
      <c r="A3088" t="str">
        <f>"2022-05-23"</f>
        <v>2022-05-23</v>
      </c>
      <c r="B3088" s="1" t="str">
        <f t="shared" si="48"/>
        <v>05/23/2022</v>
      </c>
      <c r="C3088" t="str">
        <f>"45.3947"</f>
        <v>45.3947</v>
      </c>
      <c r="D3088" s="1" t="s">
        <v>3079</v>
      </c>
      <c r="E3088" t="s">
        <v>7193</v>
      </c>
    </row>
    <row r="3089" spans="1:5" x14ac:dyDescent="0.35">
      <c r="A3089" t="str">
        <f>"2022-05-24"</f>
        <v>2022-05-24</v>
      </c>
      <c r="B3089" s="1" t="str">
        <f t="shared" si="48"/>
        <v>05/24/2022</v>
      </c>
      <c r="C3089" t="str">
        <f>"44.1273"</f>
        <v>44.1273</v>
      </c>
      <c r="D3089" s="1" t="s">
        <v>3080</v>
      </c>
      <c r="E3089" t="s">
        <v>7194</v>
      </c>
    </row>
    <row r="3090" spans="1:5" x14ac:dyDescent="0.35">
      <c r="A3090" t="str">
        <f>"2022-05-25"</f>
        <v>2022-05-25</v>
      </c>
      <c r="B3090" s="1" t="str">
        <f t="shared" si="48"/>
        <v>05/25/2022</v>
      </c>
      <c r="C3090" t="str">
        <f>"44.6471"</f>
        <v>44.6471</v>
      </c>
      <c r="D3090" s="1" t="s">
        <v>3081</v>
      </c>
      <c r="E3090" t="s">
        <v>7195</v>
      </c>
    </row>
    <row r="3091" spans="1:5" x14ac:dyDescent="0.35">
      <c r="A3091" t="str">
        <f>"2022-05-26"</f>
        <v>2022-05-26</v>
      </c>
      <c r="B3091" s="1" t="str">
        <f t="shared" si="48"/>
        <v>05/26/2022</v>
      </c>
      <c r="C3091" t="str">
        <f>"45.7882"</f>
        <v>45.7882</v>
      </c>
      <c r="D3091" s="1" t="s">
        <v>3082</v>
      </c>
      <c r="E3091" t="s">
        <v>7196</v>
      </c>
    </row>
    <row r="3092" spans="1:5" x14ac:dyDescent="0.35">
      <c r="A3092" t="str">
        <f>"2022-05-27"</f>
        <v>2022-05-27</v>
      </c>
      <c r="B3092" s="1" t="str">
        <f t="shared" si="48"/>
        <v>05/27/2022</v>
      </c>
      <c r="C3092" t="str">
        <f>"46.2313"</f>
        <v>46.2313</v>
      </c>
      <c r="D3092" s="1" t="s">
        <v>3083</v>
      </c>
      <c r="E3092" t="s">
        <v>7197</v>
      </c>
    </row>
    <row r="3093" spans="1:5" x14ac:dyDescent="0.35">
      <c r="A3093" t="str">
        <f>"2022-05-31"</f>
        <v>2022-05-31</v>
      </c>
      <c r="B3093" s="1" t="str">
        <f t="shared" si="48"/>
        <v>05/31/2022</v>
      </c>
      <c r="C3093" t="str">
        <f>"51.4101"</f>
        <v>51.4101</v>
      </c>
      <c r="D3093" s="1" t="s">
        <v>3084</v>
      </c>
      <c r="E3093" t="s">
        <v>7198</v>
      </c>
    </row>
    <row r="3094" spans="1:5" x14ac:dyDescent="0.35">
      <c r="A3094" t="str">
        <f>"2022-06-01"</f>
        <v>2022-06-01</v>
      </c>
      <c r="B3094" s="1" t="str">
        <f t="shared" si="48"/>
        <v>06/01/2022</v>
      </c>
      <c r="C3094" t="str">
        <f>"50.7521"</f>
        <v>50.7521</v>
      </c>
      <c r="D3094" s="1" t="s">
        <v>3085</v>
      </c>
      <c r="E3094" t="s">
        <v>7199</v>
      </c>
    </row>
    <row r="3095" spans="1:5" x14ac:dyDescent="0.35">
      <c r="A3095" t="str">
        <f>"2022-06-02"</f>
        <v>2022-06-02</v>
      </c>
      <c r="B3095" s="1" t="str">
        <f t="shared" si="48"/>
        <v>06/02/2022</v>
      </c>
      <c r="C3095" t="str">
        <f>"50.2647"</f>
        <v>50.2647</v>
      </c>
      <c r="D3095" s="1" t="s">
        <v>3086</v>
      </c>
      <c r="E3095" t="s">
        <v>7200</v>
      </c>
    </row>
    <row r="3096" spans="1:5" x14ac:dyDescent="0.35">
      <c r="A3096" t="str">
        <f>"2022-06-03"</f>
        <v>2022-06-03</v>
      </c>
      <c r="B3096" s="1" t="str">
        <f t="shared" si="48"/>
        <v>06/03/2022</v>
      </c>
      <c r="C3096" t="str">
        <f>"49.0602"</f>
        <v>49.0602</v>
      </c>
      <c r="D3096" s="1" t="s">
        <v>3087</v>
      </c>
      <c r="E3096" t="s">
        <v>7201</v>
      </c>
    </row>
    <row r="3097" spans="1:5" x14ac:dyDescent="0.35">
      <c r="A3097" t="str">
        <f>"2022-06-06"</f>
        <v>2022-06-06</v>
      </c>
      <c r="B3097" s="1" t="str">
        <f t="shared" si="48"/>
        <v>06/06/2022</v>
      </c>
      <c r="C3097" t="str">
        <f>"49.0275"</f>
        <v>49.0275</v>
      </c>
      <c r="D3097" s="1" t="s">
        <v>3088</v>
      </c>
      <c r="E3097" t="s">
        <v>7202</v>
      </c>
    </row>
    <row r="3098" spans="1:5" x14ac:dyDescent="0.35">
      <c r="A3098" t="str">
        <f>"2022-06-07"</f>
        <v>2022-06-07</v>
      </c>
      <c r="B3098" s="1" t="str">
        <f t="shared" si="48"/>
        <v>06/07/2022</v>
      </c>
      <c r="C3098" t="str">
        <f>"49.1641"</f>
        <v>49.1641</v>
      </c>
      <c r="D3098" s="1" t="s">
        <v>3089</v>
      </c>
      <c r="E3098" t="s">
        <v>7203</v>
      </c>
    </row>
    <row r="3099" spans="1:5" x14ac:dyDescent="0.35">
      <c r="A3099" t="str">
        <f>"2022-06-08"</f>
        <v>2022-06-08</v>
      </c>
      <c r="B3099" s="1" t="str">
        <f t="shared" si="48"/>
        <v>06/08/2022</v>
      </c>
      <c r="C3099" t="str">
        <f>"46.6044"</f>
        <v>46.6044</v>
      </c>
      <c r="D3099" s="1" t="s">
        <v>3090</v>
      </c>
      <c r="E3099" t="s">
        <v>7204</v>
      </c>
    </row>
    <row r="3100" spans="1:5" x14ac:dyDescent="0.35">
      <c r="A3100" t="str">
        <f>"2022-06-09"</f>
        <v>2022-06-09</v>
      </c>
      <c r="B3100" s="1" t="str">
        <f t="shared" si="48"/>
        <v>06/09/2022</v>
      </c>
      <c r="C3100" t="str">
        <f>"47.3455"</f>
        <v>47.3455</v>
      </c>
      <c r="D3100" s="1" t="s">
        <v>3091</v>
      </c>
      <c r="E3100" t="s">
        <v>7205</v>
      </c>
    </row>
    <row r="3101" spans="1:5" x14ac:dyDescent="0.35">
      <c r="A3101" t="str">
        <f>"2022-06-10"</f>
        <v>2022-06-10</v>
      </c>
      <c r="B3101" s="1" t="str">
        <f t="shared" si="48"/>
        <v>06/10/2022</v>
      </c>
      <c r="C3101" t="str">
        <f>"45.0204"</f>
        <v>45.0204</v>
      </c>
      <c r="D3101" s="1" t="s">
        <v>3092</v>
      </c>
      <c r="E3101" t="s">
        <v>7206</v>
      </c>
    </row>
    <row r="3102" spans="1:5" x14ac:dyDescent="0.35">
      <c r="A3102" t="str">
        <f>"2022-06-13"</f>
        <v>2022-06-13</v>
      </c>
      <c r="B3102" s="1" t="str">
        <f t="shared" si="48"/>
        <v>06/13/2022</v>
      </c>
      <c r="C3102" t="str">
        <f>"46.4031"</f>
        <v>46.4031</v>
      </c>
      <c r="D3102" s="1" t="s">
        <v>3093</v>
      </c>
      <c r="E3102" t="s">
        <v>7207</v>
      </c>
    </row>
    <row r="3103" spans="1:5" x14ac:dyDescent="0.35">
      <c r="A3103" t="str">
        <f>"2022-06-14"</f>
        <v>2022-06-14</v>
      </c>
      <c r="B3103" s="1" t="str">
        <f t="shared" si="48"/>
        <v>06/14/2022</v>
      </c>
      <c r="C3103" t="str">
        <f>"46.6427"</f>
        <v>46.6427</v>
      </c>
      <c r="D3103" s="1" t="s">
        <v>3094</v>
      </c>
      <c r="E3103" t="s">
        <v>7208</v>
      </c>
    </row>
    <row r="3104" spans="1:5" x14ac:dyDescent="0.35">
      <c r="A3104" t="str">
        <f>"2022-06-15"</f>
        <v>2022-06-15</v>
      </c>
      <c r="B3104" s="1" t="str">
        <f t="shared" si="48"/>
        <v>06/15/2022</v>
      </c>
      <c r="C3104" t="str">
        <f>"48.1109"</f>
        <v>48.1109</v>
      </c>
      <c r="D3104" s="1" t="s">
        <v>3095</v>
      </c>
      <c r="E3104" t="s">
        <v>7209</v>
      </c>
    </row>
    <row r="3105" spans="1:5" x14ac:dyDescent="0.35">
      <c r="A3105" t="str">
        <f>"2022-06-16"</f>
        <v>2022-06-16</v>
      </c>
      <c r="B3105" s="1" t="str">
        <f t="shared" si="48"/>
        <v>06/16/2022</v>
      </c>
      <c r="C3105" t="str">
        <f>"46.2839"</f>
        <v>46.2839</v>
      </c>
      <c r="D3105" s="1" t="s">
        <v>3096</v>
      </c>
      <c r="E3105" t="s">
        <v>7210</v>
      </c>
    </row>
    <row r="3106" spans="1:5" x14ac:dyDescent="0.35">
      <c r="A3106" t="str">
        <f>"2022-06-17"</f>
        <v>2022-06-17</v>
      </c>
      <c r="B3106" s="1" t="str">
        <f t="shared" si="48"/>
        <v>06/17/2022</v>
      </c>
      <c r="C3106" t="str">
        <f>"47.1995"</f>
        <v>47.1995</v>
      </c>
      <c r="D3106" s="1" t="s">
        <v>3097</v>
      </c>
      <c r="E3106" t="s">
        <v>7211</v>
      </c>
    </row>
    <row r="3107" spans="1:5" x14ac:dyDescent="0.35">
      <c r="A3107" t="str">
        <f>"2022-06-21"</f>
        <v>2022-06-21</v>
      </c>
      <c r="B3107" s="1" t="str">
        <f t="shared" si="48"/>
        <v>06/21/2022</v>
      </c>
      <c r="C3107" t="str">
        <f>"50.8257"</f>
        <v>50.8257</v>
      </c>
      <c r="D3107" s="1" t="s">
        <v>3098</v>
      </c>
      <c r="E3107" t="s">
        <v>6600</v>
      </c>
    </row>
    <row r="3108" spans="1:5" x14ac:dyDescent="0.35">
      <c r="A3108" t="str">
        <f>"2022-06-22"</f>
        <v>2022-06-22</v>
      </c>
      <c r="B3108" s="1" t="str">
        <f t="shared" si="48"/>
        <v>06/22/2022</v>
      </c>
      <c r="C3108" t="str">
        <f>"50.8815"</f>
        <v>50.8815</v>
      </c>
      <c r="D3108" s="1" t="s">
        <v>3099</v>
      </c>
      <c r="E3108" t="s">
        <v>7212</v>
      </c>
    </row>
    <row r="3109" spans="1:5" x14ac:dyDescent="0.35">
      <c r="A3109" t="str">
        <f>"2022-06-23"</f>
        <v>2022-06-23</v>
      </c>
      <c r="B3109" s="1" t="str">
        <f t="shared" si="48"/>
        <v>06/23/2022</v>
      </c>
      <c r="C3109" t="str">
        <f>"49.6577"</f>
        <v>49.6577</v>
      </c>
      <c r="D3109" s="1" t="s">
        <v>3100</v>
      </c>
      <c r="E3109" t="s">
        <v>7213</v>
      </c>
    </row>
    <row r="3110" spans="1:5" x14ac:dyDescent="0.35">
      <c r="A3110" t="str">
        <f>"2022-06-24"</f>
        <v>2022-06-24</v>
      </c>
      <c r="B3110" s="1" t="str">
        <f t="shared" si="48"/>
        <v>06/24/2022</v>
      </c>
      <c r="C3110" t="str">
        <f>"49.332"</f>
        <v>49.332</v>
      </c>
      <c r="D3110" s="1" t="s">
        <v>3101</v>
      </c>
      <c r="E3110" t="s">
        <v>7214</v>
      </c>
    </row>
    <row r="3111" spans="1:5" x14ac:dyDescent="0.35">
      <c r="A3111" t="str">
        <f>"2022-06-27"</f>
        <v>2022-06-27</v>
      </c>
      <c r="B3111" s="1" t="str">
        <f t="shared" si="48"/>
        <v>06/27/2022</v>
      </c>
      <c r="C3111" t="str">
        <f>"51.0323"</f>
        <v>51.0323</v>
      </c>
      <c r="D3111" s="1" t="s">
        <v>3102</v>
      </c>
      <c r="E3111" t="s">
        <v>7215</v>
      </c>
    </row>
    <row r="3112" spans="1:5" x14ac:dyDescent="0.35">
      <c r="A3112" t="str">
        <f>"2022-06-28"</f>
        <v>2022-06-28</v>
      </c>
      <c r="B3112" s="1" t="str">
        <f t="shared" si="48"/>
        <v>06/28/2022</v>
      </c>
      <c r="C3112" t="str">
        <f>"49.6338"</f>
        <v>49.6338</v>
      </c>
      <c r="D3112" s="1" t="s">
        <v>3103</v>
      </c>
      <c r="E3112" t="s">
        <v>7216</v>
      </c>
    </row>
    <row r="3113" spans="1:5" x14ac:dyDescent="0.35">
      <c r="A3113" t="str">
        <f>"2022-06-29"</f>
        <v>2022-06-29</v>
      </c>
      <c r="B3113" s="1" t="str">
        <f t="shared" si="48"/>
        <v>06/29/2022</v>
      </c>
      <c r="C3113" t="str">
        <f>"47.6375"</f>
        <v>47.6375</v>
      </c>
      <c r="D3113" s="1" t="s">
        <v>3104</v>
      </c>
      <c r="E3113" t="s">
        <v>7217</v>
      </c>
    </row>
    <row r="3114" spans="1:5" x14ac:dyDescent="0.35">
      <c r="A3114" t="str">
        <f>"2022-06-30"</f>
        <v>2022-06-30</v>
      </c>
      <c r="B3114" s="1" t="str">
        <f t="shared" si="48"/>
        <v>06/30/2022</v>
      </c>
      <c r="C3114" t="str">
        <f>"48.5232"</f>
        <v>48.5232</v>
      </c>
      <c r="D3114" s="1" t="s">
        <v>3105</v>
      </c>
      <c r="E3114" t="s">
        <v>7218</v>
      </c>
    </row>
    <row r="3115" spans="1:5" x14ac:dyDescent="0.35">
      <c r="A3115" t="str">
        <f>"2022-07-01"</f>
        <v>2022-07-01</v>
      </c>
      <c r="B3115" s="1" t="str">
        <f t="shared" si="48"/>
        <v>07/01/2022</v>
      </c>
      <c r="C3115" t="str">
        <f>"51.0674"</f>
        <v>51.0674</v>
      </c>
      <c r="D3115" s="1" t="s">
        <v>3106</v>
      </c>
      <c r="E3115" t="s">
        <v>7219</v>
      </c>
    </row>
    <row r="3116" spans="1:5" x14ac:dyDescent="0.35">
      <c r="A3116" t="str">
        <f>"2022-07-05"</f>
        <v>2022-07-05</v>
      </c>
      <c r="B3116" s="1" t="str">
        <f t="shared" si="48"/>
        <v>07/05/2022</v>
      </c>
      <c r="C3116" t="str">
        <f>"49.4537"</f>
        <v>49.4537</v>
      </c>
      <c r="D3116" s="1" t="s">
        <v>3107</v>
      </c>
      <c r="E3116" t="s">
        <v>7220</v>
      </c>
    </row>
    <row r="3117" spans="1:5" x14ac:dyDescent="0.35">
      <c r="A3117" t="str">
        <f>"2022-07-06"</f>
        <v>2022-07-06</v>
      </c>
      <c r="B3117" s="1" t="str">
        <f t="shared" si="48"/>
        <v>07/06/2022</v>
      </c>
      <c r="C3117" t="str">
        <f>"51.0593"</f>
        <v>51.0593</v>
      </c>
      <c r="D3117" s="1" t="s">
        <v>3108</v>
      </c>
      <c r="E3117" t="s">
        <v>7221</v>
      </c>
    </row>
    <row r="3118" spans="1:5" x14ac:dyDescent="0.35">
      <c r="A3118" t="str">
        <f>"2022-07-07"</f>
        <v>2022-07-07</v>
      </c>
      <c r="B3118" s="1" t="str">
        <f t="shared" si="48"/>
        <v>07/07/2022</v>
      </c>
      <c r="C3118" t="str">
        <f>"51.1571"</f>
        <v>51.1571</v>
      </c>
      <c r="D3118" s="1" t="s">
        <v>3109</v>
      </c>
      <c r="E3118" t="s">
        <v>7222</v>
      </c>
    </row>
    <row r="3119" spans="1:5" x14ac:dyDescent="0.35">
      <c r="A3119" t="str">
        <f>"2022-07-08"</f>
        <v>2022-07-08</v>
      </c>
      <c r="B3119" s="1" t="str">
        <f t="shared" si="48"/>
        <v>07/08/2022</v>
      </c>
      <c r="C3119" t="str">
        <f>"51.2924"</f>
        <v>51.2924</v>
      </c>
      <c r="D3119" s="1" t="s">
        <v>3110</v>
      </c>
      <c r="E3119" t="s">
        <v>7223</v>
      </c>
    </row>
    <row r="3120" spans="1:5" x14ac:dyDescent="0.35">
      <c r="A3120" t="str">
        <f>"2022-07-13"</f>
        <v>2022-07-13</v>
      </c>
      <c r="B3120" s="1" t="str">
        <f t="shared" si="48"/>
        <v>07/13/2022</v>
      </c>
      <c r="C3120" t="str">
        <f>"51.0645"</f>
        <v>51.0645</v>
      </c>
      <c r="D3120" s="1" t="s">
        <v>3111</v>
      </c>
      <c r="E3120" t="s">
        <v>7224</v>
      </c>
    </row>
    <row r="3121" spans="1:5" x14ac:dyDescent="0.35">
      <c r="A3121" t="str">
        <f>"2022-07-14"</f>
        <v>2022-07-14</v>
      </c>
      <c r="B3121" s="1" t="str">
        <f t="shared" si="48"/>
        <v>07/14/2022</v>
      </c>
      <c r="C3121" t="str">
        <f>"50.2437"</f>
        <v>50.2437</v>
      </c>
      <c r="D3121" s="1" t="s">
        <v>3112</v>
      </c>
      <c r="E3121" t="s">
        <v>7225</v>
      </c>
    </row>
    <row r="3122" spans="1:5" x14ac:dyDescent="0.35">
      <c r="A3122" t="str">
        <f>"2022-07-18"</f>
        <v>2022-07-18</v>
      </c>
      <c r="B3122" s="1" t="str">
        <f t="shared" si="48"/>
        <v>07/18/2022</v>
      </c>
      <c r="C3122" t="str">
        <f>"52.4534"</f>
        <v>52.4534</v>
      </c>
      <c r="D3122" s="1" t="s">
        <v>3113</v>
      </c>
      <c r="E3122" t="s">
        <v>7226</v>
      </c>
    </row>
    <row r="3123" spans="1:5" x14ac:dyDescent="0.35">
      <c r="A3123" t="str">
        <f>"2022-07-19"</f>
        <v>2022-07-19</v>
      </c>
      <c r="B3123" s="1" t="str">
        <f t="shared" si="48"/>
        <v>07/19/2022</v>
      </c>
      <c r="C3123" t="str">
        <f>"53.231"</f>
        <v>53.231</v>
      </c>
      <c r="D3123" s="1" t="s">
        <v>3114</v>
      </c>
      <c r="E3123" t="s">
        <v>7227</v>
      </c>
    </row>
    <row r="3124" spans="1:5" x14ac:dyDescent="0.35">
      <c r="A3124" t="str">
        <f>"2022-07-20"</f>
        <v>2022-07-20</v>
      </c>
      <c r="B3124" s="1" t="str">
        <f t="shared" si="48"/>
        <v>07/20/2022</v>
      </c>
      <c r="C3124" t="str">
        <f>"53.5759"</f>
        <v>53.5759</v>
      </c>
      <c r="D3124" s="1" t="s">
        <v>3115</v>
      </c>
      <c r="E3124" t="s">
        <v>7228</v>
      </c>
    </row>
    <row r="3125" spans="1:5" x14ac:dyDescent="0.35">
      <c r="A3125" t="str">
        <f>"2022-07-21"</f>
        <v>2022-07-21</v>
      </c>
      <c r="B3125" s="1" t="str">
        <f t="shared" si="48"/>
        <v>07/21/2022</v>
      </c>
      <c r="C3125" t="str">
        <f>"53.2584"</f>
        <v>53.2584</v>
      </c>
      <c r="D3125" s="1" t="s">
        <v>3116</v>
      </c>
      <c r="E3125" t="s">
        <v>7229</v>
      </c>
    </row>
    <row r="3126" spans="1:5" x14ac:dyDescent="0.35">
      <c r="A3126" t="str">
        <f>"2022-07-22"</f>
        <v>2022-07-22</v>
      </c>
      <c r="B3126" s="1" t="str">
        <f t="shared" si="48"/>
        <v>07/22/2022</v>
      </c>
      <c r="C3126" t="str">
        <f>"50.8652"</f>
        <v>50.8652</v>
      </c>
      <c r="D3126" s="1" t="s">
        <v>3117</v>
      </c>
      <c r="E3126" t="s">
        <v>7230</v>
      </c>
    </row>
    <row r="3127" spans="1:5" x14ac:dyDescent="0.35">
      <c r="A3127" t="str">
        <f>"2022-07-25"</f>
        <v>2022-07-25</v>
      </c>
      <c r="B3127" s="1" t="str">
        <f t="shared" si="48"/>
        <v>07/25/2022</v>
      </c>
      <c r="C3127" t="str">
        <f>"50.4792"</f>
        <v>50.4792</v>
      </c>
      <c r="D3127" s="1" t="s">
        <v>3118</v>
      </c>
      <c r="E3127" t="s">
        <v>7231</v>
      </c>
    </row>
    <row r="3128" spans="1:5" x14ac:dyDescent="0.35">
      <c r="A3128" t="str">
        <f>"2022-07-26"</f>
        <v>2022-07-26</v>
      </c>
      <c r="B3128" s="1" t="str">
        <f t="shared" si="48"/>
        <v>07/26/2022</v>
      </c>
      <c r="C3128" t="str">
        <f>"49.7652"</f>
        <v>49.7652</v>
      </c>
      <c r="D3128" s="1" t="s">
        <v>3119</v>
      </c>
      <c r="E3128" t="s">
        <v>7232</v>
      </c>
    </row>
    <row r="3129" spans="1:5" x14ac:dyDescent="0.35">
      <c r="A3129" t="str">
        <f>"2022-07-27"</f>
        <v>2022-07-27</v>
      </c>
      <c r="B3129" s="1" t="str">
        <f t="shared" si="48"/>
        <v>07/27/2022</v>
      </c>
      <c r="C3129" t="str">
        <f>"50.3143"</f>
        <v>50.3143</v>
      </c>
      <c r="D3129" s="1" t="s">
        <v>3120</v>
      </c>
      <c r="E3129" t="s">
        <v>7233</v>
      </c>
    </row>
    <row r="3130" spans="1:5" x14ac:dyDescent="0.35">
      <c r="A3130" t="str">
        <f>"2022-07-28"</f>
        <v>2022-07-28</v>
      </c>
      <c r="B3130" s="1" t="str">
        <f t="shared" si="48"/>
        <v>07/28/2022</v>
      </c>
      <c r="C3130" t="str">
        <f>"49.4301"</f>
        <v>49.4301</v>
      </c>
      <c r="D3130" s="1" t="s">
        <v>3121</v>
      </c>
      <c r="E3130" t="s">
        <v>7234</v>
      </c>
    </row>
    <row r="3131" spans="1:5" x14ac:dyDescent="0.35">
      <c r="A3131" t="str">
        <f>"2022-07-29"</f>
        <v>2022-07-29</v>
      </c>
      <c r="B3131" s="1" t="str">
        <f t="shared" si="48"/>
        <v>07/29/2022</v>
      </c>
      <c r="C3131" t="str">
        <f>"49.5523"</f>
        <v>49.5523</v>
      </c>
      <c r="D3131" s="1" t="s">
        <v>3122</v>
      </c>
      <c r="E3131" t="s">
        <v>7235</v>
      </c>
    </row>
    <row r="3132" spans="1:5" x14ac:dyDescent="0.35">
      <c r="A3132" t="str">
        <f>"2022-08-01"</f>
        <v>2022-08-01</v>
      </c>
      <c r="B3132" s="1" t="str">
        <f t="shared" si="48"/>
        <v>08/01/2022</v>
      </c>
      <c r="C3132" t="str">
        <f>"50.5231"</f>
        <v>50.5231</v>
      </c>
      <c r="D3132" s="1" t="s">
        <v>3123</v>
      </c>
      <c r="E3132" t="s">
        <v>7236</v>
      </c>
    </row>
    <row r="3133" spans="1:5" x14ac:dyDescent="0.35">
      <c r="A3133" t="str">
        <f>"2022-08-02"</f>
        <v>2022-08-02</v>
      </c>
      <c r="B3133" s="1" t="str">
        <f t="shared" si="48"/>
        <v>08/02/2022</v>
      </c>
      <c r="C3133" t="str">
        <f>"51.3792"</f>
        <v>51.3792</v>
      </c>
      <c r="D3133" s="1" t="s">
        <v>3124</v>
      </c>
      <c r="E3133" t="s">
        <v>7237</v>
      </c>
    </row>
    <row r="3134" spans="1:5" x14ac:dyDescent="0.35">
      <c r="A3134" t="str">
        <f>"2022-08-03"</f>
        <v>2022-08-03</v>
      </c>
      <c r="B3134" s="1" t="str">
        <f t="shared" si="48"/>
        <v>08/03/2022</v>
      </c>
      <c r="C3134" t="str">
        <f>"54.232"</f>
        <v>54.232</v>
      </c>
      <c r="D3134" s="1" t="s">
        <v>3125</v>
      </c>
      <c r="E3134" t="s">
        <v>7238</v>
      </c>
    </row>
    <row r="3135" spans="1:5" x14ac:dyDescent="0.35">
      <c r="A3135" t="str">
        <f>"2022-08-04"</f>
        <v>2022-08-04</v>
      </c>
      <c r="B3135" s="1" t="str">
        <f t="shared" si="48"/>
        <v>08/04/2022</v>
      </c>
      <c r="C3135" t="str">
        <f>"53.635"</f>
        <v>53.635</v>
      </c>
      <c r="D3135" s="1" t="s">
        <v>3126</v>
      </c>
      <c r="E3135" t="s">
        <v>7239</v>
      </c>
    </row>
    <row r="3136" spans="1:5" x14ac:dyDescent="0.35">
      <c r="A3136" t="str">
        <f>"2022-08-05"</f>
        <v>2022-08-05</v>
      </c>
      <c r="B3136" s="1" t="str">
        <f t="shared" si="48"/>
        <v>08/05/2022</v>
      </c>
      <c r="C3136" t="str">
        <f>"56.9095"</f>
        <v>56.9095</v>
      </c>
      <c r="D3136" s="1" t="s">
        <v>3127</v>
      </c>
      <c r="E3136" t="s">
        <v>7240</v>
      </c>
    </row>
    <row r="3137" spans="1:5" x14ac:dyDescent="0.35">
      <c r="A3137" t="str">
        <f>"2022-08-08"</f>
        <v>2022-08-08</v>
      </c>
      <c r="B3137" s="1" t="str">
        <f t="shared" si="48"/>
        <v>08/08/2022</v>
      </c>
      <c r="C3137" t="str">
        <f>"57.0576"</f>
        <v>57.0576</v>
      </c>
      <c r="D3137" s="1" t="s">
        <v>3128</v>
      </c>
      <c r="E3137" t="s">
        <v>7241</v>
      </c>
    </row>
    <row r="3138" spans="1:5" x14ac:dyDescent="0.35">
      <c r="A3138" t="str">
        <f>"2022-08-09"</f>
        <v>2022-08-09</v>
      </c>
      <c r="B3138" s="1" t="str">
        <f t="shared" si="48"/>
        <v>08/09/2022</v>
      </c>
      <c r="C3138" t="str">
        <f>"56.639"</f>
        <v>56.639</v>
      </c>
      <c r="D3138" s="1" t="s">
        <v>3129</v>
      </c>
      <c r="E3138" t="s">
        <v>7242</v>
      </c>
    </row>
    <row r="3139" spans="1:5" x14ac:dyDescent="0.35">
      <c r="A3139" t="str">
        <f>"2022-08-10"</f>
        <v>2022-08-10</v>
      </c>
      <c r="B3139" s="1" t="str">
        <f t="shared" ref="B3139:B3202" si="49">LEFT(RIGHT(A3139,5),2)&amp;"/"&amp;RIGHT(A3139,2)&amp;"/"&amp;LEFT(A3139,4)</f>
        <v>08/10/2022</v>
      </c>
      <c r="C3139" t="str">
        <f>"58.13"</f>
        <v>58.13</v>
      </c>
      <c r="D3139" s="1" t="s">
        <v>3130</v>
      </c>
      <c r="E3139" t="s">
        <v>7243</v>
      </c>
    </row>
    <row r="3140" spans="1:5" x14ac:dyDescent="0.35">
      <c r="A3140" t="str">
        <f>"2022-08-11"</f>
        <v>2022-08-11</v>
      </c>
      <c r="B3140" s="1" t="str">
        <f t="shared" si="49"/>
        <v>08/11/2022</v>
      </c>
      <c r="C3140" t="str">
        <f>"59.7132"</f>
        <v>59.7132</v>
      </c>
      <c r="D3140" s="1" t="s">
        <v>3131</v>
      </c>
      <c r="E3140" t="s">
        <v>7244</v>
      </c>
    </row>
    <row r="3141" spans="1:5" x14ac:dyDescent="0.35">
      <c r="A3141" t="str">
        <f>"2022-08-12"</f>
        <v>2022-08-12</v>
      </c>
      <c r="B3141" s="1" t="str">
        <f t="shared" si="49"/>
        <v>08/12/2022</v>
      </c>
      <c r="C3141" t="str">
        <f>"60.1197"</f>
        <v>60.1197</v>
      </c>
      <c r="D3141" s="1" t="s">
        <v>3132</v>
      </c>
      <c r="E3141" t="s">
        <v>7245</v>
      </c>
    </row>
    <row r="3142" spans="1:5" x14ac:dyDescent="0.35">
      <c r="A3142" t="str">
        <f>"2022-08-15"</f>
        <v>2022-08-15</v>
      </c>
      <c r="B3142" s="1" t="str">
        <f t="shared" si="49"/>
        <v>08/15/2022</v>
      </c>
      <c r="C3142" t="str">
        <f>"61.8988"</f>
        <v>61.8988</v>
      </c>
      <c r="D3142" s="1" t="s">
        <v>3133</v>
      </c>
      <c r="E3142" t="s">
        <v>7246</v>
      </c>
    </row>
    <row r="3143" spans="1:5" x14ac:dyDescent="0.35">
      <c r="A3143" t="str">
        <f>"2022-08-16"</f>
        <v>2022-08-16</v>
      </c>
      <c r="B3143" s="1" t="str">
        <f t="shared" si="49"/>
        <v>08/16/2022</v>
      </c>
      <c r="C3143" t="str">
        <f>"66.2967"</f>
        <v>66.2967</v>
      </c>
      <c r="D3143" s="1" t="s">
        <v>3134</v>
      </c>
      <c r="E3143" t="s">
        <v>7247</v>
      </c>
    </row>
    <row r="3144" spans="1:5" x14ac:dyDescent="0.35">
      <c r="A3144" t="str">
        <f>"2022-08-17"</f>
        <v>2022-08-17</v>
      </c>
      <c r="B3144" s="1" t="str">
        <f t="shared" si="49"/>
        <v>08/17/2022</v>
      </c>
      <c r="C3144" t="str">
        <f>"67.7914"</f>
        <v>67.7914</v>
      </c>
      <c r="D3144" s="1" t="s">
        <v>3135</v>
      </c>
      <c r="E3144" t="s">
        <v>7248</v>
      </c>
    </row>
    <row r="3145" spans="1:5" x14ac:dyDescent="0.35">
      <c r="A3145" t="str">
        <f>"2022-08-18"</f>
        <v>2022-08-18</v>
      </c>
      <c r="B3145" s="1" t="str">
        <f t="shared" si="49"/>
        <v>08/18/2022</v>
      </c>
      <c r="C3145" t="str">
        <f>"68.7796"</f>
        <v>68.7796</v>
      </c>
      <c r="D3145" s="1" t="s">
        <v>3136</v>
      </c>
      <c r="E3145" t="s">
        <v>7249</v>
      </c>
    </row>
    <row r="3146" spans="1:5" x14ac:dyDescent="0.35">
      <c r="A3146" t="str">
        <f>"2022-08-19"</f>
        <v>2022-08-19</v>
      </c>
      <c r="B3146" s="1" t="str">
        <f t="shared" si="49"/>
        <v>08/19/2022</v>
      </c>
      <c r="C3146" t="str">
        <f>"67.4433"</f>
        <v>67.4433</v>
      </c>
      <c r="D3146" s="1" t="s">
        <v>3137</v>
      </c>
      <c r="E3146" t="s">
        <v>7250</v>
      </c>
    </row>
    <row r="3147" spans="1:5" x14ac:dyDescent="0.35">
      <c r="A3147" t="str">
        <f>"2022-08-22"</f>
        <v>2022-08-22</v>
      </c>
      <c r="B3147" s="1" t="str">
        <f t="shared" si="49"/>
        <v>08/22/2022</v>
      </c>
      <c r="C3147" t="str">
        <f>"67.1868"</f>
        <v>67.1868</v>
      </c>
      <c r="D3147" s="1" t="s">
        <v>3138</v>
      </c>
      <c r="E3147" t="s">
        <v>7251</v>
      </c>
    </row>
    <row r="3148" spans="1:5" x14ac:dyDescent="0.35">
      <c r="A3148" t="str">
        <f>"2022-08-23"</f>
        <v>2022-08-23</v>
      </c>
      <c r="B3148" s="1" t="str">
        <f t="shared" si="49"/>
        <v>08/23/2022</v>
      </c>
      <c r="C3148" t="str">
        <f>"66.7319"</f>
        <v>66.7319</v>
      </c>
      <c r="D3148" s="1" t="s">
        <v>3139</v>
      </c>
      <c r="E3148" t="s">
        <v>7252</v>
      </c>
    </row>
    <row r="3149" spans="1:5" x14ac:dyDescent="0.35">
      <c r="A3149" t="str">
        <f>"2022-08-24"</f>
        <v>2022-08-24</v>
      </c>
      <c r="B3149" s="1" t="str">
        <f t="shared" si="49"/>
        <v>08/24/2022</v>
      </c>
      <c r="C3149" t="str">
        <f>"67.4184"</f>
        <v>67.4184</v>
      </c>
      <c r="D3149" s="1" t="s">
        <v>3140</v>
      </c>
      <c r="E3149" t="s">
        <v>7253</v>
      </c>
    </row>
    <row r="3150" spans="1:5" x14ac:dyDescent="0.35">
      <c r="A3150" t="str">
        <f>"2022-08-25"</f>
        <v>2022-08-25</v>
      </c>
      <c r="B3150" s="1" t="str">
        <f t="shared" si="49"/>
        <v>08/25/2022</v>
      </c>
      <c r="C3150" t="str">
        <f>"68.5474"</f>
        <v>68.5474</v>
      </c>
      <c r="D3150" s="1" t="s">
        <v>3141</v>
      </c>
      <c r="E3150" t="s">
        <v>7254</v>
      </c>
    </row>
    <row r="3151" spans="1:5" x14ac:dyDescent="0.35">
      <c r="A3151" t="str">
        <f>"2022-08-26"</f>
        <v>2022-08-26</v>
      </c>
      <c r="B3151" s="1" t="str">
        <f t="shared" si="49"/>
        <v>08/26/2022</v>
      </c>
      <c r="C3151" t="str">
        <f>"68.7405"</f>
        <v>68.7405</v>
      </c>
      <c r="D3151" s="1" t="s">
        <v>3142</v>
      </c>
      <c r="E3151" t="s">
        <v>7255</v>
      </c>
    </row>
    <row r="3152" spans="1:5" x14ac:dyDescent="0.35">
      <c r="A3152" t="str">
        <f>"2022-08-29"</f>
        <v>2022-08-29</v>
      </c>
      <c r="B3152" s="1" t="str">
        <f t="shared" si="49"/>
        <v>08/29/2022</v>
      </c>
      <c r="C3152" t="str">
        <f>"69.4536"</f>
        <v>69.4536</v>
      </c>
      <c r="D3152" s="1" t="s">
        <v>3143</v>
      </c>
      <c r="E3152" t="s">
        <v>7256</v>
      </c>
    </row>
    <row r="3153" spans="1:5" x14ac:dyDescent="0.35">
      <c r="A3153" t="str">
        <f>"2022-08-31"</f>
        <v>2022-08-31</v>
      </c>
      <c r="B3153" s="1" t="str">
        <f t="shared" si="49"/>
        <v>08/31/2022</v>
      </c>
      <c r="C3153" t="str">
        <f>"73.137"</f>
        <v>73.137</v>
      </c>
      <c r="D3153" s="1" t="s">
        <v>3144</v>
      </c>
      <c r="E3153" t="s">
        <v>7257</v>
      </c>
    </row>
    <row r="3154" spans="1:5" x14ac:dyDescent="0.35">
      <c r="A3154" t="str">
        <f>"2022-09-01"</f>
        <v>2022-09-01</v>
      </c>
      <c r="B3154" s="1" t="str">
        <f t="shared" si="49"/>
        <v>09/01/2022</v>
      </c>
      <c r="C3154" t="str">
        <f>"71.6615"</f>
        <v>71.6615</v>
      </c>
      <c r="D3154" s="1" t="s">
        <v>3145</v>
      </c>
      <c r="E3154" t="s">
        <v>7258</v>
      </c>
    </row>
    <row r="3155" spans="1:5" x14ac:dyDescent="0.35">
      <c r="A3155" t="str">
        <f>"2022-09-02"</f>
        <v>2022-09-02</v>
      </c>
      <c r="B3155" s="1" t="str">
        <f t="shared" si="49"/>
        <v>09/02/2022</v>
      </c>
      <c r="C3155" t="str">
        <f>"71.7377"</f>
        <v>71.7377</v>
      </c>
      <c r="D3155" s="1" t="s">
        <v>3146</v>
      </c>
      <c r="E3155" t="s">
        <v>7259</v>
      </c>
    </row>
    <row r="3156" spans="1:5" x14ac:dyDescent="0.35">
      <c r="A3156" t="str">
        <f>"2022-09-06"</f>
        <v>2022-09-06</v>
      </c>
      <c r="B3156" s="1" t="str">
        <f t="shared" si="49"/>
        <v>09/06/2022</v>
      </c>
      <c r="C3156" t="str">
        <f>"73.9643"</f>
        <v>73.9643</v>
      </c>
      <c r="D3156" s="1" t="s">
        <v>3147</v>
      </c>
      <c r="E3156" t="s">
        <v>7260</v>
      </c>
    </row>
    <row r="3157" spans="1:5" x14ac:dyDescent="0.35">
      <c r="A3157" t="str">
        <f>"2022-09-07"</f>
        <v>2022-09-07</v>
      </c>
      <c r="B3157" s="1" t="str">
        <f t="shared" si="49"/>
        <v>09/07/2022</v>
      </c>
      <c r="C3157" t="str">
        <f>"74.3179"</f>
        <v>74.3179</v>
      </c>
      <c r="D3157" s="1" t="s">
        <v>3148</v>
      </c>
      <c r="E3157" t="s">
        <v>7261</v>
      </c>
    </row>
    <row r="3158" spans="1:5" x14ac:dyDescent="0.35">
      <c r="A3158" t="str">
        <f>"2022-09-08"</f>
        <v>2022-09-08</v>
      </c>
      <c r="B3158" s="1" t="str">
        <f t="shared" si="49"/>
        <v>09/08/2022</v>
      </c>
      <c r="C3158" t="str">
        <f>"72.957"</f>
        <v>72.957</v>
      </c>
      <c r="D3158" s="1" t="s">
        <v>3149</v>
      </c>
      <c r="E3158" t="s">
        <v>7262</v>
      </c>
    </row>
    <row r="3159" spans="1:5" x14ac:dyDescent="0.35">
      <c r="A3159" t="str">
        <f>"2022-09-09"</f>
        <v>2022-09-09</v>
      </c>
      <c r="B3159" s="1" t="str">
        <f t="shared" si="49"/>
        <v>09/09/2022</v>
      </c>
      <c r="C3159" t="str">
        <f>"72.9363"</f>
        <v>72.9363</v>
      </c>
      <c r="D3159" s="1" t="s">
        <v>3150</v>
      </c>
      <c r="E3159" t="s">
        <v>7263</v>
      </c>
    </row>
    <row r="3160" spans="1:5" x14ac:dyDescent="0.35">
      <c r="A3160" t="str">
        <f>"2022-09-12"</f>
        <v>2022-09-12</v>
      </c>
      <c r="B3160" s="1" t="str">
        <f t="shared" si="49"/>
        <v>09/12/2022</v>
      </c>
      <c r="C3160" t="str">
        <f>"74.0338"</f>
        <v>74.0338</v>
      </c>
      <c r="D3160" s="1" t="s">
        <v>3151</v>
      </c>
      <c r="E3160" t="s">
        <v>7264</v>
      </c>
    </row>
    <row r="3161" spans="1:5" x14ac:dyDescent="0.35">
      <c r="A3161" t="str">
        <f>"2022-09-13"</f>
        <v>2022-09-13</v>
      </c>
      <c r="B3161" s="1" t="str">
        <f t="shared" si="49"/>
        <v>09/13/2022</v>
      </c>
      <c r="C3161" t="str">
        <f>"71.1781"</f>
        <v>71.1781</v>
      </c>
      <c r="D3161" s="1" t="s">
        <v>3152</v>
      </c>
      <c r="E3161" t="s">
        <v>7265</v>
      </c>
    </row>
    <row r="3162" spans="1:5" x14ac:dyDescent="0.35">
      <c r="A3162" t="str">
        <f>"2022-09-14"</f>
        <v>2022-09-14</v>
      </c>
      <c r="B3162" s="1" t="str">
        <f t="shared" si="49"/>
        <v>09/14/2022</v>
      </c>
      <c r="C3162" t="str">
        <f>"74.6564"</f>
        <v>74.6564</v>
      </c>
      <c r="D3162" s="1" t="s">
        <v>3153</v>
      </c>
      <c r="E3162" t="s">
        <v>7266</v>
      </c>
    </row>
    <row r="3163" spans="1:5" x14ac:dyDescent="0.35">
      <c r="A3163" t="str">
        <f>"2022-09-15"</f>
        <v>2022-09-15</v>
      </c>
      <c r="B3163" s="1" t="str">
        <f t="shared" si="49"/>
        <v>09/15/2022</v>
      </c>
      <c r="C3163" t="str">
        <f>"75.9692"</f>
        <v>75.9692</v>
      </c>
      <c r="D3163" s="1" t="s">
        <v>3154</v>
      </c>
      <c r="E3163" t="s">
        <v>7267</v>
      </c>
    </row>
    <row r="3164" spans="1:5" x14ac:dyDescent="0.35">
      <c r="A3164" t="str">
        <f>"2022-09-16"</f>
        <v>2022-09-16</v>
      </c>
      <c r="B3164" s="1" t="str">
        <f t="shared" si="49"/>
        <v>09/16/2022</v>
      </c>
      <c r="C3164" t="str">
        <f>"75.2964"</f>
        <v>75.2964</v>
      </c>
      <c r="D3164" s="1" t="s">
        <v>3155</v>
      </c>
      <c r="E3164" t="s">
        <v>7268</v>
      </c>
    </row>
    <row r="3165" spans="1:5" x14ac:dyDescent="0.35">
      <c r="A3165" t="str">
        <f>"2022-09-19"</f>
        <v>2022-09-19</v>
      </c>
      <c r="B3165" s="1" t="str">
        <f t="shared" si="49"/>
        <v>09/19/2022</v>
      </c>
      <c r="C3165" t="str">
        <f>"70.3056"</f>
        <v>70.3056</v>
      </c>
      <c r="D3165" s="1" t="s">
        <v>3156</v>
      </c>
      <c r="E3165" t="s">
        <v>7269</v>
      </c>
    </row>
    <row r="3166" spans="1:5" x14ac:dyDescent="0.35">
      <c r="A3166" t="str">
        <f>"2022-09-20"</f>
        <v>2022-09-20</v>
      </c>
      <c r="B3166" s="1" t="str">
        <f t="shared" si="49"/>
        <v>09/20/2022</v>
      </c>
      <c r="C3166" t="str">
        <f>"74.2225"</f>
        <v>74.2225</v>
      </c>
      <c r="D3166" s="1" t="s">
        <v>3157</v>
      </c>
      <c r="E3166" t="s">
        <v>7270</v>
      </c>
    </row>
    <row r="3167" spans="1:5" x14ac:dyDescent="0.35">
      <c r="A3167" t="str">
        <f>"2022-09-21"</f>
        <v>2022-09-21</v>
      </c>
      <c r="B3167" s="1" t="str">
        <f t="shared" si="49"/>
        <v>09/21/2022</v>
      </c>
      <c r="C3167" t="str">
        <f>"71.1768"</f>
        <v>71.1768</v>
      </c>
      <c r="D3167" s="1" t="s">
        <v>3158</v>
      </c>
      <c r="E3167" t="s">
        <v>7271</v>
      </c>
    </row>
    <row r="3168" spans="1:5" x14ac:dyDescent="0.35">
      <c r="A3168" t="str">
        <f>"2022-09-22"</f>
        <v>2022-09-22</v>
      </c>
      <c r="B3168" s="1" t="str">
        <f t="shared" si="49"/>
        <v>09/22/2022</v>
      </c>
      <c r="C3168" t="str">
        <f>"72.4715"</f>
        <v>72.4715</v>
      </c>
      <c r="D3168" s="1" t="s">
        <v>3159</v>
      </c>
      <c r="E3168" t="s">
        <v>7272</v>
      </c>
    </row>
    <row r="3169" spans="1:5" x14ac:dyDescent="0.35">
      <c r="A3169" t="str">
        <f>"2022-09-23"</f>
        <v>2022-09-23</v>
      </c>
      <c r="B3169" s="1" t="str">
        <f t="shared" si="49"/>
        <v>09/23/2022</v>
      </c>
      <c r="C3169" t="str">
        <f>"73.0385"</f>
        <v>73.0385</v>
      </c>
      <c r="D3169" s="1" t="s">
        <v>3160</v>
      </c>
      <c r="E3169" t="s">
        <v>7273</v>
      </c>
    </row>
    <row r="3170" spans="1:5" x14ac:dyDescent="0.35">
      <c r="A3170" t="str">
        <f>"2022-09-26"</f>
        <v>2022-09-26</v>
      </c>
      <c r="B3170" s="1" t="str">
        <f t="shared" si="49"/>
        <v>09/26/2022</v>
      </c>
      <c r="C3170" t="str">
        <f>"72.1416"</f>
        <v>72.1416</v>
      </c>
      <c r="D3170" s="1" t="s">
        <v>3161</v>
      </c>
      <c r="E3170" t="s">
        <v>7274</v>
      </c>
    </row>
    <row r="3171" spans="1:5" x14ac:dyDescent="0.35">
      <c r="A3171" t="str">
        <f>"2022-09-27"</f>
        <v>2022-09-27</v>
      </c>
      <c r="B3171" s="1" t="str">
        <f t="shared" si="49"/>
        <v>09/27/2022</v>
      </c>
      <c r="C3171" t="str">
        <f>"73.5827"</f>
        <v>73.5827</v>
      </c>
      <c r="D3171" s="1" t="s">
        <v>3162</v>
      </c>
      <c r="E3171" t="s">
        <v>7275</v>
      </c>
    </row>
    <row r="3172" spans="1:5" x14ac:dyDescent="0.35">
      <c r="A3172" t="str">
        <f>"2022-09-28"</f>
        <v>2022-09-28</v>
      </c>
      <c r="B3172" s="1" t="str">
        <f t="shared" si="49"/>
        <v>09/28/2022</v>
      </c>
      <c r="C3172" t="str">
        <f>"70.0328"</f>
        <v>70.0328</v>
      </c>
      <c r="D3172" s="1" t="s">
        <v>3163</v>
      </c>
      <c r="E3172" t="s">
        <v>7276</v>
      </c>
    </row>
    <row r="3173" spans="1:5" x14ac:dyDescent="0.35">
      <c r="A3173" t="str">
        <f>"2022-09-29"</f>
        <v>2022-09-29</v>
      </c>
      <c r="B3173" s="1" t="str">
        <f t="shared" si="49"/>
        <v>09/29/2022</v>
      </c>
      <c r="C3173" t="str">
        <f>"69.4544"</f>
        <v>69.4544</v>
      </c>
      <c r="D3173" s="1" t="s">
        <v>3164</v>
      </c>
      <c r="E3173" t="s">
        <v>7277</v>
      </c>
    </row>
    <row r="3174" spans="1:5" x14ac:dyDescent="0.35">
      <c r="A3174" t="str">
        <f>"2022-09-30"</f>
        <v>2022-09-30</v>
      </c>
      <c r="B3174" s="1" t="str">
        <f t="shared" si="49"/>
        <v>09/30/2022</v>
      </c>
      <c r="C3174" t="str">
        <f>"71.411"</f>
        <v>71.411</v>
      </c>
      <c r="D3174" s="1" t="s">
        <v>3165</v>
      </c>
      <c r="E3174" t="s">
        <v>7278</v>
      </c>
    </row>
    <row r="3175" spans="1:5" x14ac:dyDescent="0.35">
      <c r="A3175" t="str">
        <f>"2022-10-03"</f>
        <v>2022-10-03</v>
      </c>
      <c r="B3175" s="1" t="str">
        <f t="shared" si="49"/>
        <v>10/03/2022</v>
      </c>
      <c r="C3175" t="str">
        <f>"77.0491"</f>
        <v>77.0491</v>
      </c>
      <c r="D3175" s="1" t="s">
        <v>3166</v>
      </c>
      <c r="E3175" t="s">
        <v>7279</v>
      </c>
    </row>
    <row r="3176" spans="1:5" x14ac:dyDescent="0.35">
      <c r="A3176" t="str">
        <f>"2022-10-04"</f>
        <v>2022-10-04</v>
      </c>
      <c r="B3176" s="1" t="str">
        <f t="shared" si="49"/>
        <v>10/04/2022</v>
      </c>
      <c r="C3176" t="str">
        <f>"78.8291"</f>
        <v>78.8291</v>
      </c>
      <c r="D3176" s="1" t="s">
        <v>3167</v>
      </c>
      <c r="E3176" t="s">
        <v>7280</v>
      </c>
    </row>
    <row r="3177" spans="1:5" x14ac:dyDescent="0.35">
      <c r="A3177" t="str">
        <f>"2022-10-05"</f>
        <v>2022-10-05</v>
      </c>
      <c r="B3177" s="1" t="str">
        <f t="shared" si="49"/>
        <v>10/05/2022</v>
      </c>
      <c r="C3177" t="str">
        <f>"82.9944"</f>
        <v>82.9944</v>
      </c>
      <c r="D3177" s="1" t="s">
        <v>3168</v>
      </c>
      <c r="E3177" t="s">
        <v>7281</v>
      </c>
    </row>
    <row r="3178" spans="1:5" x14ac:dyDescent="0.35">
      <c r="A3178" t="str">
        <f>"2022-10-06"</f>
        <v>2022-10-06</v>
      </c>
      <c r="B3178" s="1" t="str">
        <f t="shared" si="49"/>
        <v>10/06/2022</v>
      </c>
      <c r="C3178" t="str">
        <f>"82.9774"</f>
        <v>82.9774</v>
      </c>
      <c r="D3178" s="1" t="s">
        <v>3169</v>
      </c>
      <c r="E3178" t="s">
        <v>7282</v>
      </c>
    </row>
    <row r="3179" spans="1:5" x14ac:dyDescent="0.35">
      <c r="A3179" t="str">
        <f>"2022-10-07"</f>
        <v>2022-10-07</v>
      </c>
      <c r="B3179" s="1" t="str">
        <f t="shared" si="49"/>
        <v>10/07/2022</v>
      </c>
      <c r="C3179" t="str">
        <f>"82.9104"</f>
        <v>82.9104</v>
      </c>
      <c r="D3179" s="1" t="s">
        <v>3170</v>
      </c>
      <c r="E3179" t="s">
        <v>7283</v>
      </c>
    </row>
    <row r="3180" spans="1:5" x14ac:dyDescent="0.35">
      <c r="A3180" t="str">
        <f>"2022-10-10"</f>
        <v>2022-10-10</v>
      </c>
      <c r="B3180" s="1" t="str">
        <f t="shared" si="49"/>
        <v>10/10/2022</v>
      </c>
      <c r="C3180" t="str">
        <f>"86.5071"</f>
        <v>86.5071</v>
      </c>
      <c r="D3180" s="1" t="s">
        <v>3171</v>
      </c>
      <c r="E3180" t="s">
        <v>7284</v>
      </c>
    </row>
    <row r="3181" spans="1:5" x14ac:dyDescent="0.35">
      <c r="A3181" t="str">
        <f>"2022-10-11"</f>
        <v>2022-10-11</v>
      </c>
      <c r="B3181" s="1" t="str">
        <f t="shared" si="49"/>
        <v>10/11/2022</v>
      </c>
      <c r="C3181" t="str">
        <f>"84.2509"</f>
        <v>84.2509</v>
      </c>
      <c r="D3181" s="1" t="s">
        <v>3172</v>
      </c>
      <c r="E3181" t="s">
        <v>7285</v>
      </c>
    </row>
    <row r="3182" spans="1:5" x14ac:dyDescent="0.35">
      <c r="A3182" t="str">
        <f>"2022-10-12"</f>
        <v>2022-10-12</v>
      </c>
      <c r="B3182" s="1" t="str">
        <f t="shared" si="49"/>
        <v>10/12/2022</v>
      </c>
      <c r="C3182" t="str">
        <f>"85.2713"</f>
        <v>85.2713</v>
      </c>
      <c r="D3182" s="1" t="s">
        <v>3173</v>
      </c>
      <c r="E3182" t="s">
        <v>7286</v>
      </c>
    </row>
    <row r="3183" spans="1:5" x14ac:dyDescent="0.35">
      <c r="A3183" t="str">
        <f>"2022-10-13"</f>
        <v>2022-10-13</v>
      </c>
      <c r="B3183" s="1" t="str">
        <f t="shared" si="49"/>
        <v>10/13/2022</v>
      </c>
      <c r="C3183" t="str">
        <f>"88.5465"</f>
        <v>88.5465</v>
      </c>
      <c r="D3183" s="1" t="s">
        <v>3174</v>
      </c>
      <c r="E3183" t="s">
        <v>7287</v>
      </c>
    </row>
    <row r="3184" spans="1:5" x14ac:dyDescent="0.35">
      <c r="A3184" t="str">
        <f>"2022-10-14"</f>
        <v>2022-10-14</v>
      </c>
      <c r="B3184" s="1" t="str">
        <f t="shared" si="49"/>
        <v>10/14/2022</v>
      </c>
      <c r="C3184" t="str">
        <f>"91.9065"</f>
        <v>91.9065</v>
      </c>
      <c r="D3184" s="1" t="s">
        <v>3175</v>
      </c>
      <c r="E3184" t="s">
        <v>7288</v>
      </c>
    </row>
    <row r="3185" spans="1:5" x14ac:dyDescent="0.35">
      <c r="A3185" t="str">
        <f>"2022-10-17"</f>
        <v>2022-10-17</v>
      </c>
      <c r="B3185" s="1" t="str">
        <f t="shared" si="49"/>
        <v>10/17/2022</v>
      </c>
      <c r="C3185" t="str">
        <f>"99.425"</f>
        <v>99.425</v>
      </c>
      <c r="D3185" s="1" t="s">
        <v>3176</v>
      </c>
      <c r="E3185" t="s">
        <v>7289</v>
      </c>
    </row>
    <row r="3186" spans="1:5" x14ac:dyDescent="0.35">
      <c r="A3186" t="str">
        <f>"2022-10-18"</f>
        <v>2022-10-18</v>
      </c>
      <c r="B3186" s="1" t="str">
        <f t="shared" si="49"/>
        <v>10/18/2022</v>
      </c>
      <c r="C3186" t="str">
        <f>"98.8917"</f>
        <v>98.8917</v>
      </c>
      <c r="D3186" s="1" t="s">
        <v>3177</v>
      </c>
      <c r="E3186" t="s">
        <v>7290</v>
      </c>
    </row>
    <row r="3187" spans="1:5" x14ac:dyDescent="0.35">
      <c r="A3187" t="str">
        <f>"2022-10-19"</f>
        <v>2022-10-19</v>
      </c>
      <c r="B3187" s="1" t="str">
        <f t="shared" si="49"/>
        <v>10/19/2022</v>
      </c>
      <c r="C3187" t="str">
        <f>"100.1853"</f>
        <v>100.1853</v>
      </c>
      <c r="D3187" s="1" t="s">
        <v>3178</v>
      </c>
      <c r="E3187" t="s">
        <v>7291</v>
      </c>
    </row>
    <row r="3188" spans="1:5" x14ac:dyDescent="0.35">
      <c r="A3188" t="str">
        <f>"2022-10-20"</f>
        <v>2022-10-20</v>
      </c>
      <c r="B3188" s="1" t="str">
        <f t="shared" si="49"/>
        <v>10/20/2022</v>
      </c>
      <c r="C3188" t="str">
        <f>"101.6041"</f>
        <v>101.6041</v>
      </c>
      <c r="D3188" s="1" t="s">
        <v>3179</v>
      </c>
      <c r="E3188" t="s">
        <v>7292</v>
      </c>
    </row>
    <row r="3189" spans="1:5" x14ac:dyDescent="0.35">
      <c r="A3189" t="str">
        <f>"2022-10-21"</f>
        <v>2022-10-21</v>
      </c>
      <c r="B3189" s="1" t="str">
        <f t="shared" si="49"/>
        <v>10/21/2022</v>
      </c>
      <c r="C3189" t="str">
        <f>"99.2859"</f>
        <v>99.2859</v>
      </c>
      <c r="D3189" s="1" t="s">
        <v>3180</v>
      </c>
      <c r="E3189" t="s">
        <v>7293</v>
      </c>
    </row>
    <row r="3190" spans="1:5" x14ac:dyDescent="0.35">
      <c r="A3190" t="str">
        <f>"2022-10-24"</f>
        <v>2022-10-24</v>
      </c>
      <c r="B3190" s="1" t="str">
        <f t="shared" si="49"/>
        <v>10/24/2022</v>
      </c>
      <c r="C3190" t="str">
        <f>"101.1685"</f>
        <v>101.1685</v>
      </c>
      <c r="D3190" s="1" t="s">
        <v>3181</v>
      </c>
      <c r="E3190" t="s">
        <v>7294</v>
      </c>
    </row>
    <row r="3191" spans="1:5" x14ac:dyDescent="0.35">
      <c r="A3191" t="str">
        <f>"2022-10-25"</f>
        <v>2022-10-25</v>
      </c>
      <c r="B3191" s="1" t="str">
        <f t="shared" si="49"/>
        <v>10/25/2022</v>
      </c>
      <c r="C3191" t="str">
        <f>"101.7319"</f>
        <v>101.7319</v>
      </c>
      <c r="D3191" s="1" t="s">
        <v>3182</v>
      </c>
      <c r="E3191" t="s">
        <v>7295</v>
      </c>
    </row>
    <row r="3192" spans="1:5" x14ac:dyDescent="0.35">
      <c r="A3192" t="str">
        <f>"2022-10-26"</f>
        <v>2022-10-26</v>
      </c>
      <c r="B3192" s="1" t="str">
        <f t="shared" si="49"/>
        <v>10/26/2022</v>
      </c>
      <c r="C3192" t="str">
        <f>"99.2524"</f>
        <v>99.2524</v>
      </c>
      <c r="D3192" s="1" t="s">
        <v>3183</v>
      </c>
      <c r="E3192" t="s">
        <v>7296</v>
      </c>
    </row>
    <row r="3193" spans="1:5" x14ac:dyDescent="0.35">
      <c r="A3193" t="str">
        <f>"2022-10-27"</f>
        <v>2022-10-27</v>
      </c>
      <c r="B3193" s="1" t="str">
        <f t="shared" si="49"/>
        <v>10/27/2022</v>
      </c>
      <c r="C3193" t="str">
        <f>"100.1419"</f>
        <v>100.1419</v>
      </c>
      <c r="D3193" s="1" t="s">
        <v>3184</v>
      </c>
      <c r="E3193" t="s">
        <v>7297</v>
      </c>
    </row>
    <row r="3194" spans="1:5" x14ac:dyDescent="0.35">
      <c r="A3194" t="str">
        <f>"2022-10-28"</f>
        <v>2022-10-28</v>
      </c>
      <c r="B3194" s="1" t="str">
        <f t="shared" si="49"/>
        <v>10/28/2022</v>
      </c>
      <c r="C3194" t="str">
        <f>"98.8322"</f>
        <v>98.8322</v>
      </c>
      <c r="D3194" s="1" t="s">
        <v>3185</v>
      </c>
      <c r="E3194" t="s">
        <v>7298</v>
      </c>
    </row>
    <row r="3195" spans="1:5" x14ac:dyDescent="0.35">
      <c r="A3195" t="str">
        <f>"2022-10-31"</f>
        <v>2022-10-31</v>
      </c>
      <c r="B3195" s="1" t="str">
        <f t="shared" si="49"/>
        <v>10/31/2022</v>
      </c>
      <c r="C3195" t="str">
        <f>"103.7004"</f>
        <v>103.7004</v>
      </c>
      <c r="D3195" s="1" t="s">
        <v>3186</v>
      </c>
      <c r="E3195" t="s">
        <v>7299</v>
      </c>
    </row>
    <row r="3196" spans="1:5" x14ac:dyDescent="0.35">
      <c r="A3196" t="str">
        <f>"2022-11-01"</f>
        <v>2022-11-01</v>
      </c>
      <c r="B3196" s="1" t="str">
        <f t="shared" si="49"/>
        <v>11/01/2022</v>
      </c>
      <c r="C3196" t="str">
        <f>"104.0019"</f>
        <v>104.0019</v>
      </c>
      <c r="D3196" s="1" t="s">
        <v>3187</v>
      </c>
      <c r="E3196" t="s">
        <v>6184</v>
      </c>
    </row>
    <row r="3197" spans="1:5" x14ac:dyDescent="0.35">
      <c r="A3197" t="str">
        <f>"2022-11-02"</f>
        <v>2022-11-02</v>
      </c>
      <c r="B3197" s="1" t="str">
        <f t="shared" si="49"/>
        <v>11/02/2022</v>
      </c>
      <c r="C3197" t="str">
        <f>"102.4014"</f>
        <v>102.4014</v>
      </c>
      <c r="D3197" s="1" t="s">
        <v>3188</v>
      </c>
      <c r="E3197" t="s">
        <v>7300</v>
      </c>
    </row>
    <row r="3198" spans="1:5" x14ac:dyDescent="0.35">
      <c r="A3198" t="str">
        <f>"2022-11-03"</f>
        <v>2022-11-03</v>
      </c>
      <c r="B3198" s="1" t="str">
        <f t="shared" si="49"/>
        <v>11/03/2022</v>
      </c>
      <c r="C3198" t="str">
        <f>"104.5265"</f>
        <v>104.5265</v>
      </c>
      <c r="D3198" s="1" t="s">
        <v>3189</v>
      </c>
      <c r="E3198" t="s">
        <v>7301</v>
      </c>
    </row>
    <row r="3199" spans="1:5" x14ac:dyDescent="0.35">
      <c r="A3199" t="str">
        <f>"2022-11-04"</f>
        <v>2022-11-04</v>
      </c>
      <c r="B3199" s="1" t="str">
        <f t="shared" si="49"/>
        <v>11/04/2022</v>
      </c>
      <c r="C3199" t="str">
        <f>"104.1317"</f>
        <v>104.1317</v>
      </c>
      <c r="D3199" s="1" t="s">
        <v>3190</v>
      </c>
      <c r="E3199" t="s">
        <v>7302</v>
      </c>
    </row>
    <row r="3200" spans="1:5" x14ac:dyDescent="0.35">
      <c r="A3200" t="str">
        <f>"2022-11-07"</f>
        <v>2022-11-07</v>
      </c>
      <c r="B3200" s="1" t="str">
        <f t="shared" si="49"/>
        <v>11/07/2022</v>
      </c>
      <c r="C3200" t="str">
        <f>"106.9266"</f>
        <v>106.9266</v>
      </c>
      <c r="D3200" s="1" t="s">
        <v>3191</v>
      </c>
      <c r="E3200" t="s">
        <v>7303</v>
      </c>
    </row>
    <row r="3201" spans="1:5" x14ac:dyDescent="0.35">
      <c r="A3201" t="str">
        <f>"2022-11-08"</f>
        <v>2022-11-08</v>
      </c>
      <c r="B3201" s="1" t="str">
        <f t="shared" si="49"/>
        <v>11/08/2022</v>
      </c>
      <c r="C3201" t="str">
        <f>"111.3021"</f>
        <v>111.3021</v>
      </c>
      <c r="D3201" s="1" t="s">
        <v>3192</v>
      </c>
      <c r="E3201" t="s">
        <v>7304</v>
      </c>
    </row>
    <row r="3202" spans="1:5" x14ac:dyDescent="0.35">
      <c r="A3202" t="str">
        <f>"2022-11-09"</f>
        <v>2022-11-09</v>
      </c>
      <c r="B3202" s="1" t="str">
        <f t="shared" si="49"/>
        <v>11/09/2022</v>
      </c>
      <c r="C3202" t="str">
        <f>"109.4789"</f>
        <v>109.4789</v>
      </c>
      <c r="D3202" s="1" t="s">
        <v>3193</v>
      </c>
      <c r="E3202" t="s">
        <v>7305</v>
      </c>
    </row>
    <row r="3203" spans="1:5" x14ac:dyDescent="0.35">
      <c r="A3203" t="str">
        <f>"2022-11-10"</f>
        <v>2022-11-10</v>
      </c>
      <c r="B3203" s="1" t="str">
        <f t="shared" ref="B3203:B3266" si="50">LEFT(RIGHT(A3203,5),2)&amp;"/"&amp;RIGHT(A3203,2)&amp;"/"&amp;LEFT(A3203,4)</f>
        <v>11/10/2022</v>
      </c>
      <c r="C3203" t="str">
        <f>"108.4292"</f>
        <v>108.4292</v>
      </c>
      <c r="D3203" s="1" t="s">
        <v>3194</v>
      </c>
      <c r="E3203" t="s">
        <v>7306</v>
      </c>
    </row>
    <row r="3204" spans="1:5" x14ac:dyDescent="0.35">
      <c r="A3204" t="str">
        <f>"2022-11-11"</f>
        <v>2022-11-11</v>
      </c>
      <c r="B3204" s="1" t="str">
        <f t="shared" si="50"/>
        <v>11/11/2022</v>
      </c>
      <c r="C3204" t="str">
        <f>"106.2501"</f>
        <v>106.2501</v>
      </c>
      <c r="D3204" s="1" t="s">
        <v>3195</v>
      </c>
      <c r="E3204" t="s">
        <v>7307</v>
      </c>
    </row>
    <row r="3205" spans="1:5" x14ac:dyDescent="0.35">
      <c r="A3205" t="str">
        <f>"2022-11-14"</f>
        <v>2022-11-14</v>
      </c>
      <c r="B3205" s="1" t="str">
        <f t="shared" si="50"/>
        <v>11/14/2022</v>
      </c>
      <c r="C3205" t="str">
        <f>"104.0364"</f>
        <v>104.0364</v>
      </c>
      <c r="D3205" s="1" t="s">
        <v>3196</v>
      </c>
      <c r="E3205" t="s">
        <v>7308</v>
      </c>
    </row>
    <row r="3206" spans="1:5" x14ac:dyDescent="0.35">
      <c r="A3206" t="str">
        <f>"2022-11-15"</f>
        <v>2022-11-15</v>
      </c>
      <c r="B3206" s="1" t="str">
        <f t="shared" si="50"/>
        <v>11/15/2022</v>
      </c>
      <c r="C3206" t="str">
        <f>"102.8078"</f>
        <v>102.8078</v>
      </c>
      <c r="D3206" s="1" t="s">
        <v>3197</v>
      </c>
      <c r="E3206" t="s">
        <v>7309</v>
      </c>
    </row>
    <row r="3207" spans="1:5" x14ac:dyDescent="0.35">
      <c r="A3207" t="str">
        <f>"2022-11-16"</f>
        <v>2022-11-16</v>
      </c>
      <c r="B3207" s="1" t="str">
        <f t="shared" si="50"/>
        <v>11/16/2022</v>
      </c>
      <c r="C3207" t="str">
        <f>"98.6142"</f>
        <v>98.6142</v>
      </c>
      <c r="D3207" s="1" t="s">
        <v>3198</v>
      </c>
      <c r="E3207" t="s">
        <v>7310</v>
      </c>
    </row>
    <row r="3208" spans="1:5" x14ac:dyDescent="0.35">
      <c r="A3208" t="str">
        <f>"2022-11-17"</f>
        <v>2022-11-17</v>
      </c>
      <c r="B3208" s="1" t="str">
        <f t="shared" si="50"/>
        <v>11/17/2022</v>
      </c>
      <c r="C3208" t="str">
        <f>"101.7877"</f>
        <v>101.7877</v>
      </c>
      <c r="D3208" s="1" t="s">
        <v>3199</v>
      </c>
      <c r="E3208" t="s">
        <v>7311</v>
      </c>
    </row>
    <row r="3209" spans="1:5" x14ac:dyDescent="0.35">
      <c r="A3209" t="str">
        <f>"2022-11-18"</f>
        <v>2022-11-18</v>
      </c>
      <c r="B3209" s="1" t="str">
        <f t="shared" si="50"/>
        <v>11/18/2022</v>
      </c>
      <c r="C3209" t="str">
        <f>"101.7567"</f>
        <v>101.7567</v>
      </c>
      <c r="D3209" s="1" t="s">
        <v>3200</v>
      </c>
      <c r="E3209" t="s">
        <v>7312</v>
      </c>
    </row>
    <row r="3210" spans="1:5" x14ac:dyDescent="0.35">
      <c r="A3210" t="str">
        <f>"2022-11-21"</f>
        <v>2022-11-21</v>
      </c>
      <c r="B3210" s="1" t="str">
        <f t="shared" si="50"/>
        <v>11/21/2022</v>
      </c>
      <c r="C3210" t="str">
        <f>"102.8326"</f>
        <v>102.8326</v>
      </c>
      <c r="D3210" s="1" t="s">
        <v>3201</v>
      </c>
      <c r="E3210" t="s">
        <v>7313</v>
      </c>
    </row>
    <row r="3211" spans="1:5" x14ac:dyDescent="0.35">
      <c r="A3211" t="str">
        <f>"2022-11-22"</f>
        <v>2022-11-22</v>
      </c>
      <c r="B3211" s="1" t="str">
        <f t="shared" si="50"/>
        <v>11/22/2022</v>
      </c>
      <c r="C3211" t="str">
        <f>"106.9701"</f>
        <v>106.9701</v>
      </c>
      <c r="D3211" s="1" t="s">
        <v>3202</v>
      </c>
      <c r="E3211" t="s">
        <v>7314</v>
      </c>
    </row>
    <row r="3212" spans="1:5" x14ac:dyDescent="0.35">
      <c r="A3212" t="str">
        <f>"2022-11-23"</f>
        <v>2022-11-23</v>
      </c>
      <c r="B3212" s="1" t="str">
        <f t="shared" si="50"/>
        <v>11/23/2022</v>
      </c>
      <c r="C3212" t="str">
        <f>"107.7447"</f>
        <v>107.7447</v>
      </c>
      <c r="D3212" s="1" t="s">
        <v>3203</v>
      </c>
      <c r="E3212" t="s">
        <v>7315</v>
      </c>
    </row>
    <row r="3213" spans="1:5" x14ac:dyDescent="0.35">
      <c r="A3213" t="str">
        <f>"2022-11-25"</f>
        <v>2022-11-25</v>
      </c>
      <c r="B3213" s="1" t="str">
        <f t="shared" si="50"/>
        <v>11/25/2022</v>
      </c>
      <c r="C3213" t="str">
        <f>"108.382"</f>
        <v>108.382</v>
      </c>
      <c r="D3213" s="1" t="s">
        <v>3204</v>
      </c>
      <c r="E3213" t="s">
        <v>7316</v>
      </c>
    </row>
    <row r="3214" spans="1:5" x14ac:dyDescent="0.35">
      <c r="A3214" t="str">
        <f>"2022-11-28"</f>
        <v>2022-11-28</v>
      </c>
      <c r="B3214" s="1" t="str">
        <f t="shared" si="50"/>
        <v>11/28/2022</v>
      </c>
      <c r="C3214" t="str">
        <f>"110.6344"</f>
        <v>110.6344</v>
      </c>
      <c r="D3214" s="1" t="s">
        <v>3205</v>
      </c>
      <c r="E3214" t="s">
        <v>7317</v>
      </c>
    </row>
    <row r="3215" spans="1:5" x14ac:dyDescent="0.35">
      <c r="A3215" t="str">
        <f>"2022-11-29"</f>
        <v>2022-11-29</v>
      </c>
      <c r="B3215" s="1" t="str">
        <f t="shared" si="50"/>
        <v>11/29/2022</v>
      </c>
      <c r="C3215" t="str">
        <f>"113.6071"</f>
        <v>113.6071</v>
      </c>
      <c r="D3215" s="1" t="s">
        <v>3206</v>
      </c>
      <c r="E3215" t="s">
        <v>7318</v>
      </c>
    </row>
    <row r="3216" spans="1:5" x14ac:dyDescent="0.35">
      <c r="A3216" t="str">
        <f>"2022-11-30"</f>
        <v>2022-11-30</v>
      </c>
      <c r="B3216" s="1" t="str">
        <f t="shared" si="50"/>
        <v>11/30/2022</v>
      </c>
      <c r="C3216" t="str">
        <f>"114.684"</f>
        <v>114.684</v>
      </c>
      <c r="D3216" s="1" t="s">
        <v>3207</v>
      </c>
      <c r="E3216" t="s">
        <v>7319</v>
      </c>
    </row>
    <row r="3217" spans="1:5" x14ac:dyDescent="0.35">
      <c r="A3217" t="str">
        <f>"2022-12-01"</f>
        <v>2022-12-01</v>
      </c>
      <c r="B3217" s="1" t="str">
        <f t="shared" si="50"/>
        <v>12/01/2022</v>
      </c>
      <c r="C3217" t="str">
        <f>"115.3132"</f>
        <v>115.3132</v>
      </c>
      <c r="D3217" s="1" t="s">
        <v>3208</v>
      </c>
      <c r="E3217" t="s">
        <v>7320</v>
      </c>
    </row>
    <row r="3218" spans="1:5" x14ac:dyDescent="0.35">
      <c r="A3218" t="str">
        <f>"2022-12-02"</f>
        <v>2022-12-02</v>
      </c>
      <c r="B3218" s="1" t="str">
        <f t="shared" si="50"/>
        <v>12/02/2022</v>
      </c>
      <c r="C3218" t="str">
        <f>"119.256"</f>
        <v>119.256</v>
      </c>
      <c r="D3218" s="1" t="s">
        <v>3209</v>
      </c>
      <c r="E3218" t="s">
        <v>7321</v>
      </c>
    </row>
    <row r="3219" spans="1:5" x14ac:dyDescent="0.35">
      <c r="A3219" t="str">
        <f>"2022-12-05"</f>
        <v>2022-12-05</v>
      </c>
      <c r="B3219" s="1" t="str">
        <f t="shared" si="50"/>
        <v>12/05/2022</v>
      </c>
      <c r="C3219" t="str">
        <f>"130.9208"</f>
        <v>130.9208</v>
      </c>
      <c r="D3219" s="1" t="s">
        <v>3210</v>
      </c>
      <c r="E3219" t="s">
        <v>7322</v>
      </c>
    </row>
    <row r="3220" spans="1:5" x14ac:dyDescent="0.35">
      <c r="A3220" t="str">
        <f>"2022-12-06"</f>
        <v>2022-12-06</v>
      </c>
      <c r="B3220" s="1" t="str">
        <f t="shared" si="50"/>
        <v>12/06/2022</v>
      </c>
      <c r="C3220" t="str">
        <f>"127.9913"</f>
        <v>127.9913</v>
      </c>
      <c r="D3220" s="1" t="s">
        <v>3211</v>
      </c>
      <c r="E3220" t="s">
        <v>7323</v>
      </c>
    </row>
    <row r="3221" spans="1:5" x14ac:dyDescent="0.35">
      <c r="A3221" t="str">
        <f>"2022-12-07"</f>
        <v>2022-12-07</v>
      </c>
      <c r="B3221" s="1" t="str">
        <f t="shared" si="50"/>
        <v>12/07/2022</v>
      </c>
      <c r="C3221" t="str">
        <f>"125.9747"</f>
        <v>125.9747</v>
      </c>
      <c r="D3221" s="1" t="s">
        <v>3212</v>
      </c>
      <c r="E3221" t="s">
        <v>7324</v>
      </c>
    </row>
    <row r="3222" spans="1:5" x14ac:dyDescent="0.35">
      <c r="A3222" t="str">
        <f>"2022-12-08"</f>
        <v>2022-12-08</v>
      </c>
      <c r="B3222" s="1" t="str">
        <f t="shared" si="50"/>
        <v>12/08/2022</v>
      </c>
      <c r="C3222" t="str">
        <f>"126.4003"</f>
        <v>126.4003</v>
      </c>
      <c r="D3222" s="1" t="s">
        <v>3213</v>
      </c>
      <c r="E3222" t="s">
        <v>7325</v>
      </c>
    </row>
    <row r="3223" spans="1:5" x14ac:dyDescent="0.35">
      <c r="A3223" t="str">
        <f>"2022-12-09"</f>
        <v>2022-12-09</v>
      </c>
      <c r="B3223" s="1" t="str">
        <f t="shared" si="50"/>
        <v>12/09/2022</v>
      </c>
      <c r="C3223" t="str">
        <f>"130.8588"</f>
        <v>130.8588</v>
      </c>
      <c r="D3223" s="1" t="s">
        <v>3214</v>
      </c>
      <c r="E3223" t="s">
        <v>7326</v>
      </c>
    </row>
    <row r="3224" spans="1:5" x14ac:dyDescent="0.35">
      <c r="A3224" t="str">
        <f>"2022-12-12"</f>
        <v>2022-12-12</v>
      </c>
      <c r="B3224" s="1" t="str">
        <f t="shared" si="50"/>
        <v>12/12/2022</v>
      </c>
      <c r="C3224" t="str">
        <f>"136.7662"</f>
        <v>136.7662</v>
      </c>
      <c r="D3224" s="1" t="s">
        <v>3215</v>
      </c>
      <c r="E3224" t="s">
        <v>7327</v>
      </c>
    </row>
    <row r="3225" spans="1:5" x14ac:dyDescent="0.35">
      <c r="A3225" t="str">
        <f>"2022-12-13"</f>
        <v>2022-12-13</v>
      </c>
      <c r="B3225" s="1" t="str">
        <f t="shared" si="50"/>
        <v>12/13/2022</v>
      </c>
      <c r="C3225" t="str">
        <f>"132.6257"</f>
        <v>132.6257</v>
      </c>
      <c r="D3225" s="1" t="s">
        <v>3216</v>
      </c>
      <c r="E3225" t="s">
        <v>7328</v>
      </c>
    </row>
    <row r="3226" spans="1:5" x14ac:dyDescent="0.35">
      <c r="A3226" t="str">
        <f>"2022-12-14"</f>
        <v>2022-12-14</v>
      </c>
      <c r="B3226" s="1" t="str">
        <f t="shared" si="50"/>
        <v>12/14/2022</v>
      </c>
      <c r="C3226" t="str">
        <f>"126.5466"</f>
        <v>126.5466</v>
      </c>
      <c r="D3226" s="1" t="s">
        <v>3217</v>
      </c>
      <c r="E3226" t="s">
        <v>7329</v>
      </c>
    </row>
    <row r="3227" spans="1:5" x14ac:dyDescent="0.35">
      <c r="A3227" t="str">
        <f>"2022-12-15"</f>
        <v>2022-12-15</v>
      </c>
      <c r="B3227" s="1" t="str">
        <f t="shared" si="50"/>
        <v>12/15/2022</v>
      </c>
      <c r="C3227" t="str">
        <f>"131.7701"</f>
        <v>131.7701</v>
      </c>
      <c r="D3227" s="1" t="s">
        <v>3218</v>
      </c>
      <c r="E3227" t="s">
        <v>7330</v>
      </c>
    </row>
    <row r="3228" spans="1:5" x14ac:dyDescent="0.35">
      <c r="A3228" t="str">
        <f>"2022-12-16"</f>
        <v>2022-12-16</v>
      </c>
      <c r="B3228" s="1" t="str">
        <f t="shared" si="50"/>
        <v>12/16/2022</v>
      </c>
      <c r="C3228" t="str">
        <f>"129.7306"</f>
        <v>129.7306</v>
      </c>
      <c r="D3228" s="1" t="s">
        <v>3219</v>
      </c>
      <c r="E3228" t="s">
        <v>7331</v>
      </c>
    </row>
    <row r="3229" spans="1:5" x14ac:dyDescent="0.35">
      <c r="A3229" t="str">
        <f>"2022-12-19"</f>
        <v>2022-12-19</v>
      </c>
      <c r="B3229" s="1" t="str">
        <f t="shared" si="50"/>
        <v>12/19/2022</v>
      </c>
      <c r="C3229" t="str">
        <f>"133.8793"</f>
        <v>133.8793</v>
      </c>
      <c r="D3229" s="1" t="s">
        <v>3220</v>
      </c>
      <c r="E3229" t="s">
        <v>7332</v>
      </c>
    </row>
    <row r="3230" spans="1:5" x14ac:dyDescent="0.35">
      <c r="A3230" t="str">
        <f>"2022-12-20"</f>
        <v>2022-12-20</v>
      </c>
      <c r="B3230" s="1" t="str">
        <f t="shared" si="50"/>
        <v>12/20/2022</v>
      </c>
      <c r="C3230" t="str">
        <f>"134.0311"</f>
        <v>134.0311</v>
      </c>
      <c r="D3230" s="1" t="s">
        <v>3221</v>
      </c>
      <c r="E3230" t="s">
        <v>7333</v>
      </c>
    </row>
    <row r="3231" spans="1:5" x14ac:dyDescent="0.35">
      <c r="A3231" t="str">
        <f>"2022-12-21"</f>
        <v>2022-12-21</v>
      </c>
      <c r="B3231" s="1" t="str">
        <f t="shared" si="50"/>
        <v>12/21/2022</v>
      </c>
      <c r="C3231" t="str">
        <f>"131.3352"</f>
        <v>131.3352</v>
      </c>
      <c r="D3231" s="1" t="s">
        <v>3222</v>
      </c>
      <c r="E3231" t="s">
        <v>7334</v>
      </c>
    </row>
    <row r="3232" spans="1:5" x14ac:dyDescent="0.35">
      <c r="A3232" t="str">
        <f>"2022-12-22"</f>
        <v>2022-12-22</v>
      </c>
      <c r="B3232" s="1" t="str">
        <f t="shared" si="50"/>
        <v>12/22/2022</v>
      </c>
      <c r="C3232" t="str">
        <f>"132.5831"</f>
        <v>132.5831</v>
      </c>
      <c r="D3232" s="1" t="s">
        <v>3223</v>
      </c>
      <c r="E3232" t="s">
        <v>7335</v>
      </c>
    </row>
    <row r="3233" spans="1:5" x14ac:dyDescent="0.35">
      <c r="A3233" t="str">
        <f>"2022-12-23"</f>
        <v>2022-12-23</v>
      </c>
      <c r="B3233" s="1" t="str">
        <f t="shared" si="50"/>
        <v>12/23/2022</v>
      </c>
      <c r="C3233" t="str">
        <f>"131.543"</f>
        <v>131.543</v>
      </c>
      <c r="D3233" s="1" t="s">
        <v>3224</v>
      </c>
      <c r="E3233" t="s">
        <v>7336</v>
      </c>
    </row>
    <row r="3234" spans="1:5" x14ac:dyDescent="0.35">
      <c r="A3234" t="str">
        <f>"2022-12-27"</f>
        <v>2022-12-27</v>
      </c>
      <c r="B3234" s="1" t="str">
        <f t="shared" si="50"/>
        <v>12/27/2022</v>
      </c>
      <c r="C3234" t="str">
        <f>"131.4568"</f>
        <v>131.4568</v>
      </c>
      <c r="D3234" s="1" t="s">
        <v>3225</v>
      </c>
      <c r="E3234" t="s">
        <v>7337</v>
      </c>
    </row>
    <row r="3235" spans="1:5" x14ac:dyDescent="0.35">
      <c r="A3235" t="str">
        <f>"2022-12-28"</f>
        <v>2022-12-28</v>
      </c>
      <c r="B3235" s="1" t="str">
        <f t="shared" si="50"/>
        <v>12/28/2022</v>
      </c>
      <c r="C3235" t="str">
        <f>"129.1907"</f>
        <v>129.1907</v>
      </c>
      <c r="D3235" s="1" t="s">
        <v>3226</v>
      </c>
      <c r="E3235" t="s">
        <v>7338</v>
      </c>
    </row>
    <row r="3236" spans="1:5" x14ac:dyDescent="0.35">
      <c r="A3236" t="str">
        <f>"2022-12-29"</f>
        <v>2022-12-29</v>
      </c>
      <c r="B3236" s="1" t="str">
        <f t="shared" si="50"/>
        <v>12/29/2022</v>
      </c>
      <c r="C3236" t="str">
        <f>"130.127"</f>
        <v>130.127</v>
      </c>
      <c r="D3236" s="1" t="s">
        <v>3227</v>
      </c>
      <c r="E3236" t="s">
        <v>7339</v>
      </c>
    </row>
    <row r="3237" spans="1:5" x14ac:dyDescent="0.35">
      <c r="A3237" t="str">
        <f>"2022-12-30"</f>
        <v>2022-12-30</v>
      </c>
      <c r="B3237" s="1" t="str">
        <f t="shared" si="50"/>
        <v>12/30/2022</v>
      </c>
      <c r="C3237" t="str">
        <f>"128.7684"</f>
        <v>128.7684</v>
      </c>
      <c r="D3237" s="1" t="s">
        <v>3228</v>
      </c>
      <c r="E3237" t="s">
        <v>7340</v>
      </c>
    </row>
    <row r="3238" spans="1:5" x14ac:dyDescent="0.35">
      <c r="A3238" t="str">
        <f>"2023-01-03"</f>
        <v>2023-01-03</v>
      </c>
      <c r="B3238" s="1" t="str">
        <f t="shared" si="50"/>
        <v>01/03/2023</v>
      </c>
      <c r="C3238" t="str">
        <f>"132.9578"</f>
        <v>132.9578</v>
      </c>
      <c r="D3238" s="1" t="s">
        <v>3229</v>
      </c>
      <c r="E3238" t="s">
        <v>7341</v>
      </c>
    </row>
    <row r="3239" spans="1:5" x14ac:dyDescent="0.35">
      <c r="A3239" t="str">
        <f>"2023-01-04"</f>
        <v>2023-01-04</v>
      </c>
      <c r="B3239" s="1" t="str">
        <f t="shared" si="50"/>
        <v>01/04/2023</v>
      </c>
      <c r="C3239" t="str">
        <f>"129.6724"</f>
        <v>129.6724</v>
      </c>
      <c r="D3239" s="1" t="s">
        <v>3230</v>
      </c>
      <c r="E3239" t="s">
        <v>7342</v>
      </c>
    </row>
    <row r="3240" spans="1:5" x14ac:dyDescent="0.35">
      <c r="A3240" t="str">
        <f>"2023-01-05"</f>
        <v>2023-01-05</v>
      </c>
      <c r="B3240" s="1" t="str">
        <f t="shared" si="50"/>
        <v>01/05/2023</v>
      </c>
      <c r="C3240" t="str">
        <f>"128.2983"</f>
        <v>128.2983</v>
      </c>
      <c r="D3240" s="1" t="s">
        <v>3231</v>
      </c>
      <c r="E3240" t="s">
        <v>7343</v>
      </c>
    </row>
    <row r="3241" spans="1:5" x14ac:dyDescent="0.35">
      <c r="A3241" t="str">
        <f>"2023-01-06"</f>
        <v>2023-01-06</v>
      </c>
      <c r="B3241" s="1" t="str">
        <f t="shared" si="50"/>
        <v>01/06/2023</v>
      </c>
      <c r="C3241" t="str">
        <f>"126.6911"</f>
        <v>126.6911</v>
      </c>
      <c r="D3241" s="1" t="s">
        <v>3232</v>
      </c>
      <c r="E3241" t="s">
        <v>7344</v>
      </c>
    </row>
    <row r="3242" spans="1:5" x14ac:dyDescent="0.35">
      <c r="A3242" t="str">
        <f>"2023-01-09"</f>
        <v>2023-01-09</v>
      </c>
      <c r="B3242" s="1" t="str">
        <f t="shared" si="50"/>
        <v>01/09/2023</v>
      </c>
      <c r="C3242" t="str">
        <f>"122.4751"</f>
        <v>122.4751</v>
      </c>
      <c r="D3242" s="1" t="s">
        <v>3233</v>
      </c>
      <c r="E3242" t="s">
        <v>7345</v>
      </c>
    </row>
    <row r="3243" spans="1:5" x14ac:dyDescent="0.35">
      <c r="A3243" t="str">
        <f>"2023-01-10"</f>
        <v>2023-01-10</v>
      </c>
      <c r="B3243" s="1" t="str">
        <f t="shared" si="50"/>
        <v>01/10/2023</v>
      </c>
      <c r="C3243" t="str">
        <f>"116.2337"</f>
        <v>116.2337</v>
      </c>
      <c r="D3243" s="1" t="s">
        <v>3234</v>
      </c>
      <c r="E3243" t="s">
        <v>7346</v>
      </c>
    </row>
    <row r="3244" spans="1:5" x14ac:dyDescent="0.35">
      <c r="A3244" t="str">
        <f>"2023-01-11"</f>
        <v>2023-01-11</v>
      </c>
      <c r="B3244" s="1" t="str">
        <f t="shared" si="50"/>
        <v>01/11/2023</v>
      </c>
      <c r="C3244" t="str">
        <f>"110.8529"</f>
        <v>110.8529</v>
      </c>
      <c r="D3244" s="1" t="s">
        <v>3235</v>
      </c>
      <c r="E3244" t="s">
        <v>5371</v>
      </c>
    </row>
    <row r="3245" spans="1:5" x14ac:dyDescent="0.35">
      <c r="A3245" t="str">
        <f>"2023-01-12"</f>
        <v>2023-01-12</v>
      </c>
      <c r="B3245" s="1" t="str">
        <f t="shared" si="50"/>
        <v>01/12/2023</v>
      </c>
      <c r="C3245" t="str">
        <f>"118.6977"</f>
        <v>118.6977</v>
      </c>
      <c r="D3245" s="1" t="s">
        <v>3236</v>
      </c>
      <c r="E3245" t="s">
        <v>7347</v>
      </c>
    </row>
    <row r="3246" spans="1:5" x14ac:dyDescent="0.35">
      <c r="A3246" t="str">
        <f>"2023-01-13"</f>
        <v>2023-01-13</v>
      </c>
      <c r="B3246" s="1" t="str">
        <f t="shared" si="50"/>
        <v>01/13/2023</v>
      </c>
      <c r="C3246" t="str">
        <f>"116.298"</f>
        <v>116.298</v>
      </c>
      <c r="D3246" s="1" t="s">
        <v>3237</v>
      </c>
      <c r="E3246" t="s">
        <v>7348</v>
      </c>
    </row>
    <row r="3247" spans="1:5" x14ac:dyDescent="0.35">
      <c r="A3247" t="str">
        <f>"2023-01-17"</f>
        <v>2023-01-17</v>
      </c>
      <c r="B3247" s="1" t="str">
        <f t="shared" si="50"/>
        <v>01/17/2023</v>
      </c>
      <c r="C3247" t="str">
        <f>"128.0077"</f>
        <v>128.0077</v>
      </c>
      <c r="D3247" s="1" t="s">
        <v>3238</v>
      </c>
      <c r="E3247" t="s">
        <v>7349</v>
      </c>
    </row>
    <row r="3248" spans="1:5" x14ac:dyDescent="0.35">
      <c r="A3248" t="str">
        <f>"2023-01-18"</f>
        <v>2023-01-18</v>
      </c>
      <c r="B3248" s="1" t="str">
        <f t="shared" si="50"/>
        <v>01/18/2023</v>
      </c>
      <c r="C3248" t="str">
        <f>"129.8574"</f>
        <v>129.8574</v>
      </c>
      <c r="D3248" s="1" t="s">
        <v>3239</v>
      </c>
      <c r="E3248" t="s">
        <v>7350</v>
      </c>
    </row>
    <row r="3249" spans="1:5" x14ac:dyDescent="0.35">
      <c r="A3249" t="str">
        <f>"2023-01-19"</f>
        <v>2023-01-19</v>
      </c>
      <c r="B3249" s="1" t="str">
        <f t="shared" si="50"/>
        <v>01/19/2023</v>
      </c>
      <c r="C3249" t="str">
        <f>"133.3337"</f>
        <v>133.3337</v>
      </c>
      <c r="D3249" s="1" t="s">
        <v>3240</v>
      </c>
      <c r="E3249" t="s">
        <v>7351</v>
      </c>
    </row>
    <row r="3250" spans="1:5" x14ac:dyDescent="0.35">
      <c r="A3250" t="str">
        <f>"2023-01-20"</f>
        <v>2023-01-20</v>
      </c>
      <c r="B3250" s="1" t="str">
        <f t="shared" si="50"/>
        <v>01/20/2023</v>
      </c>
      <c r="C3250" t="str">
        <f>"131.3654"</f>
        <v>131.3654</v>
      </c>
      <c r="D3250" s="1" t="s">
        <v>3241</v>
      </c>
      <c r="E3250" t="s">
        <v>7352</v>
      </c>
    </row>
    <row r="3251" spans="1:5" x14ac:dyDescent="0.35">
      <c r="A3251" t="str">
        <f>"2023-01-23"</f>
        <v>2023-01-23</v>
      </c>
      <c r="B3251" s="1" t="str">
        <f t="shared" si="50"/>
        <v>01/23/2023</v>
      </c>
      <c r="C3251" t="str">
        <f>"129.8532"</f>
        <v>129.8532</v>
      </c>
      <c r="D3251" s="1" t="s">
        <v>3242</v>
      </c>
      <c r="E3251" t="s">
        <v>7353</v>
      </c>
    </row>
    <row r="3252" spans="1:5" x14ac:dyDescent="0.35">
      <c r="A3252" t="str">
        <f>"2023-01-24"</f>
        <v>2023-01-24</v>
      </c>
      <c r="B3252" s="1" t="str">
        <f t="shared" si="50"/>
        <v>01/24/2023</v>
      </c>
      <c r="C3252" t="str">
        <f>"128.6201"</f>
        <v>128.6201</v>
      </c>
      <c r="D3252" s="1" t="s">
        <v>3243</v>
      </c>
      <c r="E3252" t="s">
        <v>7354</v>
      </c>
    </row>
    <row r="3253" spans="1:5" x14ac:dyDescent="0.35">
      <c r="A3253" t="str">
        <f>"2023-01-25"</f>
        <v>2023-01-25</v>
      </c>
      <c r="B3253" s="1" t="str">
        <f t="shared" si="50"/>
        <v>01/25/2023</v>
      </c>
      <c r="C3253" t="str">
        <f>"129.4086"</f>
        <v>129.4086</v>
      </c>
      <c r="D3253" s="1" t="s">
        <v>3244</v>
      </c>
      <c r="E3253" t="s">
        <v>7355</v>
      </c>
    </row>
    <row r="3254" spans="1:5" x14ac:dyDescent="0.35">
      <c r="A3254" t="str">
        <f>"2023-01-26"</f>
        <v>2023-01-26</v>
      </c>
      <c r="B3254" s="1" t="str">
        <f t="shared" si="50"/>
        <v>01/26/2023</v>
      </c>
      <c r="C3254" t="str">
        <f>"128.7876"</f>
        <v>128.7876</v>
      </c>
      <c r="D3254" s="1" t="s">
        <v>3245</v>
      </c>
      <c r="E3254" t="s">
        <v>7356</v>
      </c>
    </row>
    <row r="3255" spans="1:5" x14ac:dyDescent="0.35">
      <c r="A3255" t="str">
        <f>"2023-01-27"</f>
        <v>2023-01-27</v>
      </c>
      <c r="B3255" s="1" t="str">
        <f t="shared" si="50"/>
        <v>01/27/2023</v>
      </c>
      <c r="C3255" t="str">
        <f>"128.4336"</f>
        <v>128.4336</v>
      </c>
      <c r="D3255" s="1" t="s">
        <v>3246</v>
      </c>
      <c r="E3255" t="s">
        <v>7357</v>
      </c>
    </row>
    <row r="3256" spans="1:5" x14ac:dyDescent="0.35">
      <c r="A3256" t="str">
        <f>"2023-01-30"</f>
        <v>2023-01-30</v>
      </c>
      <c r="B3256" s="1" t="str">
        <f t="shared" si="50"/>
        <v>01/30/2023</v>
      </c>
      <c r="C3256" t="str">
        <f>"124.5936"</f>
        <v>124.5936</v>
      </c>
      <c r="D3256" s="1" t="s">
        <v>3247</v>
      </c>
      <c r="E3256" t="s">
        <v>7358</v>
      </c>
    </row>
    <row r="3257" spans="1:5" x14ac:dyDescent="0.35">
      <c r="A3257" t="str">
        <f>"2023-01-31"</f>
        <v>2023-01-31</v>
      </c>
      <c r="B3257" s="1" t="str">
        <f t="shared" si="50"/>
        <v>01/31/2023</v>
      </c>
      <c r="C3257" t="str">
        <f>"117.9343"</f>
        <v>117.9343</v>
      </c>
      <c r="D3257" s="1" t="s">
        <v>3248</v>
      </c>
      <c r="E3257" t="s">
        <v>7359</v>
      </c>
    </row>
    <row r="3258" spans="1:5" x14ac:dyDescent="0.35">
      <c r="A3258" t="str">
        <f>"2023-02-01"</f>
        <v>2023-02-01</v>
      </c>
      <c r="B3258" s="1" t="str">
        <f t="shared" si="50"/>
        <v>02/01/2023</v>
      </c>
      <c r="C3258" t="str">
        <f>"112.2289"</f>
        <v>112.2289</v>
      </c>
      <c r="D3258" s="1" t="s">
        <v>3249</v>
      </c>
      <c r="E3258" t="s">
        <v>7360</v>
      </c>
    </row>
    <row r="3259" spans="1:5" x14ac:dyDescent="0.35">
      <c r="A3259" t="str">
        <f>"2023-02-02"</f>
        <v>2023-02-02</v>
      </c>
      <c r="B3259" s="1" t="str">
        <f t="shared" si="50"/>
        <v>02/02/2023</v>
      </c>
      <c r="C3259" t="str">
        <f>"116.1612"</f>
        <v>116.1612</v>
      </c>
      <c r="D3259" s="1" t="s">
        <v>3250</v>
      </c>
      <c r="E3259" t="s">
        <v>7361</v>
      </c>
    </row>
    <row r="3260" spans="1:5" x14ac:dyDescent="0.35">
      <c r="A3260" t="str">
        <f>"2023-02-03"</f>
        <v>2023-02-03</v>
      </c>
      <c r="B3260" s="1" t="str">
        <f t="shared" si="50"/>
        <v>02/03/2023</v>
      </c>
      <c r="C3260" t="str">
        <f>"126.6965"</f>
        <v>126.6965</v>
      </c>
      <c r="D3260" s="1" t="s">
        <v>3251</v>
      </c>
      <c r="E3260" t="s">
        <v>7362</v>
      </c>
    </row>
    <row r="3261" spans="1:5" x14ac:dyDescent="0.35">
      <c r="A3261" t="str">
        <f>"2023-02-06"</f>
        <v>2023-02-06</v>
      </c>
      <c r="B3261" s="1" t="str">
        <f t="shared" si="50"/>
        <v>02/06/2023</v>
      </c>
      <c r="C3261" t="str">
        <f>"123.8587"</f>
        <v>123.8587</v>
      </c>
      <c r="D3261" s="1" t="s">
        <v>3252</v>
      </c>
      <c r="E3261" t="s">
        <v>7363</v>
      </c>
    </row>
    <row r="3262" spans="1:5" x14ac:dyDescent="0.35">
      <c r="A3262" t="str">
        <f>"2023-02-07"</f>
        <v>2023-02-07</v>
      </c>
      <c r="B3262" s="1" t="str">
        <f t="shared" si="50"/>
        <v>02/07/2023</v>
      </c>
      <c r="C3262" t="str">
        <f>"112.2614"</f>
        <v>112.2614</v>
      </c>
      <c r="D3262" s="1" t="s">
        <v>3253</v>
      </c>
      <c r="E3262" t="s">
        <v>7364</v>
      </c>
    </row>
    <row r="3263" spans="1:5" x14ac:dyDescent="0.35">
      <c r="A3263" t="str">
        <f>"2023-02-08"</f>
        <v>2023-02-08</v>
      </c>
      <c r="B3263" s="1" t="str">
        <f t="shared" si="50"/>
        <v>02/08/2023</v>
      </c>
      <c r="C3263" t="str">
        <f>"101.1726"</f>
        <v>101.1726</v>
      </c>
      <c r="D3263" s="1" t="s">
        <v>3254</v>
      </c>
      <c r="E3263" t="s">
        <v>7365</v>
      </c>
    </row>
    <row r="3264" spans="1:5" x14ac:dyDescent="0.35">
      <c r="A3264" t="str">
        <f>"2023-02-15"</f>
        <v>2023-02-15</v>
      </c>
      <c r="B3264" s="1" t="str">
        <f t="shared" si="50"/>
        <v>02/15/2023</v>
      </c>
      <c r="C3264" t="str">
        <f>"125.895"</f>
        <v>125.895</v>
      </c>
      <c r="D3264" s="1" t="s">
        <v>3255</v>
      </c>
      <c r="E3264" t="s">
        <v>7366</v>
      </c>
    </row>
    <row r="3265" spans="1:5" x14ac:dyDescent="0.35">
      <c r="A3265" t="str">
        <f>"2023-02-16"</f>
        <v>2023-02-16</v>
      </c>
      <c r="B3265" s="1" t="str">
        <f t="shared" si="50"/>
        <v>02/16/2023</v>
      </c>
      <c r="C3265" t="str">
        <f>"125.4086"</f>
        <v>125.4086</v>
      </c>
      <c r="D3265" s="1" t="s">
        <v>3256</v>
      </c>
      <c r="E3265" t="s">
        <v>7367</v>
      </c>
    </row>
    <row r="3266" spans="1:5" x14ac:dyDescent="0.35">
      <c r="A3266" t="str">
        <f>"2023-02-17"</f>
        <v>2023-02-17</v>
      </c>
      <c r="B3266" s="1" t="str">
        <f t="shared" si="50"/>
        <v>02/17/2023</v>
      </c>
      <c r="C3266" t="str">
        <f>"126.6534"</f>
        <v>126.6534</v>
      </c>
      <c r="D3266" s="1" t="s">
        <v>3257</v>
      </c>
      <c r="E3266" t="s">
        <v>7368</v>
      </c>
    </row>
    <row r="3267" spans="1:5" x14ac:dyDescent="0.35">
      <c r="A3267" t="str">
        <f>"2023-02-21"</f>
        <v>2023-02-21</v>
      </c>
      <c r="B3267" s="1" t="str">
        <f t="shared" ref="B3267:B3330" si="51">LEFT(RIGHT(A3267,5),2)&amp;"/"&amp;RIGHT(A3267,2)&amp;"/"&amp;LEFT(A3267,4)</f>
        <v>02/21/2023</v>
      </c>
      <c r="C3267" t="str">
        <f>"123.6879"</f>
        <v>123.6879</v>
      </c>
      <c r="D3267" s="1" t="s">
        <v>3258</v>
      </c>
      <c r="E3267" t="s">
        <v>7369</v>
      </c>
    </row>
    <row r="3268" spans="1:5" x14ac:dyDescent="0.35">
      <c r="A3268" t="str">
        <f>"2023-02-22"</f>
        <v>2023-02-22</v>
      </c>
      <c r="B3268" s="1" t="str">
        <f t="shared" si="51"/>
        <v>02/22/2023</v>
      </c>
      <c r="C3268" t="str">
        <f>"122.7706"</f>
        <v>122.7706</v>
      </c>
      <c r="D3268" s="1" t="s">
        <v>3259</v>
      </c>
      <c r="E3268" t="s">
        <v>7370</v>
      </c>
    </row>
    <row r="3269" spans="1:5" x14ac:dyDescent="0.35">
      <c r="A3269" t="str">
        <f>"2023-02-23"</f>
        <v>2023-02-23</v>
      </c>
      <c r="B3269" s="1" t="str">
        <f t="shared" si="51"/>
        <v>02/23/2023</v>
      </c>
      <c r="C3269" t="str">
        <f>"123.8154"</f>
        <v>123.8154</v>
      </c>
      <c r="D3269" s="1" t="s">
        <v>3260</v>
      </c>
      <c r="E3269" t="s">
        <v>7371</v>
      </c>
    </row>
    <row r="3270" spans="1:5" x14ac:dyDescent="0.35">
      <c r="A3270" t="str">
        <f>"2023-02-24"</f>
        <v>2023-02-24</v>
      </c>
      <c r="B3270" s="1" t="str">
        <f t="shared" si="51"/>
        <v>02/24/2023</v>
      </c>
      <c r="C3270" t="str">
        <f>"123.0668"</f>
        <v>123.0668</v>
      </c>
      <c r="D3270" s="1" t="s">
        <v>3261</v>
      </c>
      <c r="E3270" t="s">
        <v>7372</v>
      </c>
    </row>
    <row r="3271" spans="1:5" x14ac:dyDescent="0.35">
      <c r="A3271" t="str">
        <f>"2023-02-27"</f>
        <v>2023-02-27</v>
      </c>
      <c r="B3271" s="1" t="str">
        <f t="shared" si="51"/>
        <v>02/27/2023</v>
      </c>
      <c r="C3271" t="str">
        <f>"130.0035"</f>
        <v>130.0035</v>
      </c>
      <c r="D3271" s="1" t="s">
        <v>3262</v>
      </c>
      <c r="E3271" t="s">
        <v>7373</v>
      </c>
    </row>
    <row r="3272" spans="1:5" x14ac:dyDescent="0.35">
      <c r="A3272" t="str">
        <f>"2023-02-28"</f>
        <v>2023-02-28</v>
      </c>
      <c r="B3272" s="1" t="str">
        <f t="shared" si="51"/>
        <v>02/28/2023</v>
      </c>
      <c r="C3272" t="str">
        <f>"129.3228"</f>
        <v>129.3228</v>
      </c>
      <c r="D3272" s="1" t="s">
        <v>3263</v>
      </c>
      <c r="E3272" t="s">
        <v>7374</v>
      </c>
    </row>
    <row r="3273" spans="1:5" x14ac:dyDescent="0.35">
      <c r="A3273" t="str">
        <f>"2023-03-01"</f>
        <v>2023-03-01</v>
      </c>
      <c r="B3273" s="1" t="str">
        <f t="shared" si="51"/>
        <v>03/01/2023</v>
      </c>
      <c r="C3273" t="str">
        <f>"132.2116"</f>
        <v>132.2116</v>
      </c>
      <c r="D3273" s="1" t="s">
        <v>3264</v>
      </c>
      <c r="E3273" t="s">
        <v>7375</v>
      </c>
    </row>
    <row r="3274" spans="1:5" x14ac:dyDescent="0.35">
      <c r="A3274" t="str">
        <f>"2023-03-02"</f>
        <v>2023-03-02</v>
      </c>
      <c r="B3274" s="1" t="str">
        <f t="shared" si="51"/>
        <v>03/02/2023</v>
      </c>
      <c r="C3274" t="str">
        <f>"127.5665"</f>
        <v>127.5665</v>
      </c>
      <c r="D3274" s="1" t="s">
        <v>3265</v>
      </c>
      <c r="E3274" t="s">
        <v>7376</v>
      </c>
    </row>
    <row r="3275" spans="1:5" x14ac:dyDescent="0.35">
      <c r="A3275" t="str">
        <f>"2023-03-03"</f>
        <v>2023-03-03</v>
      </c>
      <c r="B3275" s="1" t="str">
        <f t="shared" si="51"/>
        <v>03/03/2023</v>
      </c>
      <c r="C3275" t="str">
        <f>"123.6292"</f>
        <v>123.6292</v>
      </c>
      <c r="D3275" s="1" t="s">
        <v>3266</v>
      </c>
      <c r="E3275" t="s">
        <v>7377</v>
      </c>
    </row>
    <row r="3276" spans="1:5" x14ac:dyDescent="0.35">
      <c r="A3276" t="str">
        <f>"2023-03-06"</f>
        <v>2023-03-06</v>
      </c>
      <c r="B3276" s="1" t="str">
        <f t="shared" si="51"/>
        <v>03/06/2023</v>
      </c>
      <c r="C3276" t="str">
        <f>"126.9059"</f>
        <v>126.9059</v>
      </c>
      <c r="D3276" s="1" t="s">
        <v>3267</v>
      </c>
      <c r="E3276" t="s">
        <v>7378</v>
      </c>
    </row>
    <row r="3277" spans="1:5" x14ac:dyDescent="0.35">
      <c r="A3277" t="str">
        <f>"2023-03-07"</f>
        <v>2023-03-07</v>
      </c>
      <c r="B3277" s="1" t="str">
        <f t="shared" si="51"/>
        <v>03/07/2023</v>
      </c>
      <c r="C3277" t="str">
        <f>"128.1285"</f>
        <v>128.1285</v>
      </c>
      <c r="D3277" s="1" t="s">
        <v>3268</v>
      </c>
      <c r="E3277" t="s">
        <v>7379</v>
      </c>
    </row>
    <row r="3278" spans="1:5" x14ac:dyDescent="0.35">
      <c r="A3278" t="str">
        <f>"2023-03-08"</f>
        <v>2023-03-08</v>
      </c>
      <c r="B3278" s="1" t="str">
        <f t="shared" si="51"/>
        <v>03/08/2023</v>
      </c>
      <c r="C3278" t="str">
        <f>"127.0703"</f>
        <v>127.0703</v>
      </c>
      <c r="D3278" s="1" t="s">
        <v>3269</v>
      </c>
      <c r="E3278" t="s">
        <v>7380</v>
      </c>
    </row>
    <row r="3279" spans="1:5" x14ac:dyDescent="0.35">
      <c r="A3279" t="str">
        <f>"2023-03-09"</f>
        <v>2023-03-09</v>
      </c>
      <c r="B3279" s="1" t="str">
        <f t="shared" si="51"/>
        <v>03/09/2023</v>
      </c>
      <c r="C3279" t="str">
        <f>"126.1253"</f>
        <v>126.1253</v>
      </c>
      <c r="D3279" s="1" t="s">
        <v>3270</v>
      </c>
      <c r="E3279" t="s">
        <v>7381</v>
      </c>
    </row>
    <row r="3280" spans="1:5" x14ac:dyDescent="0.35">
      <c r="A3280" t="str">
        <f>"2023-03-10"</f>
        <v>2023-03-10</v>
      </c>
      <c r="B3280" s="1" t="str">
        <f t="shared" si="51"/>
        <v>03/10/2023</v>
      </c>
      <c r="C3280" t="str">
        <f>"122.2512"</f>
        <v>122.2512</v>
      </c>
      <c r="D3280" s="1" t="s">
        <v>3271</v>
      </c>
      <c r="E3280" t="s">
        <v>7382</v>
      </c>
    </row>
    <row r="3281" spans="1:5" x14ac:dyDescent="0.35">
      <c r="A3281" t="str">
        <f>"2023-03-13"</f>
        <v>2023-03-13</v>
      </c>
      <c r="B3281" s="1" t="str">
        <f t="shared" si="51"/>
        <v>03/13/2023</v>
      </c>
      <c r="C3281" t="str">
        <f>"116.525"</f>
        <v>116.525</v>
      </c>
      <c r="D3281" s="1" t="s">
        <v>3272</v>
      </c>
      <c r="E3281" t="s">
        <v>7383</v>
      </c>
    </row>
    <row r="3282" spans="1:5" x14ac:dyDescent="0.35">
      <c r="A3282" t="str">
        <f>"2023-03-14"</f>
        <v>2023-03-14</v>
      </c>
      <c r="B3282" s="1" t="str">
        <f t="shared" si="51"/>
        <v>03/14/2023</v>
      </c>
      <c r="C3282" t="str">
        <f>"113.7917"</f>
        <v>113.7917</v>
      </c>
      <c r="D3282" s="1" t="s">
        <v>3273</v>
      </c>
      <c r="E3282" t="s">
        <v>7384</v>
      </c>
    </row>
    <row r="3283" spans="1:5" x14ac:dyDescent="0.35">
      <c r="A3283" t="str">
        <f>"2023-03-15"</f>
        <v>2023-03-15</v>
      </c>
      <c r="B3283" s="1" t="str">
        <f t="shared" si="51"/>
        <v>03/15/2023</v>
      </c>
      <c r="C3283" t="str">
        <f>"111.3725"</f>
        <v>111.3725</v>
      </c>
      <c r="D3283" s="1" t="s">
        <v>3274</v>
      </c>
      <c r="E3283" t="s">
        <v>7385</v>
      </c>
    </row>
    <row r="3284" spans="1:5" x14ac:dyDescent="0.35">
      <c r="A3284" t="str">
        <f>"2023-03-16"</f>
        <v>2023-03-16</v>
      </c>
      <c r="B3284" s="1" t="str">
        <f t="shared" si="51"/>
        <v>03/16/2023</v>
      </c>
      <c r="C3284" t="str">
        <f>"112.852"</f>
        <v>112.852</v>
      </c>
      <c r="D3284" s="1" t="s">
        <v>3275</v>
      </c>
      <c r="E3284" t="s">
        <v>7386</v>
      </c>
    </row>
    <row r="3285" spans="1:5" x14ac:dyDescent="0.35">
      <c r="A3285" t="str">
        <f>"2023-03-17"</f>
        <v>2023-03-17</v>
      </c>
      <c r="B3285" s="1" t="str">
        <f t="shared" si="51"/>
        <v>03/17/2023</v>
      </c>
      <c r="C3285" t="str">
        <f>"105.1183"</f>
        <v>105.1183</v>
      </c>
      <c r="D3285" s="1" t="s">
        <v>3276</v>
      </c>
      <c r="E3285" t="s">
        <v>7387</v>
      </c>
    </row>
    <row r="3286" spans="1:5" x14ac:dyDescent="0.35">
      <c r="A3286" t="str">
        <f>"2023-03-20"</f>
        <v>2023-03-20</v>
      </c>
      <c r="B3286" s="1" t="str">
        <f t="shared" si="51"/>
        <v>03/20/2023</v>
      </c>
      <c r="C3286" t="str">
        <f>"104.256"</f>
        <v>104.256</v>
      </c>
      <c r="D3286" s="1" t="s">
        <v>3277</v>
      </c>
      <c r="E3286" t="s">
        <v>7388</v>
      </c>
    </row>
    <row r="3287" spans="1:5" x14ac:dyDescent="0.35">
      <c r="A3287" t="str">
        <f>"2023-03-21"</f>
        <v>2023-03-21</v>
      </c>
      <c r="B3287" s="1" t="str">
        <f t="shared" si="51"/>
        <v>03/21/2023</v>
      </c>
      <c r="C3287" t="str">
        <f>"104.6097"</f>
        <v>104.6097</v>
      </c>
      <c r="D3287" s="1" t="s">
        <v>3278</v>
      </c>
      <c r="E3287" t="s">
        <v>7389</v>
      </c>
    </row>
    <row r="3288" spans="1:5" x14ac:dyDescent="0.35">
      <c r="A3288" t="str">
        <f>"2023-03-22"</f>
        <v>2023-03-22</v>
      </c>
      <c r="B3288" s="1" t="str">
        <f t="shared" si="51"/>
        <v>03/22/2023</v>
      </c>
      <c r="C3288" t="str">
        <f>"107.361"</f>
        <v>107.361</v>
      </c>
      <c r="D3288" s="1" t="s">
        <v>3279</v>
      </c>
      <c r="E3288" t="s">
        <v>7390</v>
      </c>
    </row>
    <row r="3289" spans="1:5" x14ac:dyDescent="0.35">
      <c r="A3289" t="str">
        <f>"2023-03-23"</f>
        <v>2023-03-23</v>
      </c>
      <c r="B3289" s="1" t="str">
        <f t="shared" si="51"/>
        <v>03/23/2023</v>
      </c>
      <c r="C3289" t="str">
        <f>"106"</f>
        <v>106</v>
      </c>
      <c r="D3289" s="1" t="s">
        <v>3280</v>
      </c>
      <c r="E3289" t="s">
        <v>7391</v>
      </c>
    </row>
    <row r="3290" spans="1:5" x14ac:dyDescent="0.35">
      <c r="A3290" t="str">
        <f>"2023-03-24"</f>
        <v>2023-03-24</v>
      </c>
      <c r="B3290" s="1" t="str">
        <f t="shared" si="51"/>
        <v>03/24/2023</v>
      </c>
      <c r="C3290" t="str">
        <f>"105.7279"</f>
        <v>105.7279</v>
      </c>
      <c r="D3290" s="1" t="s">
        <v>3281</v>
      </c>
      <c r="E3290" t="s">
        <v>7392</v>
      </c>
    </row>
    <row r="3291" spans="1:5" x14ac:dyDescent="0.35">
      <c r="A3291" t="str">
        <f>"2023-03-27"</f>
        <v>2023-03-27</v>
      </c>
      <c r="B3291" s="1" t="str">
        <f t="shared" si="51"/>
        <v>03/27/2023</v>
      </c>
      <c r="C3291" t="str">
        <f>"104.6185"</f>
        <v>104.6185</v>
      </c>
      <c r="D3291" s="1" t="s">
        <v>3282</v>
      </c>
      <c r="E3291" t="s">
        <v>7393</v>
      </c>
    </row>
    <row r="3292" spans="1:5" x14ac:dyDescent="0.35">
      <c r="A3292" t="str">
        <f>"2023-03-28"</f>
        <v>2023-03-28</v>
      </c>
      <c r="B3292" s="1" t="str">
        <f t="shared" si="51"/>
        <v>03/28/2023</v>
      </c>
      <c r="C3292" t="str">
        <f>"98.6175"</f>
        <v>98.6175</v>
      </c>
      <c r="D3292" s="1" t="s">
        <v>3283</v>
      </c>
      <c r="E3292" t="s">
        <v>7394</v>
      </c>
    </row>
    <row r="3293" spans="1:5" x14ac:dyDescent="0.35">
      <c r="A3293" t="str">
        <f>"2023-03-29"</f>
        <v>2023-03-29</v>
      </c>
      <c r="B3293" s="1" t="str">
        <f t="shared" si="51"/>
        <v>03/29/2023</v>
      </c>
      <c r="C3293" t="str">
        <f>"103.0903"</f>
        <v>103.0903</v>
      </c>
      <c r="D3293" s="1" t="s">
        <v>3284</v>
      </c>
      <c r="E3293" t="s">
        <v>7395</v>
      </c>
    </row>
    <row r="3294" spans="1:5" x14ac:dyDescent="0.35">
      <c r="A3294" t="str">
        <f>"2023-03-30"</f>
        <v>2023-03-30</v>
      </c>
      <c r="B3294" s="1" t="str">
        <f t="shared" si="51"/>
        <v>03/30/2023</v>
      </c>
      <c r="C3294" t="str">
        <f>"99.9963"</f>
        <v>99.9963</v>
      </c>
      <c r="D3294" s="1" t="s">
        <v>3285</v>
      </c>
      <c r="E3294" t="s">
        <v>7396</v>
      </c>
    </row>
    <row r="3295" spans="1:5" x14ac:dyDescent="0.35">
      <c r="A3295" t="str">
        <f>"2023-03-31"</f>
        <v>2023-03-31</v>
      </c>
      <c r="B3295" s="1" t="str">
        <f t="shared" si="51"/>
        <v>03/31/2023</v>
      </c>
      <c r="C3295" t="str">
        <f>"97.6182"</f>
        <v>97.6182</v>
      </c>
      <c r="D3295" s="1" t="s">
        <v>3286</v>
      </c>
      <c r="E3295" t="s">
        <v>7397</v>
      </c>
    </row>
    <row r="3296" spans="1:5" x14ac:dyDescent="0.35">
      <c r="A3296" t="str">
        <f>"2023-04-03"</f>
        <v>2023-04-03</v>
      </c>
      <c r="B3296" s="1" t="str">
        <f t="shared" si="51"/>
        <v>04/03/2023</v>
      </c>
      <c r="C3296" t="str">
        <f>"98.674"</f>
        <v>98.674</v>
      </c>
      <c r="D3296" s="1" t="s">
        <v>3287</v>
      </c>
      <c r="E3296" t="s">
        <v>7398</v>
      </c>
    </row>
    <row r="3297" spans="1:5" x14ac:dyDescent="0.35">
      <c r="A3297" t="str">
        <f>"2023-04-04"</f>
        <v>2023-04-04</v>
      </c>
      <c r="B3297" s="1" t="str">
        <f t="shared" si="51"/>
        <v>04/04/2023</v>
      </c>
      <c r="C3297" t="str">
        <f>"102.5946"</f>
        <v>102.5946</v>
      </c>
      <c r="D3297" s="1" t="s">
        <v>3288</v>
      </c>
      <c r="E3297" t="s">
        <v>7399</v>
      </c>
    </row>
    <row r="3298" spans="1:5" x14ac:dyDescent="0.35">
      <c r="A3298" t="str">
        <f>"2023-04-05"</f>
        <v>2023-04-05</v>
      </c>
      <c r="B3298" s="1" t="str">
        <f t="shared" si="51"/>
        <v>04/05/2023</v>
      </c>
      <c r="C3298" t="str">
        <f>"100.3529"</f>
        <v>100.3529</v>
      </c>
      <c r="D3298" s="1" t="s">
        <v>3289</v>
      </c>
      <c r="E3298" t="s">
        <v>7400</v>
      </c>
    </row>
    <row r="3299" spans="1:5" x14ac:dyDescent="0.35">
      <c r="A3299" t="str">
        <f>"2023-04-06"</f>
        <v>2023-04-06</v>
      </c>
      <c r="B3299" s="1" t="str">
        <f t="shared" si="51"/>
        <v>04/06/2023</v>
      </c>
      <c r="C3299" t="str">
        <f>"102.1544"</f>
        <v>102.1544</v>
      </c>
      <c r="D3299" s="1" t="s">
        <v>3290</v>
      </c>
      <c r="E3299" t="s">
        <v>7401</v>
      </c>
    </row>
    <row r="3300" spans="1:5" x14ac:dyDescent="0.35">
      <c r="A3300" t="str">
        <f>"2023-04-10"</f>
        <v>2023-04-10</v>
      </c>
      <c r="B3300" s="1" t="str">
        <f t="shared" si="51"/>
        <v>04/10/2023</v>
      </c>
      <c r="C3300" t="str">
        <f>"108.4693"</f>
        <v>108.4693</v>
      </c>
      <c r="D3300" s="1" t="s">
        <v>3291</v>
      </c>
      <c r="E3300" t="s">
        <v>7402</v>
      </c>
    </row>
    <row r="3301" spans="1:5" x14ac:dyDescent="0.35">
      <c r="A3301" t="str">
        <f>"2023-04-11"</f>
        <v>2023-04-11</v>
      </c>
      <c r="B3301" s="1" t="str">
        <f t="shared" si="51"/>
        <v>04/11/2023</v>
      </c>
      <c r="C3301" t="str">
        <f>"107.1061"</f>
        <v>107.1061</v>
      </c>
      <c r="D3301" s="1" t="s">
        <v>3292</v>
      </c>
      <c r="E3301" t="s">
        <v>7403</v>
      </c>
    </row>
    <row r="3302" spans="1:5" x14ac:dyDescent="0.35">
      <c r="A3302" t="str">
        <f>"2023-04-12"</f>
        <v>2023-04-12</v>
      </c>
      <c r="B3302" s="1" t="str">
        <f t="shared" si="51"/>
        <v>04/12/2023</v>
      </c>
      <c r="C3302" t="str">
        <f>"106.9594"</f>
        <v>106.9594</v>
      </c>
      <c r="D3302" s="1" t="s">
        <v>3293</v>
      </c>
      <c r="E3302" t="s">
        <v>7404</v>
      </c>
    </row>
    <row r="3303" spans="1:5" x14ac:dyDescent="0.35">
      <c r="A3303" t="str">
        <f>"2023-04-13"</f>
        <v>2023-04-13</v>
      </c>
      <c r="B3303" s="1" t="str">
        <f t="shared" si="51"/>
        <v>04/13/2023</v>
      </c>
      <c r="C3303" t="str">
        <f>"108.1896"</f>
        <v>108.1896</v>
      </c>
      <c r="D3303" s="1" t="s">
        <v>3294</v>
      </c>
      <c r="E3303" t="s">
        <v>7405</v>
      </c>
    </row>
    <row r="3304" spans="1:5" x14ac:dyDescent="0.35">
      <c r="A3304" t="str">
        <f>"2023-04-14"</f>
        <v>2023-04-14</v>
      </c>
      <c r="B3304" s="1" t="str">
        <f t="shared" si="51"/>
        <v>04/14/2023</v>
      </c>
      <c r="C3304" t="str">
        <f>"107.9828"</f>
        <v>107.9828</v>
      </c>
      <c r="D3304" s="1" t="s">
        <v>3295</v>
      </c>
      <c r="E3304" t="s">
        <v>7406</v>
      </c>
    </row>
    <row r="3305" spans="1:5" x14ac:dyDescent="0.35">
      <c r="A3305" t="str">
        <f>"2023-04-17"</f>
        <v>2023-04-17</v>
      </c>
      <c r="B3305" s="1" t="str">
        <f t="shared" si="51"/>
        <v>04/17/2023</v>
      </c>
      <c r="C3305" t="str">
        <f>"109.2206"</f>
        <v>109.2206</v>
      </c>
      <c r="D3305" s="1" t="s">
        <v>3296</v>
      </c>
      <c r="E3305" t="s">
        <v>7407</v>
      </c>
    </row>
    <row r="3306" spans="1:5" x14ac:dyDescent="0.35">
      <c r="A3306" t="str">
        <f>"2023-04-18"</f>
        <v>2023-04-18</v>
      </c>
      <c r="B3306" s="1" t="str">
        <f t="shared" si="51"/>
        <v>04/18/2023</v>
      </c>
      <c r="C3306" t="str">
        <f>"108.8629"</f>
        <v>108.8629</v>
      </c>
      <c r="D3306" s="1" t="s">
        <v>3297</v>
      </c>
      <c r="E3306" t="s">
        <v>7408</v>
      </c>
    </row>
    <row r="3307" spans="1:5" x14ac:dyDescent="0.35">
      <c r="A3307" t="str">
        <f>"2023-04-19"</f>
        <v>2023-04-19</v>
      </c>
      <c r="B3307" s="1" t="str">
        <f t="shared" si="51"/>
        <v>04/19/2023</v>
      </c>
      <c r="C3307" t="str">
        <f>"108.2425"</f>
        <v>108.2425</v>
      </c>
      <c r="D3307" s="1" t="s">
        <v>3298</v>
      </c>
      <c r="E3307" t="s">
        <v>7409</v>
      </c>
    </row>
    <row r="3308" spans="1:5" x14ac:dyDescent="0.35">
      <c r="A3308" t="str">
        <f>"2023-04-20"</f>
        <v>2023-04-20</v>
      </c>
      <c r="B3308" s="1" t="str">
        <f t="shared" si="51"/>
        <v>04/20/2023</v>
      </c>
      <c r="C3308" t="str">
        <f>"107.0226"</f>
        <v>107.0226</v>
      </c>
      <c r="D3308" s="1" t="s">
        <v>3299</v>
      </c>
      <c r="E3308" t="s">
        <v>7410</v>
      </c>
    </row>
    <row r="3309" spans="1:5" x14ac:dyDescent="0.35">
      <c r="A3309" t="str">
        <f>"2023-04-24"</f>
        <v>2023-04-24</v>
      </c>
      <c r="B3309" s="1" t="str">
        <f t="shared" si="51"/>
        <v>04/24/2023</v>
      </c>
      <c r="C3309" t="str">
        <f>"109.8325"</f>
        <v>109.8325</v>
      </c>
      <c r="D3309" s="1" t="s">
        <v>3300</v>
      </c>
      <c r="E3309" t="s">
        <v>7411</v>
      </c>
    </row>
    <row r="3310" spans="1:5" x14ac:dyDescent="0.35">
      <c r="A3310" t="str">
        <f>"2023-04-25"</f>
        <v>2023-04-25</v>
      </c>
      <c r="B3310" s="1" t="str">
        <f t="shared" si="51"/>
        <v>04/25/2023</v>
      </c>
      <c r="C3310" t="str">
        <f>"107.4864"</f>
        <v>107.4864</v>
      </c>
      <c r="D3310" s="1" t="s">
        <v>3301</v>
      </c>
      <c r="E3310" t="s">
        <v>7412</v>
      </c>
    </row>
    <row r="3311" spans="1:5" x14ac:dyDescent="0.35">
      <c r="A3311" t="str">
        <f>"2023-04-26"</f>
        <v>2023-04-26</v>
      </c>
      <c r="B3311" s="1" t="str">
        <f t="shared" si="51"/>
        <v>04/26/2023</v>
      </c>
      <c r="C3311" t="str">
        <f>"104.8668"</f>
        <v>104.8668</v>
      </c>
      <c r="D3311" s="1" t="s">
        <v>3302</v>
      </c>
      <c r="E3311" t="s">
        <v>7413</v>
      </c>
    </row>
    <row r="3312" spans="1:5" x14ac:dyDescent="0.35">
      <c r="A3312" t="str">
        <f>"2023-04-27"</f>
        <v>2023-04-27</v>
      </c>
      <c r="B3312" s="1" t="str">
        <f t="shared" si="51"/>
        <v>04/27/2023</v>
      </c>
      <c r="C3312" t="str">
        <f>"105.2609"</f>
        <v>105.2609</v>
      </c>
      <c r="D3312" s="1" t="s">
        <v>3303</v>
      </c>
      <c r="E3312" t="s">
        <v>7414</v>
      </c>
    </row>
    <row r="3313" spans="1:5" x14ac:dyDescent="0.35">
      <c r="A3313" t="str">
        <f>"2023-04-28"</f>
        <v>2023-04-28</v>
      </c>
      <c r="B3313" s="1" t="str">
        <f t="shared" si="51"/>
        <v>04/28/2023</v>
      </c>
      <c r="C3313" t="str">
        <f>"102.7708"</f>
        <v>102.7708</v>
      </c>
      <c r="D3313" s="1" t="s">
        <v>3304</v>
      </c>
      <c r="E3313" t="s">
        <v>7415</v>
      </c>
    </row>
    <row r="3314" spans="1:5" x14ac:dyDescent="0.35">
      <c r="A3314" t="str">
        <f>"2023-05-02"</f>
        <v>2023-05-02</v>
      </c>
      <c r="B3314" s="1" t="str">
        <f t="shared" si="51"/>
        <v>05/02/2023</v>
      </c>
      <c r="C3314" t="str">
        <f>"100.2589"</f>
        <v>100.2589</v>
      </c>
      <c r="D3314" s="1" t="s">
        <v>3305</v>
      </c>
      <c r="E3314" t="s">
        <v>7416</v>
      </c>
    </row>
    <row r="3315" spans="1:5" x14ac:dyDescent="0.35">
      <c r="A3315" t="str">
        <f>"2023-05-03"</f>
        <v>2023-05-03</v>
      </c>
      <c r="B3315" s="1" t="str">
        <f t="shared" si="51"/>
        <v>05/03/2023</v>
      </c>
      <c r="C3315" t="str">
        <f>"101.7256"</f>
        <v>101.7256</v>
      </c>
      <c r="D3315" s="1" t="s">
        <v>3306</v>
      </c>
      <c r="E3315" t="s">
        <v>7417</v>
      </c>
    </row>
    <row r="3316" spans="1:5" x14ac:dyDescent="0.35">
      <c r="A3316" t="str">
        <f>"2023-05-04"</f>
        <v>2023-05-04</v>
      </c>
      <c r="B3316" s="1" t="str">
        <f t="shared" si="51"/>
        <v>05/04/2023</v>
      </c>
      <c r="C3316" t="str">
        <f>"99.5853"</f>
        <v>99.5853</v>
      </c>
      <c r="D3316" s="1" t="s">
        <v>3307</v>
      </c>
      <c r="E3316" t="s">
        <v>7418</v>
      </c>
    </row>
    <row r="3317" spans="1:5" x14ac:dyDescent="0.35">
      <c r="A3317" t="str">
        <f>"2023-05-05"</f>
        <v>2023-05-05</v>
      </c>
      <c r="B3317" s="1" t="str">
        <f t="shared" si="51"/>
        <v>05/05/2023</v>
      </c>
      <c r="C3317" t="str">
        <f>"99.2914"</f>
        <v>99.2914</v>
      </c>
      <c r="D3317" s="1" t="s">
        <v>3308</v>
      </c>
      <c r="E3317" t="s">
        <v>7419</v>
      </c>
    </row>
    <row r="3318" spans="1:5" x14ac:dyDescent="0.35">
      <c r="A3318" t="str">
        <f>"2023-05-08"</f>
        <v>2023-05-08</v>
      </c>
      <c r="B3318" s="1" t="str">
        <f t="shared" si="51"/>
        <v>05/08/2023</v>
      </c>
      <c r="C3318" t="str">
        <f>"104.5421"</f>
        <v>104.5421</v>
      </c>
      <c r="D3318" s="1" t="s">
        <v>3309</v>
      </c>
      <c r="E3318" t="s">
        <v>7420</v>
      </c>
    </row>
    <row r="3319" spans="1:5" x14ac:dyDescent="0.35">
      <c r="A3319" t="str">
        <f>"2023-05-09"</f>
        <v>2023-05-09</v>
      </c>
      <c r="B3319" s="1" t="str">
        <f t="shared" si="51"/>
        <v>05/09/2023</v>
      </c>
      <c r="C3319" t="str">
        <f>"100.8853"</f>
        <v>100.8853</v>
      </c>
      <c r="D3319" s="1" t="s">
        <v>3310</v>
      </c>
      <c r="E3319" t="s">
        <v>7421</v>
      </c>
    </row>
    <row r="3320" spans="1:5" x14ac:dyDescent="0.35">
      <c r="A3320" t="str">
        <f>"2023-05-10"</f>
        <v>2023-05-10</v>
      </c>
      <c r="B3320" s="1" t="str">
        <f t="shared" si="51"/>
        <v>05/10/2023</v>
      </c>
      <c r="C3320" t="str">
        <f>"99.5052"</f>
        <v>99.5052</v>
      </c>
      <c r="D3320" s="1" t="s">
        <v>3311</v>
      </c>
      <c r="E3320" t="s">
        <v>7422</v>
      </c>
    </row>
    <row r="3321" spans="1:5" x14ac:dyDescent="0.35">
      <c r="A3321" t="str">
        <f>"2023-05-11"</f>
        <v>2023-05-11</v>
      </c>
      <c r="B3321" s="1" t="str">
        <f t="shared" si="51"/>
        <v>05/11/2023</v>
      </c>
      <c r="C3321" t="str">
        <f>"107.6904"</f>
        <v>107.6904</v>
      </c>
      <c r="D3321" s="1" t="s">
        <v>3312</v>
      </c>
      <c r="E3321" t="s">
        <v>7423</v>
      </c>
    </row>
    <row r="3322" spans="1:5" x14ac:dyDescent="0.35">
      <c r="A3322" t="str">
        <f>"2023-05-12"</f>
        <v>2023-05-12</v>
      </c>
      <c r="B3322" s="1" t="str">
        <f t="shared" si="51"/>
        <v>05/12/2023</v>
      </c>
      <c r="C3322" t="str">
        <f>"104.6376"</f>
        <v>104.6376</v>
      </c>
      <c r="D3322" s="1" t="s">
        <v>3313</v>
      </c>
      <c r="E3322" t="s">
        <v>7424</v>
      </c>
    </row>
    <row r="3323" spans="1:5" x14ac:dyDescent="0.35">
      <c r="A3323" t="str">
        <f>"2023-05-15"</f>
        <v>2023-05-15</v>
      </c>
      <c r="B3323" s="1" t="str">
        <f t="shared" si="51"/>
        <v>05/15/2023</v>
      </c>
      <c r="C3323" t="str">
        <f>"97.686"</f>
        <v>97.686</v>
      </c>
      <c r="D3323" s="1" t="s">
        <v>3314</v>
      </c>
      <c r="E3323" t="s">
        <v>7425</v>
      </c>
    </row>
    <row r="3324" spans="1:5" x14ac:dyDescent="0.35">
      <c r="A3324" t="str">
        <f>"2023-05-16"</f>
        <v>2023-05-16</v>
      </c>
      <c r="B3324" s="1" t="str">
        <f t="shared" si="51"/>
        <v>05/16/2023</v>
      </c>
      <c r="C3324" t="str">
        <f>"108.0206"</f>
        <v>108.0206</v>
      </c>
      <c r="D3324" s="1" t="s">
        <v>3315</v>
      </c>
      <c r="E3324" t="s">
        <v>7426</v>
      </c>
    </row>
    <row r="3325" spans="1:5" x14ac:dyDescent="0.35">
      <c r="A3325" t="str">
        <f>"2023-05-17"</f>
        <v>2023-05-17</v>
      </c>
      <c r="B3325" s="1" t="str">
        <f t="shared" si="51"/>
        <v>05/17/2023</v>
      </c>
      <c r="C3325" t="str">
        <f>"109.112"</f>
        <v>109.112</v>
      </c>
      <c r="D3325" s="1" t="s">
        <v>3316</v>
      </c>
      <c r="E3325" t="s">
        <v>7427</v>
      </c>
    </row>
    <row r="3326" spans="1:5" x14ac:dyDescent="0.35">
      <c r="A3326" t="str">
        <f>"2023-05-18"</f>
        <v>2023-05-18</v>
      </c>
      <c r="B3326" s="1" t="str">
        <f t="shared" si="51"/>
        <v>05/18/2023</v>
      </c>
      <c r="C3326" t="str">
        <f>"106.657"</f>
        <v>106.657</v>
      </c>
      <c r="D3326" s="1" t="s">
        <v>3317</v>
      </c>
      <c r="E3326" t="s">
        <v>7428</v>
      </c>
    </row>
    <row r="3327" spans="1:5" x14ac:dyDescent="0.35">
      <c r="A3327" t="str">
        <f>"2023-05-22"</f>
        <v>2023-05-22</v>
      </c>
      <c r="B3327" s="1" t="str">
        <f t="shared" si="51"/>
        <v>05/22/2023</v>
      </c>
      <c r="C3327" t="str">
        <f>"107.699"</f>
        <v>107.699</v>
      </c>
      <c r="D3327" s="1" t="s">
        <v>3318</v>
      </c>
      <c r="E3327" t="s">
        <v>7429</v>
      </c>
    </row>
    <row r="3328" spans="1:5" x14ac:dyDescent="0.35">
      <c r="A3328" t="str">
        <f>"2023-05-23"</f>
        <v>2023-05-23</v>
      </c>
      <c r="B3328" s="1" t="str">
        <f t="shared" si="51"/>
        <v>05/23/2023</v>
      </c>
      <c r="C3328" t="str">
        <f>"106.8003"</f>
        <v>106.8003</v>
      </c>
      <c r="D3328" s="1" t="s">
        <v>3319</v>
      </c>
      <c r="E3328" t="s">
        <v>7430</v>
      </c>
    </row>
    <row r="3329" spans="1:5" x14ac:dyDescent="0.35">
      <c r="A3329" t="str">
        <f>"2023-05-24"</f>
        <v>2023-05-24</v>
      </c>
      <c r="B3329" s="1" t="str">
        <f t="shared" si="51"/>
        <v>05/24/2023</v>
      </c>
      <c r="C3329" t="str">
        <f>"105.9415"</f>
        <v>105.9415</v>
      </c>
      <c r="D3329" s="1" t="s">
        <v>3320</v>
      </c>
      <c r="E3329" t="s">
        <v>7431</v>
      </c>
    </row>
    <row r="3330" spans="1:5" x14ac:dyDescent="0.35">
      <c r="A3330" t="str">
        <f>"2023-05-25"</f>
        <v>2023-05-25</v>
      </c>
      <c r="B3330" s="1" t="str">
        <f t="shared" si="51"/>
        <v>05/25/2023</v>
      </c>
      <c r="C3330" t="str">
        <f>"107.8288"</f>
        <v>107.8288</v>
      </c>
      <c r="D3330" s="1" t="s">
        <v>3321</v>
      </c>
      <c r="E3330" t="s">
        <v>7432</v>
      </c>
    </row>
    <row r="3331" spans="1:5" x14ac:dyDescent="0.35">
      <c r="A3331" t="str">
        <f>"2023-05-26"</f>
        <v>2023-05-26</v>
      </c>
      <c r="B3331" s="1" t="str">
        <f t="shared" ref="B3331:B3394" si="52">LEFT(RIGHT(A3331,5),2)&amp;"/"&amp;RIGHT(A3331,2)&amp;"/"&amp;LEFT(A3331,4)</f>
        <v>05/26/2023</v>
      </c>
      <c r="C3331" t="str">
        <f>"113.9782"</f>
        <v>113.9782</v>
      </c>
      <c r="D3331" s="1" t="s">
        <v>3322</v>
      </c>
      <c r="E3331" t="s">
        <v>7433</v>
      </c>
    </row>
    <row r="3332" spans="1:5" x14ac:dyDescent="0.35">
      <c r="A3332" t="str">
        <f>"2023-05-30"</f>
        <v>2023-05-30</v>
      </c>
      <c r="B3332" s="1" t="str">
        <f t="shared" si="52"/>
        <v>05/30/2023</v>
      </c>
      <c r="C3332" t="str">
        <f>"116.0201"</f>
        <v>116.0201</v>
      </c>
      <c r="D3332" s="1" t="s">
        <v>3323</v>
      </c>
      <c r="E3332" t="s">
        <v>7434</v>
      </c>
    </row>
    <row r="3333" spans="1:5" x14ac:dyDescent="0.35">
      <c r="A3333" t="str">
        <f>"2023-05-31"</f>
        <v>2023-05-31</v>
      </c>
      <c r="B3333" s="1" t="str">
        <f t="shared" si="52"/>
        <v>05/31/2023</v>
      </c>
      <c r="C3333" t="str">
        <f>"110.4936"</f>
        <v>110.4936</v>
      </c>
      <c r="D3333" s="1" t="s">
        <v>3324</v>
      </c>
      <c r="E3333" t="s">
        <v>7435</v>
      </c>
    </row>
    <row r="3334" spans="1:5" x14ac:dyDescent="0.35">
      <c r="A3334" t="str">
        <f>"2023-06-01"</f>
        <v>2023-06-01</v>
      </c>
      <c r="B3334" s="1" t="str">
        <f t="shared" si="52"/>
        <v>06/01/2023</v>
      </c>
      <c r="C3334" t="str">
        <f>"111.2042"</f>
        <v>111.2042</v>
      </c>
      <c r="D3334" s="1" t="s">
        <v>3325</v>
      </c>
      <c r="E3334" t="s">
        <v>7436</v>
      </c>
    </row>
    <row r="3335" spans="1:5" x14ac:dyDescent="0.35">
      <c r="A3335" t="str">
        <f>"2023-06-02"</f>
        <v>2023-06-02</v>
      </c>
      <c r="B3335" s="1" t="str">
        <f t="shared" si="52"/>
        <v>06/02/2023</v>
      </c>
      <c r="C3335" t="str">
        <f>"114.4665"</f>
        <v>114.4665</v>
      </c>
      <c r="D3335" s="1" t="s">
        <v>3326</v>
      </c>
      <c r="E3335" t="s">
        <v>7437</v>
      </c>
    </row>
    <row r="3336" spans="1:5" x14ac:dyDescent="0.35">
      <c r="A3336" t="str">
        <f>"2023-06-05"</f>
        <v>2023-06-05</v>
      </c>
      <c r="B3336" s="1" t="str">
        <f t="shared" si="52"/>
        <v>06/05/2023</v>
      </c>
      <c r="C3336" t="str">
        <f>"123.9612"</f>
        <v>123.9612</v>
      </c>
      <c r="D3336" s="1" t="s">
        <v>3327</v>
      </c>
      <c r="E3336" t="s">
        <v>7438</v>
      </c>
    </row>
    <row r="3337" spans="1:5" x14ac:dyDescent="0.35">
      <c r="A3337" t="str">
        <f>"2023-06-06"</f>
        <v>2023-06-06</v>
      </c>
      <c r="B3337" s="1" t="str">
        <f t="shared" si="52"/>
        <v>06/06/2023</v>
      </c>
      <c r="C3337" t="str">
        <f>"123.0593"</f>
        <v>123.0593</v>
      </c>
      <c r="D3337" s="1" t="s">
        <v>3328</v>
      </c>
      <c r="E3337" t="s">
        <v>7439</v>
      </c>
    </row>
    <row r="3338" spans="1:5" x14ac:dyDescent="0.35">
      <c r="A3338" t="str">
        <f>"2023-06-07"</f>
        <v>2023-06-07</v>
      </c>
      <c r="B3338" s="1" t="str">
        <f t="shared" si="52"/>
        <v>06/07/2023</v>
      </c>
      <c r="C3338" t="str">
        <f>"125.9119"</f>
        <v>125.9119</v>
      </c>
      <c r="D3338" s="1" t="s">
        <v>3329</v>
      </c>
      <c r="E3338" t="s">
        <v>7440</v>
      </c>
    </row>
    <row r="3339" spans="1:5" x14ac:dyDescent="0.35">
      <c r="A3339" t="str">
        <f>"2023-06-08"</f>
        <v>2023-06-08</v>
      </c>
      <c r="B3339" s="1" t="str">
        <f t="shared" si="52"/>
        <v>06/08/2023</v>
      </c>
      <c r="C3339" t="str">
        <f>"116.6812"</f>
        <v>116.6812</v>
      </c>
      <c r="D3339" s="1" t="s">
        <v>3330</v>
      </c>
      <c r="E3339" t="s">
        <v>7441</v>
      </c>
    </row>
    <row r="3340" spans="1:5" x14ac:dyDescent="0.35">
      <c r="A3340" t="str">
        <f>"2023-06-09"</f>
        <v>2023-06-09</v>
      </c>
      <c r="B3340" s="1" t="str">
        <f t="shared" si="52"/>
        <v>06/09/2023</v>
      </c>
      <c r="C3340" t="str">
        <f>"119.3301"</f>
        <v>119.3301</v>
      </c>
      <c r="D3340" s="1" t="s">
        <v>3331</v>
      </c>
      <c r="E3340" t="s">
        <v>7442</v>
      </c>
    </row>
    <row r="3341" spans="1:5" x14ac:dyDescent="0.35">
      <c r="A3341" t="str">
        <f>"2023-06-12"</f>
        <v>2023-06-12</v>
      </c>
      <c r="B3341" s="1" t="str">
        <f t="shared" si="52"/>
        <v>06/12/2023</v>
      </c>
      <c r="C3341" t="str">
        <f>"123.3107"</f>
        <v>123.3107</v>
      </c>
      <c r="D3341" s="1" t="s">
        <v>3332</v>
      </c>
      <c r="E3341" t="s">
        <v>7443</v>
      </c>
    </row>
    <row r="3342" spans="1:5" x14ac:dyDescent="0.35">
      <c r="A3342" t="str">
        <f>"2023-06-13"</f>
        <v>2023-06-13</v>
      </c>
      <c r="B3342" s="1" t="str">
        <f t="shared" si="52"/>
        <v>06/13/2023</v>
      </c>
      <c r="C3342" t="str">
        <f>"120.1971"</f>
        <v>120.1971</v>
      </c>
      <c r="D3342" s="1" t="s">
        <v>3333</v>
      </c>
      <c r="E3342" t="s">
        <v>7444</v>
      </c>
    </row>
    <row r="3343" spans="1:5" x14ac:dyDescent="0.35">
      <c r="A3343" t="str">
        <f>"2023-06-14"</f>
        <v>2023-06-14</v>
      </c>
      <c r="B3343" s="1" t="str">
        <f t="shared" si="52"/>
        <v>06/14/2023</v>
      </c>
      <c r="C3343" t="str">
        <f>"123.0806"</f>
        <v>123.0806</v>
      </c>
      <c r="D3343" s="1" t="s">
        <v>3334</v>
      </c>
      <c r="E3343" t="s">
        <v>7445</v>
      </c>
    </row>
    <row r="3344" spans="1:5" x14ac:dyDescent="0.35">
      <c r="A3344" t="str">
        <f>"2023-06-15"</f>
        <v>2023-06-15</v>
      </c>
      <c r="B3344" s="1" t="str">
        <f t="shared" si="52"/>
        <v>06/15/2023</v>
      </c>
      <c r="C3344" t="str">
        <f>"123.3559"</f>
        <v>123.3559</v>
      </c>
      <c r="D3344" s="1" t="s">
        <v>3335</v>
      </c>
      <c r="E3344" t="s">
        <v>7446</v>
      </c>
    </row>
    <row r="3345" spans="1:5" x14ac:dyDescent="0.35">
      <c r="A3345" t="str">
        <f>"2023-06-16"</f>
        <v>2023-06-16</v>
      </c>
      <c r="B3345" s="1" t="str">
        <f t="shared" si="52"/>
        <v>06/16/2023</v>
      </c>
      <c r="C3345" t="str">
        <f>"121.3445"</f>
        <v>121.3445</v>
      </c>
      <c r="D3345" s="1" t="s">
        <v>3336</v>
      </c>
      <c r="E3345" t="s">
        <v>7447</v>
      </c>
    </row>
    <row r="3346" spans="1:5" x14ac:dyDescent="0.35">
      <c r="A3346" t="str">
        <f>"2023-06-20"</f>
        <v>2023-06-20</v>
      </c>
      <c r="B3346" s="1" t="str">
        <f t="shared" si="52"/>
        <v>06/20/2023</v>
      </c>
      <c r="C3346" t="str">
        <f>"116.7044"</f>
        <v>116.7044</v>
      </c>
      <c r="D3346" s="1" t="s">
        <v>3337</v>
      </c>
      <c r="E3346" t="s">
        <v>7448</v>
      </c>
    </row>
    <row r="3347" spans="1:5" x14ac:dyDescent="0.35">
      <c r="A3347" t="str">
        <f>"2023-06-21"</f>
        <v>2023-06-21</v>
      </c>
      <c r="B3347" s="1" t="str">
        <f t="shared" si="52"/>
        <v>06/21/2023</v>
      </c>
      <c r="C3347" t="str">
        <f>"115.6179"</f>
        <v>115.6179</v>
      </c>
      <c r="D3347" s="1" t="s">
        <v>3338</v>
      </c>
      <c r="E3347" t="s">
        <v>7449</v>
      </c>
    </row>
    <row r="3348" spans="1:5" x14ac:dyDescent="0.35">
      <c r="A3348" t="str">
        <f>"2023-06-22"</f>
        <v>2023-06-22</v>
      </c>
      <c r="B3348" s="1" t="str">
        <f t="shared" si="52"/>
        <v>06/22/2023</v>
      </c>
      <c r="C3348" t="str">
        <f>"124.474"</f>
        <v>124.474</v>
      </c>
      <c r="D3348" s="1" t="s">
        <v>3339</v>
      </c>
      <c r="E3348" t="s">
        <v>7450</v>
      </c>
    </row>
    <row r="3349" spans="1:5" x14ac:dyDescent="0.35">
      <c r="A3349" t="str">
        <f>"2023-06-23"</f>
        <v>2023-06-23</v>
      </c>
      <c r="B3349" s="1" t="str">
        <f t="shared" si="52"/>
        <v>06/23/2023</v>
      </c>
      <c r="C3349" t="str">
        <f>"120.2927"</f>
        <v>120.2927</v>
      </c>
      <c r="D3349" s="1" t="s">
        <v>3340</v>
      </c>
      <c r="E3349" t="s">
        <v>7451</v>
      </c>
    </row>
    <row r="3350" spans="1:5" x14ac:dyDescent="0.35">
      <c r="A3350" t="str">
        <f>"2023-06-26"</f>
        <v>2023-06-26</v>
      </c>
      <c r="B3350" s="1" t="str">
        <f t="shared" si="52"/>
        <v>06/26/2023</v>
      </c>
      <c r="C3350" t="str">
        <f>"121.9774"</f>
        <v>121.9774</v>
      </c>
      <c r="D3350" s="1" t="s">
        <v>3341</v>
      </c>
      <c r="E3350" t="s">
        <v>7452</v>
      </c>
    </row>
    <row r="3351" spans="1:5" x14ac:dyDescent="0.35">
      <c r="A3351" t="str">
        <f>"2023-06-27"</f>
        <v>2023-06-27</v>
      </c>
      <c r="B3351" s="1" t="str">
        <f t="shared" si="52"/>
        <v>06/27/2023</v>
      </c>
      <c r="C3351" t="str">
        <f>"121.2522"</f>
        <v>121.2522</v>
      </c>
      <c r="D3351" s="1" t="s">
        <v>3342</v>
      </c>
      <c r="E3351" t="s">
        <v>7453</v>
      </c>
    </row>
    <row r="3352" spans="1:5" x14ac:dyDescent="0.35">
      <c r="A3352" t="str">
        <f>"2023-07-03"</f>
        <v>2023-07-03</v>
      </c>
      <c r="B3352" s="1" t="str">
        <f t="shared" si="52"/>
        <v>07/03/2023</v>
      </c>
      <c r="C3352" t="str">
        <f>"134.0168"</f>
        <v>134.0168</v>
      </c>
      <c r="D3352" s="1" t="s">
        <v>3343</v>
      </c>
      <c r="E3352" t="s">
        <v>7454</v>
      </c>
    </row>
    <row r="3353" spans="1:5" x14ac:dyDescent="0.35">
      <c r="A3353" t="str">
        <f>"2023-07-05"</f>
        <v>2023-07-05</v>
      </c>
      <c r="B3353" s="1" t="str">
        <f t="shared" si="52"/>
        <v>07/05/2023</v>
      </c>
      <c r="C3353" t="str">
        <f>"135.0358"</f>
        <v>135.0358</v>
      </c>
      <c r="D3353" s="1" t="s">
        <v>3344</v>
      </c>
      <c r="E3353" t="s">
        <v>7455</v>
      </c>
    </row>
    <row r="3354" spans="1:5" x14ac:dyDescent="0.35">
      <c r="A3354" t="str">
        <f>"2023-07-06"</f>
        <v>2023-07-06</v>
      </c>
      <c r="B3354" s="1" t="str">
        <f t="shared" si="52"/>
        <v>07/06/2023</v>
      </c>
      <c r="C3354" t="str">
        <f>"135.3098"</f>
        <v>135.3098</v>
      </c>
      <c r="D3354" s="1" t="s">
        <v>3345</v>
      </c>
      <c r="E3354" t="s">
        <v>7456</v>
      </c>
    </row>
    <row r="3355" spans="1:5" x14ac:dyDescent="0.35">
      <c r="A3355" t="str">
        <f>"2023-07-07"</f>
        <v>2023-07-07</v>
      </c>
      <c r="B3355" s="1" t="str">
        <f t="shared" si="52"/>
        <v>07/07/2023</v>
      </c>
      <c r="C3355" t="str">
        <f>"132.9885"</f>
        <v>132.9885</v>
      </c>
      <c r="D3355" s="1" t="s">
        <v>3346</v>
      </c>
      <c r="E3355" t="s">
        <v>7457</v>
      </c>
    </row>
    <row r="3356" spans="1:5" x14ac:dyDescent="0.35">
      <c r="A3356" t="str">
        <f>"2023-07-10"</f>
        <v>2023-07-10</v>
      </c>
      <c r="B3356" s="1" t="str">
        <f t="shared" si="52"/>
        <v>07/10/2023</v>
      </c>
      <c r="C3356" t="str">
        <f>"132.6598"</f>
        <v>132.6598</v>
      </c>
      <c r="D3356" s="1" t="s">
        <v>3347</v>
      </c>
      <c r="E3356" t="s">
        <v>7458</v>
      </c>
    </row>
    <row r="3357" spans="1:5" x14ac:dyDescent="0.35">
      <c r="A3357" t="str">
        <f>"2023-07-11"</f>
        <v>2023-07-11</v>
      </c>
      <c r="B3357" s="1" t="str">
        <f t="shared" si="52"/>
        <v>07/11/2023</v>
      </c>
      <c r="C3357" t="str">
        <f>"133.1709"</f>
        <v>133.1709</v>
      </c>
      <c r="D3357" s="1" t="s">
        <v>3348</v>
      </c>
      <c r="E3357" t="s">
        <v>7459</v>
      </c>
    </row>
    <row r="3358" spans="1:5" x14ac:dyDescent="0.35">
      <c r="A3358" t="str">
        <f>"2023-07-12"</f>
        <v>2023-07-12</v>
      </c>
      <c r="B3358" s="1" t="str">
        <f t="shared" si="52"/>
        <v>07/12/2023</v>
      </c>
      <c r="C3358" t="str">
        <f>"128.4298"</f>
        <v>128.4298</v>
      </c>
      <c r="D3358" s="1" t="s">
        <v>3349</v>
      </c>
      <c r="E3358" t="s">
        <v>7460</v>
      </c>
    </row>
    <row r="3359" spans="1:5" x14ac:dyDescent="0.35">
      <c r="A3359" t="str">
        <f>"2023-07-13"</f>
        <v>2023-07-13</v>
      </c>
      <c r="B3359" s="1" t="str">
        <f t="shared" si="52"/>
        <v>07/13/2023</v>
      </c>
      <c r="C3359" t="str">
        <f>"126.9462"</f>
        <v>126.9462</v>
      </c>
      <c r="D3359" s="1" t="s">
        <v>3350</v>
      </c>
      <c r="E3359" t="s">
        <v>7461</v>
      </c>
    </row>
    <row r="3360" spans="1:5" x14ac:dyDescent="0.35">
      <c r="A3360" t="str">
        <f>"2023-07-14"</f>
        <v>2023-07-14</v>
      </c>
      <c r="B3360" s="1" t="str">
        <f t="shared" si="52"/>
        <v>07/14/2023</v>
      </c>
      <c r="C3360" t="str">
        <f>"130.0173"</f>
        <v>130.0173</v>
      </c>
      <c r="D3360" s="1" t="s">
        <v>3351</v>
      </c>
      <c r="E3360" t="s">
        <v>7462</v>
      </c>
    </row>
    <row r="3361" spans="1:5" x14ac:dyDescent="0.35">
      <c r="A3361" t="str">
        <f>"2023-07-17"</f>
        <v>2023-07-17</v>
      </c>
      <c r="B3361" s="1" t="str">
        <f t="shared" si="52"/>
        <v>07/17/2023</v>
      </c>
      <c r="C3361" t="str">
        <f>"132.7879"</f>
        <v>132.7879</v>
      </c>
      <c r="D3361" s="1" t="s">
        <v>3352</v>
      </c>
      <c r="E3361" t="s">
        <v>7463</v>
      </c>
    </row>
    <row r="3362" spans="1:5" x14ac:dyDescent="0.35">
      <c r="A3362" t="str">
        <f>"2023-07-18"</f>
        <v>2023-07-18</v>
      </c>
      <c r="B3362" s="1" t="str">
        <f t="shared" si="52"/>
        <v>07/18/2023</v>
      </c>
      <c r="C3362" t="str">
        <f>"127.6032"</f>
        <v>127.6032</v>
      </c>
      <c r="D3362" s="1" t="s">
        <v>3353</v>
      </c>
      <c r="E3362" t="s">
        <v>7464</v>
      </c>
    </row>
    <row r="3363" spans="1:5" x14ac:dyDescent="0.35">
      <c r="A3363" t="str">
        <f>"2023-07-19"</f>
        <v>2023-07-19</v>
      </c>
      <c r="B3363" s="1" t="str">
        <f t="shared" si="52"/>
        <v>07/19/2023</v>
      </c>
      <c r="C3363" t="str">
        <f>"130.5092"</f>
        <v>130.5092</v>
      </c>
      <c r="D3363" s="1" t="s">
        <v>3354</v>
      </c>
      <c r="E3363" t="s">
        <v>7465</v>
      </c>
    </row>
    <row r="3364" spans="1:5" x14ac:dyDescent="0.35">
      <c r="A3364" t="str">
        <f>"2023-07-20"</f>
        <v>2023-07-20</v>
      </c>
      <c r="B3364" s="1" t="str">
        <f t="shared" si="52"/>
        <v>07/20/2023</v>
      </c>
      <c r="C3364" t="str">
        <f>"132.6843"</f>
        <v>132.6843</v>
      </c>
      <c r="D3364" s="1" t="s">
        <v>3355</v>
      </c>
      <c r="E3364" t="s">
        <v>7466</v>
      </c>
    </row>
    <row r="3365" spans="1:5" x14ac:dyDescent="0.35">
      <c r="A3365" t="str">
        <f>"2023-07-21"</f>
        <v>2023-07-21</v>
      </c>
      <c r="B3365" s="1" t="str">
        <f t="shared" si="52"/>
        <v>07/21/2023</v>
      </c>
      <c r="C3365" t="str">
        <f>"131.8624"</f>
        <v>131.8624</v>
      </c>
      <c r="D3365" s="1" t="s">
        <v>3356</v>
      </c>
      <c r="E3365" t="s">
        <v>7467</v>
      </c>
    </row>
    <row r="3366" spans="1:5" x14ac:dyDescent="0.35">
      <c r="A3366" t="str">
        <f>"2023-07-24"</f>
        <v>2023-07-24</v>
      </c>
      <c r="B3366" s="1" t="str">
        <f t="shared" si="52"/>
        <v>07/24/2023</v>
      </c>
      <c r="C3366" t="str">
        <f>"130.5742"</f>
        <v>130.5742</v>
      </c>
      <c r="D3366" s="1" t="s">
        <v>3357</v>
      </c>
      <c r="E3366" t="s">
        <v>7468</v>
      </c>
    </row>
    <row r="3367" spans="1:5" x14ac:dyDescent="0.35">
      <c r="A3367" t="str">
        <f>"2023-07-25"</f>
        <v>2023-07-25</v>
      </c>
      <c r="B3367" s="1" t="str">
        <f t="shared" si="52"/>
        <v>07/25/2023</v>
      </c>
      <c r="C3367" t="str">
        <f>"127.7252"</f>
        <v>127.7252</v>
      </c>
      <c r="D3367" s="1" t="s">
        <v>3358</v>
      </c>
      <c r="E3367" t="s">
        <v>7469</v>
      </c>
    </row>
    <row r="3368" spans="1:5" x14ac:dyDescent="0.35">
      <c r="A3368" t="str">
        <f>"2023-07-26"</f>
        <v>2023-07-26</v>
      </c>
      <c r="B3368" s="1" t="str">
        <f t="shared" si="52"/>
        <v>07/26/2023</v>
      </c>
      <c r="C3368" t="str">
        <f>"131.491"</f>
        <v>131.491</v>
      </c>
      <c r="D3368" s="1" t="s">
        <v>3359</v>
      </c>
      <c r="E3368" t="s">
        <v>7470</v>
      </c>
    </row>
    <row r="3369" spans="1:5" x14ac:dyDescent="0.35">
      <c r="A3369" t="str">
        <f>"2023-07-27"</f>
        <v>2023-07-27</v>
      </c>
      <c r="B3369" s="1" t="str">
        <f t="shared" si="52"/>
        <v>07/27/2023</v>
      </c>
      <c r="C3369" t="str">
        <f>"135.8325"</f>
        <v>135.8325</v>
      </c>
      <c r="D3369" s="1" t="s">
        <v>3360</v>
      </c>
      <c r="E3369" t="s">
        <v>7471</v>
      </c>
    </row>
    <row r="3370" spans="1:5" x14ac:dyDescent="0.35">
      <c r="A3370" t="str">
        <f>"2023-07-28"</f>
        <v>2023-07-28</v>
      </c>
      <c r="B3370" s="1" t="str">
        <f t="shared" si="52"/>
        <v>07/28/2023</v>
      </c>
      <c r="C3370" t="str">
        <f>"138.3216"</f>
        <v>138.3216</v>
      </c>
      <c r="D3370" s="1" t="s">
        <v>3361</v>
      </c>
      <c r="E3370" t="s">
        <v>7472</v>
      </c>
    </row>
    <row r="3371" spans="1:5" x14ac:dyDescent="0.35">
      <c r="A3371" t="str">
        <f>"2023-07-31"</f>
        <v>2023-07-31</v>
      </c>
      <c r="B3371" s="1" t="str">
        <f t="shared" si="52"/>
        <v>07/31/2023</v>
      </c>
      <c r="C3371" t="str">
        <f>"137.7895"</f>
        <v>137.7895</v>
      </c>
      <c r="D3371" s="1" t="s">
        <v>3362</v>
      </c>
      <c r="E3371" t="s">
        <v>7473</v>
      </c>
    </row>
    <row r="3372" spans="1:5" x14ac:dyDescent="0.35">
      <c r="A3372" t="str">
        <f>"2023-08-01"</f>
        <v>2023-08-01</v>
      </c>
      <c r="B3372" s="1" t="str">
        <f t="shared" si="52"/>
        <v>08/01/2023</v>
      </c>
      <c r="C3372" t="str">
        <f>"137.4964"</f>
        <v>137.4964</v>
      </c>
      <c r="D3372" s="1" t="s">
        <v>3363</v>
      </c>
      <c r="E3372" t="s">
        <v>7474</v>
      </c>
    </row>
    <row r="3373" spans="1:5" x14ac:dyDescent="0.35">
      <c r="A3373" t="str">
        <f>"2023-08-02"</f>
        <v>2023-08-02</v>
      </c>
      <c r="B3373" s="1" t="str">
        <f t="shared" si="52"/>
        <v>08/02/2023</v>
      </c>
      <c r="C3373" t="str">
        <f>"140.7615"</f>
        <v>140.7615</v>
      </c>
      <c r="D3373" s="1" t="s">
        <v>3364</v>
      </c>
      <c r="E3373" t="s">
        <v>7475</v>
      </c>
    </row>
    <row r="3374" spans="1:5" x14ac:dyDescent="0.35">
      <c r="A3374" t="str">
        <f>"2023-08-03"</f>
        <v>2023-08-03</v>
      </c>
      <c r="B3374" s="1" t="str">
        <f t="shared" si="52"/>
        <v>08/03/2023</v>
      </c>
      <c r="C3374" t="str">
        <f>"140.3179"</f>
        <v>140.3179</v>
      </c>
      <c r="D3374" s="1" t="s">
        <v>3365</v>
      </c>
      <c r="E3374" t="s">
        <v>7476</v>
      </c>
    </row>
    <row r="3375" spans="1:5" x14ac:dyDescent="0.35">
      <c r="A3375" t="str">
        <f>"2023-08-04"</f>
        <v>2023-08-04</v>
      </c>
      <c r="B3375" s="1" t="str">
        <f t="shared" si="52"/>
        <v>08/04/2023</v>
      </c>
      <c r="C3375" t="str">
        <f>"147.9703"</f>
        <v>147.9703</v>
      </c>
      <c r="D3375" s="1" t="s">
        <v>3366</v>
      </c>
      <c r="E3375" t="s">
        <v>7477</v>
      </c>
    </row>
    <row r="3376" spans="1:5" x14ac:dyDescent="0.35">
      <c r="A3376" t="str">
        <f>"2023-08-07"</f>
        <v>2023-08-07</v>
      </c>
      <c r="B3376" s="1" t="str">
        <f t="shared" si="52"/>
        <v>08/07/2023</v>
      </c>
      <c r="C3376" t="str">
        <f>"159.0529"</f>
        <v>159.0529</v>
      </c>
      <c r="D3376" s="1" t="s">
        <v>3367</v>
      </c>
      <c r="E3376" t="s">
        <v>7478</v>
      </c>
    </row>
    <row r="3377" spans="1:5" x14ac:dyDescent="0.35">
      <c r="A3377" t="str">
        <f>"2023-08-08"</f>
        <v>2023-08-08</v>
      </c>
      <c r="B3377" s="1" t="str">
        <f t="shared" si="52"/>
        <v>08/08/2023</v>
      </c>
      <c r="C3377" t="str">
        <f>"156.7114"</f>
        <v>156.7114</v>
      </c>
      <c r="D3377" s="1" t="s">
        <v>3368</v>
      </c>
      <c r="E3377" t="s">
        <v>7479</v>
      </c>
    </row>
    <row r="3378" spans="1:5" x14ac:dyDescent="0.35">
      <c r="A3378" t="str">
        <f>"2023-08-09"</f>
        <v>2023-08-09</v>
      </c>
      <c r="B3378" s="1" t="str">
        <f t="shared" si="52"/>
        <v>08/09/2023</v>
      </c>
      <c r="C3378" t="str">
        <f>"156.8067"</f>
        <v>156.8067</v>
      </c>
      <c r="D3378" s="1" t="s">
        <v>3369</v>
      </c>
      <c r="E3378" t="s">
        <v>7480</v>
      </c>
    </row>
    <row r="3379" spans="1:5" x14ac:dyDescent="0.35">
      <c r="A3379" t="str">
        <f>"2023-08-10"</f>
        <v>2023-08-10</v>
      </c>
      <c r="B3379" s="1" t="str">
        <f t="shared" si="52"/>
        <v>08/10/2023</v>
      </c>
      <c r="C3379" t="str">
        <f>"155.8571"</f>
        <v>155.8571</v>
      </c>
      <c r="D3379" s="1" t="s">
        <v>3370</v>
      </c>
      <c r="E3379" t="s">
        <v>7481</v>
      </c>
    </row>
    <row r="3380" spans="1:5" x14ac:dyDescent="0.35">
      <c r="A3380" t="str">
        <f>"2023-08-11"</f>
        <v>2023-08-11</v>
      </c>
      <c r="B3380" s="1" t="str">
        <f t="shared" si="52"/>
        <v>08/11/2023</v>
      </c>
      <c r="C3380" t="str">
        <f>"159.7063"</f>
        <v>159.7063</v>
      </c>
      <c r="D3380" s="1" t="s">
        <v>3371</v>
      </c>
      <c r="E3380" t="s">
        <v>7482</v>
      </c>
    </row>
    <row r="3381" spans="1:5" x14ac:dyDescent="0.35">
      <c r="A3381" t="str">
        <f>"2023-08-14"</f>
        <v>2023-08-14</v>
      </c>
      <c r="B3381" s="1" t="str">
        <f t="shared" si="52"/>
        <v>08/14/2023</v>
      </c>
      <c r="C3381" t="str">
        <f>"156.9569"</f>
        <v>156.9569</v>
      </c>
      <c r="D3381" s="1" t="s">
        <v>3372</v>
      </c>
      <c r="E3381" t="s">
        <v>7483</v>
      </c>
    </row>
    <row r="3382" spans="1:5" x14ac:dyDescent="0.35">
      <c r="A3382" t="str">
        <f>"2023-08-15"</f>
        <v>2023-08-15</v>
      </c>
      <c r="B3382" s="1" t="str">
        <f t="shared" si="52"/>
        <v>08/15/2023</v>
      </c>
      <c r="C3382" t="str">
        <f>"156.9288"</f>
        <v>156.9288</v>
      </c>
      <c r="D3382" s="1" t="s">
        <v>3373</v>
      </c>
      <c r="E3382" t="s">
        <v>7484</v>
      </c>
    </row>
    <row r="3383" spans="1:5" x14ac:dyDescent="0.35">
      <c r="A3383" t="str">
        <f>"2023-08-16"</f>
        <v>2023-08-16</v>
      </c>
      <c r="B3383" s="1" t="str">
        <f t="shared" si="52"/>
        <v>08/16/2023</v>
      </c>
      <c r="C3383" t="str">
        <f>"154.3485"</f>
        <v>154.3485</v>
      </c>
      <c r="D3383" s="1" t="s">
        <v>3374</v>
      </c>
      <c r="E3383" t="s">
        <v>7485</v>
      </c>
    </row>
    <row r="3384" spans="1:5" x14ac:dyDescent="0.35">
      <c r="A3384" t="str">
        <f>"2023-08-17"</f>
        <v>2023-08-17</v>
      </c>
      <c r="B3384" s="1" t="str">
        <f t="shared" si="52"/>
        <v>08/17/2023</v>
      </c>
      <c r="C3384" t="str">
        <f>"159.8179"</f>
        <v>159.8179</v>
      </c>
      <c r="D3384" s="1" t="s">
        <v>3375</v>
      </c>
      <c r="E3384" t="s">
        <v>7486</v>
      </c>
    </row>
    <row r="3385" spans="1:5" x14ac:dyDescent="0.35">
      <c r="A3385" t="str">
        <f>"2023-08-18"</f>
        <v>2023-08-18</v>
      </c>
      <c r="B3385" s="1" t="str">
        <f t="shared" si="52"/>
        <v>08/18/2023</v>
      </c>
      <c r="C3385" t="str">
        <f>"152.8411"</f>
        <v>152.8411</v>
      </c>
      <c r="D3385" s="1" t="s">
        <v>3376</v>
      </c>
      <c r="E3385" t="s">
        <v>7487</v>
      </c>
    </row>
    <row r="3386" spans="1:5" x14ac:dyDescent="0.35">
      <c r="A3386" t="str">
        <f>"2023-08-21"</f>
        <v>2023-08-21</v>
      </c>
      <c r="B3386" s="1" t="str">
        <f t="shared" si="52"/>
        <v>08/21/2023</v>
      </c>
      <c r="C3386" t="str">
        <f>"156.7853"</f>
        <v>156.7853</v>
      </c>
      <c r="D3386" s="1" t="s">
        <v>3377</v>
      </c>
      <c r="E3386" t="s">
        <v>7488</v>
      </c>
    </row>
    <row r="3387" spans="1:5" x14ac:dyDescent="0.35">
      <c r="A3387" t="str">
        <f>"2023-08-22"</f>
        <v>2023-08-22</v>
      </c>
      <c r="B3387" s="1" t="str">
        <f t="shared" si="52"/>
        <v>08/22/2023</v>
      </c>
      <c r="C3387" t="str">
        <f>"153.6712"</f>
        <v>153.6712</v>
      </c>
      <c r="D3387" s="1" t="s">
        <v>3378</v>
      </c>
      <c r="E3387" t="s">
        <v>7489</v>
      </c>
    </row>
    <row r="3388" spans="1:5" x14ac:dyDescent="0.35">
      <c r="A3388" t="str">
        <f>"2023-08-23"</f>
        <v>2023-08-23</v>
      </c>
      <c r="B3388" s="1" t="str">
        <f t="shared" si="52"/>
        <v>08/23/2023</v>
      </c>
      <c r="C3388" t="str">
        <f>"142.8461"</f>
        <v>142.8461</v>
      </c>
      <c r="D3388" s="1" t="s">
        <v>3379</v>
      </c>
      <c r="E3388" t="s">
        <v>7490</v>
      </c>
    </row>
    <row r="3389" spans="1:5" x14ac:dyDescent="0.35">
      <c r="A3389" t="str">
        <f>"2023-08-24"</f>
        <v>2023-08-24</v>
      </c>
      <c r="B3389" s="1" t="str">
        <f t="shared" si="52"/>
        <v>08/24/2023</v>
      </c>
      <c r="C3389" t="str">
        <f>"137.4431"</f>
        <v>137.4431</v>
      </c>
      <c r="D3389" s="1" t="s">
        <v>3380</v>
      </c>
      <c r="E3389" t="s">
        <v>7491</v>
      </c>
    </row>
    <row r="3390" spans="1:5" x14ac:dyDescent="0.35">
      <c r="A3390" t="str">
        <f>"2023-08-25"</f>
        <v>2023-08-25</v>
      </c>
      <c r="B3390" s="1" t="str">
        <f t="shared" si="52"/>
        <v>08/25/2023</v>
      </c>
      <c r="C3390" t="str">
        <f>"149.5246"</f>
        <v>149.5246</v>
      </c>
      <c r="D3390" s="1" t="s">
        <v>3381</v>
      </c>
      <c r="E3390" t="s">
        <v>7492</v>
      </c>
    </row>
    <row r="3391" spans="1:5" x14ac:dyDescent="0.35">
      <c r="A3391" t="str">
        <f>"2023-08-28"</f>
        <v>2023-08-28</v>
      </c>
      <c r="B3391" s="1" t="str">
        <f t="shared" si="52"/>
        <v>08/28/2023</v>
      </c>
      <c r="C3391" t="str">
        <f>"157.5367"</f>
        <v>157.5367</v>
      </c>
      <c r="D3391" s="1" t="s">
        <v>3382</v>
      </c>
      <c r="E3391" t="s">
        <v>7493</v>
      </c>
    </row>
    <row r="3392" spans="1:5" x14ac:dyDescent="0.35">
      <c r="A3392" t="str">
        <f>"2023-08-29"</f>
        <v>2023-08-29</v>
      </c>
      <c r="B3392" s="1" t="str">
        <f t="shared" si="52"/>
        <v>08/29/2023</v>
      </c>
      <c r="C3392" t="str">
        <f>"151.3407"</f>
        <v>151.3407</v>
      </c>
      <c r="D3392" s="1" t="s">
        <v>3383</v>
      </c>
      <c r="E3392" t="s">
        <v>7494</v>
      </c>
    </row>
    <row r="3393" spans="1:5" x14ac:dyDescent="0.35">
      <c r="A3393" t="str">
        <f>"2023-08-31"</f>
        <v>2023-08-31</v>
      </c>
      <c r="B3393" s="1" t="str">
        <f t="shared" si="52"/>
        <v>08/31/2023</v>
      </c>
      <c r="C3393" t="str">
        <f>"147.3567"</f>
        <v>147.3567</v>
      </c>
      <c r="D3393" s="1" t="s">
        <v>3384</v>
      </c>
      <c r="E3393" t="s">
        <v>7495</v>
      </c>
    </row>
    <row r="3394" spans="1:5" x14ac:dyDescent="0.35">
      <c r="A3394" t="str">
        <f>"2023-09-01"</f>
        <v>2023-09-01</v>
      </c>
      <c r="B3394" s="1" t="str">
        <f t="shared" si="52"/>
        <v>09/01/2023</v>
      </c>
      <c r="C3394" t="str">
        <f>"152.606"</f>
        <v>152.606</v>
      </c>
      <c r="D3394" s="1" t="s">
        <v>3385</v>
      </c>
      <c r="E3394" t="s">
        <v>7496</v>
      </c>
    </row>
    <row r="3395" spans="1:5" x14ac:dyDescent="0.35">
      <c r="A3395" t="str">
        <f>"2023-09-05"</f>
        <v>2023-09-05</v>
      </c>
      <c r="B3395" s="1" t="str">
        <f t="shared" ref="B3395:B3458" si="53">LEFT(RIGHT(A3395,5),2)&amp;"/"&amp;RIGHT(A3395,2)&amp;"/"&amp;LEFT(A3395,4)</f>
        <v>09/05/2023</v>
      </c>
      <c r="C3395" t="str">
        <f>"151.999"</f>
        <v>151.999</v>
      </c>
      <c r="D3395" s="1" t="s">
        <v>3386</v>
      </c>
      <c r="E3395" t="s">
        <v>7497</v>
      </c>
    </row>
    <row r="3396" spans="1:5" x14ac:dyDescent="0.35">
      <c r="A3396" t="str">
        <f>"2023-09-06"</f>
        <v>2023-09-06</v>
      </c>
      <c r="B3396" s="1" t="str">
        <f t="shared" si="53"/>
        <v>09/06/2023</v>
      </c>
      <c r="C3396" t="str">
        <f>"148.3487"</f>
        <v>148.3487</v>
      </c>
      <c r="D3396" s="1" t="s">
        <v>3387</v>
      </c>
      <c r="E3396" t="s">
        <v>7498</v>
      </c>
    </row>
    <row r="3397" spans="1:5" x14ac:dyDescent="0.35">
      <c r="A3397" t="str">
        <f>"2023-09-07"</f>
        <v>2023-09-07</v>
      </c>
      <c r="B3397" s="1" t="str">
        <f t="shared" si="53"/>
        <v>09/07/2023</v>
      </c>
      <c r="C3397" t="str">
        <f>"147.9545"</f>
        <v>147.9545</v>
      </c>
      <c r="D3397" s="1" t="s">
        <v>3388</v>
      </c>
      <c r="E3397" t="s">
        <v>7499</v>
      </c>
    </row>
    <row r="3398" spans="1:5" x14ac:dyDescent="0.35">
      <c r="A3398" t="str">
        <f>"2023-09-08"</f>
        <v>2023-09-08</v>
      </c>
      <c r="B3398" s="1" t="str">
        <f t="shared" si="53"/>
        <v>09/08/2023</v>
      </c>
      <c r="C3398" t="str">
        <f>"146.8713"</f>
        <v>146.8713</v>
      </c>
      <c r="D3398" s="1" t="s">
        <v>3389</v>
      </c>
      <c r="E3398" t="s">
        <v>7500</v>
      </c>
    </row>
    <row r="3399" spans="1:5" x14ac:dyDescent="0.35">
      <c r="A3399" t="str">
        <f>"2023-09-11"</f>
        <v>2023-09-11</v>
      </c>
      <c r="B3399" s="1" t="str">
        <f t="shared" si="53"/>
        <v>09/11/2023</v>
      </c>
      <c r="C3399" t="str">
        <f>"142.2204"</f>
        <v>142.2204</v>
      </c>
      <c r="D3399" s="1" t="s">
        <v>3390</v>
      </c>
      <c r="E3399" t="s">
        <v>7501</v>
      </c>
    </row>
    <row r="3400" spans="1:5" x14ac:dyDescent="0.35">
      <c r="A3400" t="str">
        <f>"2023-09-12"</f>
        <v>2023-09-12</v>
      </c>
      <c r="B3400" s="1" t="str">
        <f t="shared" si="53"/>
        <v>09/12/2023</v>
      </c>
      <c r="C3400" t="str">
        <f>"142.9471"</f>
        <v>142.9471</v>
      </c>
      <c r="D3400" s="1" t="s">
        <v>3391</v>
      </c>
      <c r="E3400" t="s">
        <v>7502</v>
      </c>
    </row>
    <row r="3401" spans="1:5" x14ac:dyDescent="0.35">
      <c r="A3401" t="str">
        <f>"2023-09-13"</f>
        <v>2023-09-13</v>
      </c>
      <c r="B3401" s="1" t="str">
        <f t="shared" si="53"/>
        <v>09/13/2023</v>
      </c>
      <c r="C3401" t="str">
        <f>"140.2311"</f>
        <v>140.2311</v>
      </c>
      <c r="D3401" s="1" t="s">
        <v>3392</v>
      </c>
      <c r="E3401" t="s">
        <v>7503</v>
      </c>
    </row>
    <row r="3402" spans="1:5" x14ac:dyDescent="0.35">
      <c r="A3402" t="str">
        <f>"2023-09-14"</f>
        <v>2023-09-14</v>
      </c>
      <c r="B3402" s="1" t="str">
        <f t="shared" si="53"/>
        <v>09/14/2023</v>
      </c>
      <c r="C3402" t="str">
        <f>"144.4595"</f>
        <v>144.4595</v>
      </c>
      <c r="D3402" s="1" t="s">
        <v>3393</v>
      </c>
      <c r="E3402" t="s">
        <v>7504</v>
      </c>
    </row>
    <row r="3403" spans="1:5" x14ac:dyDescent="0.35">
      <c r="A3403" t="str">
        <f>"2023-09-15"</f>
        <v>2023-09-15</v>
      </c>
      <c r="B3403" s="1" t="str">
        <f t="shared" si="53"/>
        <v>09/15/2023</v>
      </c>
      <c r="C3403" t="str">
        <f>"136.2764"</f>
        <v>136.2764</v>
      </c>
      <c r="D3403" s="1" t="s">
        <v>3394</v>
      </c>
      <c r="E3403" t="s">
        <v>7505</v>
      </c>
    </row>
    <row r="3404" spans="1:5" x14ac:dyDescent="0.35">
      <c r="A3404" t="str">
        <f>"2023-09-18"</f>
        <v>2023-09-18</v>
      </c>
      <c r="B3404" s="1" t="str">
        <f t="shared" si="53"/>
        <v>09/18/2023</v>
      </c>
      <c r="C3404" t="str">
        <f>"131.1179"</f>
        <v>131.1179</v>
      </c>
      <c r="D3404" s="1" t="s">
        <v>3395</v>
      </c>
      <c r="E3404" t="s">
        <v>7506</v>
      </c>
    </row>
    <row r="3405" spans="1:5" x14ac:dyDescent="0.35">
      <c r="A3405" t="str">
        <f>"2023-09-19"</f>
        <v>2023-09-19</v>
      </c>
      <c r="B3405" s="1" t="str">
        <f t="shared" si="53"/>
        <v>09/19/2023</v>
      </c>
      <c r="C3405" t="str">
        <f>"130.4036"</f>
        <v>130.4036</v>
      </c>
      <c r="D3405" s="1" t="s">
        <v>3396</v>
      </c>
      <c r="E3405" t="s">
        <v>7507</v>
      </c>
    </row>
    <row r="3406" spans="1:5" x14ac:dyDescent="0.35">
      <c r="A3406" t="str">
        <f>"2023-09-20"</f>
        <v>2023-09-20</v>
      </c>
      <c r="B3406" s="1" t="str">
        <f t="shared" si="53"/>
        <v>09/20/2023</v>
      </c>
      <c r="C3406" t="str">
        <f>"132.1254"</f>
        <v>132.1254</v>
      </c>
      <c r="D3406" s="1" t="s">
        <v>3397</v>
      </c>
      <c r="E3406" t="s">
        <v>7508</v>
      </c>
    </row>
    <row r="3407" spans="1:5" x14ac:dyDescent="0.35">
      <c r="A3407" t="str">
        <f>"2023-09-21"</f>
        <v>2023-09-21</v>
      </c>
      <c r="B3407" s="1" t="str">
        <f t="shared" si="53"/>
        <v>09/21/2023</v>
      </c>
      <c r="C3407" t="str">
        <f>"139.4981"</f>
        <v>139.4981</v>
      </c>
      <c r="D3407" s="1" t="s">
        <v>3398</v>
      </c>
      <c r="E3407" t="s">
        <v>7509</v>
      </c>
    </row>
    <row r="3408" spans="1:5" x14ac:dyDescent="0.35">
      <c r="A3408" t="str">
        <f>"2023-09-22"</f>
        <v>2023-09-22</v>
      </c>
      <c r="B3408" s="1" t="str">
        <f t="shared" si="53"/>
        <v>09/22/2023</v>
      </c>
      <c r="C3408" t="str">
        <f>"134.7544"</f>
        <v>134.7544</v>
      </c>
      <c r="D3408" s="1" t="s">
        <v>3399</v>
      </c>
      <c r="E3408" t="s">
        <v>7510</v>
      </c>
    </row>
    <row r="3409" spans="1:5" x14ac:dyDescent="0.35">
      <c r="A3409" t="str">
        <f>"2023-09-25"</f>
        <v>2023-09-25</v>
      </c>
      <c r="B3409" s="1" t="str">
        <f t="shared" si="53"/>
        <v>09/25/2023</v>
      </c>
      <c r="C3409" t="str">
        <f>"138.8295"</f>
        <v>138.8295</v>
      </c>
      <c r="D3409" s="1" t="s">
        <v>3400</v>
      </c>
      <c r="E3409" t="s">
        <v>7511</v>
      </c>
    </row>
    <row r="3410" spans="1:5" x14ac:dyDescent="0.35">
      <c r="A3410" t="str">
        <f>"2023-09-26"</f>
        <v>2023-09-26</v>
      </c>
      <c r="B3410" s="1" t="str">
        <f t="shared" si="53"/>
        <v>09/26/2023</v>
      </c>
      <c r="C3410" t="str">
        <f>"136.8544"</f>
        <v>136.8544</v>
      </c>
      <c r="D3410" s="1" t="s">
        <v>3401</v>
      </c>
      <c r="E3410" t="s">
        <v>7512</v>
      </c>
    </row>
    <row r="3411" spans="1:5" x14ac:dyDescent="0.35">
      <c r="A3411" t="str">
        <f>"2023-09-27"</f>
        <v>2023-09-27</v>
      </c>
      <c r="B3411" s="1" t="str">
        <f t="shared" si="53"/>
        <v>09/27/2023</v>
      </c>
      <c r="C3411" t="str">
        <f>"140.0347"</f>
        <v>140.0347</v>
      </c>
      <c r="D3411" s="1" t="s">
        <v>3402</v>
      </c>
      <c r="E3411" t="s">
        <v>7513</v>
      </c>
    </row>
    <row r="3412" spans="1:5" x14ac:dyDescent="0.35">
      <c r="A3412" t="str">
        <f>"2023-09-28"</f>
        <v>2023-09-28</v>
      </c>
      <c r="B3412" s="1" t="str">
        <f t="shared" si="53"/>
        <v>09/28/2023</v>
      </c>
      <c r="C3412" t="str">
        <f>"148.7587"</f>
        <v>148.7587</v>
      </c>
      <c r="D3412" s="1" t="s">
        <v>3403</v>
      </c>
      <c r="E3412" t="s">
        <v>7514</v>
      </c>
    </row>
    <row r="3413" spans="1:5" x14ac:dyDescent="0.35">
      <c r="A3413" t="str">
        <f>"2023-09-29"</f>
        <v>2023-09-29</v>
      </c>
      <c r="B3413" s="1" t="str">
        <f t="shared" si="53"/>
        <v>09/29/2023</v>
      </c>
      <c r="C3413" t="str">
        <f>"148.632"</f>
        <v>148.632</v>
      </c>
      <c r="D3413" s="1" t="s">
        <v>3404</v>
      </c>
      <c r="E3413" t="s">
        <v>7515</v>
      </c>
    </row>
    <row r="3414" spans="1:5" x14ac:dyDescent="0.35">
      <c r="A3414" t="str">
        <f>"2023-10-02"</f>
        <v>2023-10-02</v>
      </c>
      <c r="B3414" s="1" t="str">
        <f t="shared" si="53"/>
        <v>10/02/2023</v>
      </c>
      <c r="C3414" t="str">
        <f>"156.7223"</f>
        <v>156.7223</v>
      </c>
      <c r="D3414" s="1" t="s">
        <v>3405</v>
      </c>
      <c r="E3414" t="s">
        <v>7516</v>
      </c>
    </row>
    <row r="3415" spans="1:5" x14ac:dyDescent="0.35">
      <c r="A3415" t="str">
        <f>"2023-10-03"</f>
        <v>2023-10-03</v>
      </c>
      <c r="B3415" s="1" t="str">
        <f t="shared" si="53"/>
        <v>10/03/2023</v>
      </c>
      <c r="C3415" t="str">
        <f>"153.7572"</f>
        <v>153.7572</v>
      </c>
      <c r="D3415" s="1" t="s">
        <v>3406</v>
      </c>
      <c r="E3415" t="s">
        <v>7517</v>
      </c>
    </row>
    <row r="3416" spans="1:5" x14ac:dyDescent="0.35">
      <c r="A3416" t="str">
        <f>"2023-10-04"</f>
        <v>2023-10-04</v>
      </c>
      <c r="B3416" s="1" t="str">
        <f t="shared" si="53"/>
        <v>10/04/2023</v>
      </c>
      <c r="C3416" t="str">
        <f>"148.189"</f>
        <v>148.189</v>
      </c>
      <c r="D3416" s="1" t="s">
        <v>3407</v>
      </c>
      <c r="E3416" t="s">
        <v>7518</v>
      </c>
    </row>
    <row r="3417" spans="1:5" x14ac:dyDescent="0.35">
      <c r="A3417" t="str">
        <f>"2023-10-05"</f>
        <v>2023-10-05</v>
      </c>
      <c r="B3417" s="1" t="str">
        <f t="shared" si="53"/>
        <v>10/05/2023</v>
      </c>
      <c r="C3417" t="str">
        <f>"150.0628"</f>
        <v>150.0628</v>
      </c>
      <c r="D3417" s="1" t="s">
        <v>3408</v>
      </c>
      <c r="E3417" t="s">
        <v>7519</v>
      </c>
    </row>
    <row r="3418" spans="1:5" x14ac:dyDescent="0.35">
      <c r="A3418" t="str">
        <f>"2023-10-06"</f>
        <v>2023-10-06</v>
      </c>
      <c r="B3418" s="1" t="str">
        <f t="shared" si="53"/>
        <v>10/06/2023</v>
      </c>
      <c r="C3418" t="str">
        <f>"146.8865"</f>
        <v>146.8865</v>
      </c>
      <c r="D3418" s="1" t="s">
        <v>3409</v>
      </c>
      <c r="E3418" t="s">
        <v>7520</v>
      </c>
    </row>
    <row r="3419" spans="1:5" x14ac:dyDescent="0.35">
      <c r="A3419" t="str">
        <f>"2023-10-09"</f>
        <v>2023-10-09</v>
      </c>
      <c r="B3419" s="1" t="str">
        <f t="shared" si="53"/>
        <v>10/09/2023</v>
      </c>
      <c r="C3419" t="str">
        <f>"137.8746"</f>
        <v>137.8746</v>
      </c>
      <c r="D3419" s="1" t="s">
        <v>3410</v>
      </c>
      <c r="E3419" t="s">
        <v>7521</v>
      </c>
    </row>
    <row r="3420" spans="1:5" x14ac:dyDescent="0.35">
      <c r="A3420" t="str">
        <f>"2023-10-10"</f>
        <v>2023-10-10</v>
      </c>
      <c r="B3420" s="1" t="str">
        <f t="shared" si="53"/>
        <v>10/10/2023</v>
      </c>
      <c r="C3420" t="str">
        <f>"143.5601"</f>
        <v>143.5601</v>
      </c>
      <c r="D3420" s="1" t="s">
        <v>3411</v>
      </c>
      <c r="E3420" t="s">
        <v>7522</v>
      </c>
    </row>
    <row r="3421" spans="1:5" x14ac:dyDescent="0.35">
      <c r="A3421" t="str">
        <f>"2023-10-11"</f>
        <v>2023-10-11</v>
      </c>
      <c r="B3421" s="1" t="str">
        <f t="shared" si="53"/>
        <v>10/11/2023</v>
      </c>
      <c r="C3421" t="str">
        <f>"137.8237"</f>
        <v>137.8237</v>
      </c>
      <c r="D3421" s="1" t="s">
        <v>3412</v>
      </c>
      <c r="E3421" t="s">
        <v>7523</v>
      </c>
    </row>
    <row r="3422" spans="1:5" x14ac:dyDescent="0.35">
      <c r="A3422" t="str">
        <f>"2023-10-12"</f>
        <v>2023-10-12</v>
      </c>
      <c r="B3422" s="1" t="str">
        <f t="shared" si="53"/>
        <v>10/12/2023</v>
      </c>
      <c r="C3422" t="str">
        <f>"135.1236"</f>
        <v>135.1236</v>
      </c>
      <c r="D3422" s="1" t="s">
        <v>3413</v>
      </c>
      <c r="E3422" t="s">
        <v>7524</v>
      </c>
    </row>
    <row r="3423" spans="1:5" x14ac:dyDescent="0.35">
      <c r="A3423" t="str">
        <f>"2023-10-13"</f>
        <v>2023-10-13</v>
      </c>
      <c r="B3423" s="1" t="str">
        <f t="shared" si="53"/>
        <v>10/13/2023</v>
      </c>
      <c r="C3423" t="str">
        <f>"128.7883"</f>
        <v>128.7883</v>
      </c>
      <c r="D3423" s="1" t="s">
        <v>3414</v>
      </c>
      <c r="E3423" t="s">
        <v>7525</v>
      </c>
    </row>
    <row r="3424" spans="1:5" x14ac:dyDescent="0.35">
      <c r="A3424" t="str">
        <f>"2023-10-16"</f>
        <v>2023-10-16</v>
      </c>
      <c r="B3424" s="1" t="str">
        <f t="shared" si="53"/>
        <v>10/16/2023</v>
      </c>
      <c r="C3424" t="str">
        <f>"130.3124"</f>
        <v>130.3124</v>
      </c>
      <c r="D3424" s="1" t="s">
        <v>3415</v>
      </c>
      <c r="E3424" t="s">
        <v>7526</v>
      </c>
    </row>
    <row r="3425" spans="1:5" x14ac:dyDescent="0.35">
      <c r="A3425" t="str">
        <f>"2023-10-17"</f>
        <v>2023-10-17</v>
      </c>
      <c r="B3425" s="1" t="str">
        <f t="shared" si="53"/>
        <v>10/17/2023</v>
      </c>
      <c r="C3425" t="str">
        <f>"130.6571"</f>
        <v>130.6571</v>
      </c>
      <c r="D3425" s="1" t="s">
        <v>3416</v>
      </c>
      <c r="E3425" t="s">
        <v>7527</v>
      </c>
    </row>
    <row r="3426" spans="1:5" x14ac:dyDescent="0.35">
      <c r="A3426" t="str">
        <f>"2023-10-18"</f>
        <v>2023-10-18</v>
      </c>
      <c r="B3426" s="1" t="str">
        <f t="shared" si="53"/>
        <v>10/18/2023</v>
      </c>
      <c r="C3426" t="str">
        <f>"123.1671"</f>
        <v>123.1671</v>
      </c>
      <c r="D3426" s="1" t="s">
        <v>3417</v>
      </c>
      <c r="E3426" t="s">
        <v>7528</v>
      </c>
    </row>
    <row r="3427" spans="1:5" x14ac:dyDescent="0.35">
      <c r="A3427" t="str">
        <f>"2023-10-19"</f>
        <v>2023-10-19</v>
      </c>
      <c r="B3427" s="1" t="str">
        <f t="shared" si="53"/>
        <v>10/19/2023</v>
      </c>
      <c r="C3427" t="str">
        <f>"120.4581"</f>
        <v>120.4581</v>
      </c>
      <c r="D3427" s="1" t="s">
        <v>3418</v>
      </c>
      <c r="E3427" t="s">
        <v>7529</v>
      </c>
    </row>
    <row r="3428" spans="1:5" x14ac:dyDescent="0.35">
      <c r="A3428" t="str">
        <f>"2023-10-20"</f>
        <v>2023-10-20</v>
      </c>
      <c r="B3428" s="1" t="str">
        <f t="shared" si="53"/>
        <v>10/20/2023</v>
      </c>
      <c r="C3428" t="str">
        <f>"115.9422"</f>
        <v>115.9422</v>
      </c>
      <c r="D3428" s="1" t="s">
        <v>3419</v>
      </c>
      <c r="E3428" t="s">
        <v>7530</v>
      </c>
    </row>
    <row r="3429" spans="1:5" x14ac:dyDescent="0.35">
      <c r="A3429" t="str">
        <f>"2023-10-23"</f>
        <v>2023-10-23</v>
      </c>
      <c r="B3429" s="1" t="str">
        <f t="shared" si="53"/>
        <v>10/23/2023</v>
      </c>
      <c r="C3429" t="str">
        <f>"119.9029"</f>
        <v>119.9029</v>
      </c>
      <c r="D3429" s="1" t="s">
        <v>3420</v>
      </c>
      <c r="E3429" t="s">
        <v>7531</v>
      </c>
    </row>
    <row r="3430" spans="1:5" x14ac:dyDescent="0.35">
      <c r="A3430" t="str">
        <f>"2023-10-24"</f>
        <v>2023-10-24</v>
      </c>
      <c r="B3430" s="1" t="str">
        <f t="shared" si="53"/>
        <v>10/24/2023</v>
      </c>
      <c r="C3430" t="str">
        <f>"122.2574"</f>
        <v>122.2574</v>
      </c>
      <c r="D3430" s="1" t="s">
        <v>3421</v>
      </c>
      <c r="E3430" t="s">
        <v>7532</v>
      </c>
    </row>
    <row r="3431" spans="1:5" x14ac:dyDescent="0.35">
      <c r="A3431" t="str">
        <f>"2023-10-25"</f>
        <v>2023-10-25</v>
      </c>
      <c r="B3431" s="1" t="str">
        <f t="shared" si="53"/>
        <v>10/25/2023</v>
      </c>
      <c r="C3431" t="str">
        <f>"113.1587"</f>
        <v>113.1587</v>
      </c>
      <c r="D3431" s="1" t="s">
        <v>3422</v>
      </c>
      <c r="E3431" t="s">
        <v>7533</v>
      </c>
    </row>
    <row r="3432" spans="1:5" x14ac:dyDescent="0.35">
      <c r="A3432" t="str">
        <f>"2023-10-26"</f>
        <v>2023-10-26</v>
      </c>
      <c r="B3432" s="1" t="str">
        <f t="shared" si="53"/>
        <v>10/26/2023</v>
      </c>
      <c r="C3432" t="str">
        <f>"119.1068"</f>
        <v>119.1068</v>
      </c>
      <c r="D3432" s="1" t="s">
        <v>3423</v>
      </c>
      <c r="E3432" t="s">
        <v>7534</v>
      </c>
    </row>
    <row r="3433" spans="1:5" x14ac:dyDescent="0.35">
      <c r="A3433" t="str">
        <f>"2023-10-27"</f>
        <v>2023-10-27</v>
      </c>
      <c r="B3433" s="1" t="str">
        <f t="shared" si="53"/>
        <v>10/27/2023</v>
      </c>
      <c r="C3433" t="str">
        <f>"120.6107"</f>
        <v>120.6107</v>
      </c>
      <c r="D3433" s="1" t="s">
        <v>3424</v>
      </c>
      <c r="E3433" t="s">
        <v>7535</v>
      </c>
    </row>
    <row r="3434" spans="1:5" x14ac:dyDescent="0.35">
      <c r="A3434" t="str">
        <f>"2023-10-30"</f>
        <v>2023-10-30</v>
      </c>
      <c r="B3434" s="1" t="str">
        <f t="shared" si="53"/>
        <v>10/30/2023</v>
      </c>
      <c r="C3434" t="str">
        <f>"120.9367"</f>
        <v>120.9367</v>
      </c>
      <c r="D3434" s="1" t="s">
        <v>3425</v>
      </c>
      <c r="E3434" t="s">
        <v>7536</v>
      </c>
    </row>
    <row r="3435" spans="1:5" x14ac:dyDescent="0.35">
      <c r="A3435" t="str">
        <f>"2023-10-31"</f>
        <v>2023-10-31</v>
      </c>
      <c r="B3435" s="1" t="str">
        <f t="shared" si="53"/>
        <v>10/31/2023</v>
      </c>
      <c r="C3435" t="str">
        <f>"120.485"</f>
        <v>120.485</v>
      </c>
      <c r="D3435" s="1" t="s">
        <v>3426</v>
      </c>
      <c r="E3435" t="s">
        <v>7537</v>
      </c>
    </row>
    <row r="3436" spans="1:5" x14ac:dyDescent="0.35">
      <c r="A3436" t="str">
        <f>"2023-11-01"</f>
        <v>2023-11-01</v>
      </c>
      <c r="B3436" s="1" t="str">
        <f t="shared" si="53"/>
        <v>11/01/2023</v>
      </c>
      <c r="C3436" t="str">
        <f>"121.1267"</f>
        <v>121.1267</v>
      </c>
      <c r="D3436" s="1" t="s">
        <v>3427</v>
      </c>
      <c r="E3436" t="s">
        <v>7538</v>
      </c>
    </row>
    <row r="3437" spans="1:5" x14ac:dyDescent="0.35">
      <c r="A3437" t="str">
        <f>"2023-11-02"</f>
        <v>2023-11-02</v>
      </c>
      <c r="B3437" s="1" t="str">
        <f t="shared" si="53"/>
        <v>11/02/2023</v>
      </c>
      <c r="C3437" t="str">
        <f>"123.3337"</f>
        <v>123.3337</v>
      </c>
      <c r="D3437" s="1" t="s">
        <v>3428</v>
      </c>
      <c r="E3437" t="s">
        <v>7539</v>
      </c>
    </row>
    <row r="3438" spans="1:5" x14ac:dyDescent="0.35">
      <c r="A3438" t="str">
        <f>"2023-11-03"</f>
        <v>2023-11-03</v>
      </c>
      <c r="B3438" s="1" t="str">
        <f t="shared" si="53"/>
        <v>11/03/2023</v>
      </c>
      <c r="C3438" t="str">
        <f>"124.3"</f>
        <v>124.3</v>
      </c>
      <c r="D3438" s="1" t="s">
        <v>3429</v>
      </c>
      <c r="E3438" t="s">
        <v>7540</v>
      </c>
    </row>
    <row r="3439" spans="1:5" x14ac:dyDescent="0.35">
      <c r="A3439" t="str">
        <f>"2023-11-06"</f>
        <v>2023-11-06</v>
      </c>
      <c r="B3439" s="1" t="str">
        <f t="shared" si="53"/>
        <v>11/06/2023</v>
      </c>
      <c r="C3439" t="str">
        <f>"125.0908"</f>
        <v>125.0908</v>
      </c>
      <c r="D3439" s="1" t="s">
        <v>3430</v>
      </c>
      <c r="E3439" t="s">
        <v>7541</v>
      </c>
    </row>
    <row r="3440" spans="1:5" x14ac:dyDescent="0.35">
      <c r="A3440" t="str">
        <f>"2023-11-07"</f>
        <v>2023-11-07</v>
      </c>
      <c r="B3440" s="1" t="str">
        <f t="shared" si="53"/>
        <v>11/07/2023</v>
      </c>
      <c r="C3440" t="str">
        <f>"125.6354"</f>
        <v>125.6354</v>
      </c>
      <c r="D3440" s="1" t="s">
        <v>3431</v>
      </c>
      <c r="E3440" t="s">
        <v>7542</v>
      </c>
    </row>
    <row r="3441" spans="1:5" x14ac:dyDescent="0.35">
      <c r="A3441" t="str">
        <f>"2023-11-08"</f>
        <v>2023-11-08</v>
      </c>
      <c r="B3441" s="1" t="str">
        <f t="shared" si="53"/>
        <v>11/08/2023</v>
      </c>
      <c r="C3441" t="str">
        <f>"127.8631"</f>
        <v>127.8631</v>
      </c>
      <c r="D3441" s="1" t="s">
        <v>3432</v>
      </c>
      <c r="E3441" t="s">
        <v>7543</v>
      </c>
    </row>
    <row r="3442" spans="1:5" x14ac:dyDescent="0.35">
      <c r="A3442" t="str">
        <f>"2023-11-09"</f>
        <v>2023-11-09</v>
      </c>
      <c r="B3442" s="1" t="str">
        <f t="shared" si="53"/>
        <v>11/09/2023</v>
      </c>
      <c r="C3442" t="str">
        <f>"127.8263"</f>
        <v>127.8263</v>
      </c>
      <c r="D3442" s="1" t="s">
        <v>3433</v>
      </c>
      <c r="E3442" t="s">
        <v>7544</v>
      </c>
    </row>
    <row r="3443" spans="1:5" x14ac:dyDescent="0.35">
      <c r="A3443" t="str">
        <f>"2023-11-10"</f>
        <v>2023-11-10</v>
      </c>
      <c r="B3443" s="1" t="str">
        <f t="shared" si="53"/>
        <v>11/10/2023</v>
      </c>
      <c r="C3443" t="str">
        <f>"129.2571"</f>
        <v>129.2571</v>
      </c>
      <c r="D3443" s="1" t="s">
        <v>3434</v>
      </c>
      <c r="E3443" t="s">
        <v>7545</v>
      </c>
    </row>
    <row r="3444" spans="1:5" x14ac:dyDescent="0.35">
      <c r="A3444" t="str">
        <f>"2023-11-13"</f>
        <v>2023-11-13</v>
      </c>
      <c r="B3444" s="1" t="str">
        <f t="shared" si="53"/>
        <v>11/13/2023</v>
      </c>
      <c r="C3444" t="str">
        <f>"130.1929"</f>
        <v>130.1929</v>
      </c>
      <c r="D3444" s="1" t="s">
        <v>3435</v>
      </c>
      <c r="E3444" t="s">
        <v>7546</v>
      </c>
    </row>
    <row r="3445" spans="1:5" x14ac:dyDescent="0.35">
      <c r="A3445" t="str">
        <f>"2023-11-14"</f>
        <v>2023-11-14</v>
      </c>
      <c r="B3445" s="1" t="str">
        <f t="shared" si="53"/>
        <v>11/14/2023</v>
      </c>
      <c r="C3445" t="str">
        <f>"131.4097"</f>
        <v>131.4097</v>
      </c>
      <c r="D3445" s="1" t="s">
        <v>3436</v>
      </c>
      <c r="E3445" t="s">
        <v>7547</v>
      </c>
    </row>
    <row r="3446" spans="1:5" x14ac:dyDescent="0.35">
      <c r="A3446" t="str">
        <f>"2023-11-15"</f>
        <v>2023-11-15</v>
      </c>
      <c r="B3446" s="1" t="str">
        <f t="shared" si="53"/>
        <v>11/15/2023</v>
      </c>
      <c r="C3446" t="str">
        <f>"130.5314"</f>
        <v>130.5314</v>
      </c>
      <c r="D3446" s="1" t="s">
        <v>3437</v>
      </c>
      <c r="E3446" t="s">
        <v>7548</v>
      </c>
    </row>
    <row r="3447" spans="1:5" x14ac:dyDescent="0.35">
      <c r="A3447" t="str">
        <f>"2023-11-16"</f>
        <v>2023-11-16</v>
      </c>
      <c r="B3447" s="1" t="str">
        <f t="shared" si="53"/>
        <v>11/16/2023</v>
      </c>
      <c r="C3447" t="str">
        <f>"133.5483"</f>
        <v>133.5483</v>
      </c>
      <c r="D3447" s="1" t="s">
        <v>3438</v>
      </c>
      <c r="E3447" t="s">
        <v>7549</v>
      </c>
    </row>
    <row r="3448" spans="1:5" x14ac:dyDescent="0.35">
      <c r="A3448" t="str">
        <f>"2023-11-17"</f>
        <v>2023-11-17</v>
      </c>
      <c r="B3448" s="1" t="str">
        <f t="shared" si="53"/>
        <v>11/17/2023</v>
      </c>
      <c r="C3448" t="str">
        <f>"139.0412"</f>
        <v>139.0412</v>
      </c>
      <c r="D3448" s="1" t="s">
        <v>3439</v>
      </c>
      <c r="E3448" t="s">
        <v>7550</v>
      </c>
    </row>
    <row r="3449" spans="1:5" x14ac:dyDescent="0.35">
      <c r="A3449" t="str">
        <f>"2023-11-20"</f>
        <v>2023-11-20</v>
      </c>
      <c r="B3449" s="1" t="str">
        <f t="shared" si="53"/>
        <v>11/20/2023</v>
      </c>
      <c r="C3449" t="str">
        <f>"139.8529"</f>
        <v>139.8529</v>
      </c>
      <c r="D3449" s="1" t="s">
        <v>3440</v>
      </c>
      <c r="E3449" t="s">
        <v>7551</v>
      </c>
    </row>
    <row r="3450" spans="1:5" x14ac:dyDescent="0.35">
      <c r="A3450" t="str">
        <f>"2023-11-21"</f>
        <v>2023-11-21</v>
      </c>
      <c r="B3450" s="1" t="str">
        <f t="shared" si="53"/>
        <v>11/21/2023</v>
      </c>
      <c r="C3450" t="str">
        <f>"145.1502"</f>
        <v>145.1502</v>
      </c>
      <c r="D3450" s="1" t="s">
        <v>3441</v>
      </c>
      <c r="E3450" t="s">
        <v>7552</v>
      </c>
    </row>
    <row r="3451" spans="1:5" x14ac:dyDescent="0.35">
      <c r="A3451" t="str">
        <f>"2023-11-22"</f>
        <v>2023-11-22</v>
      </c>
      <c r="B3451" s="1" t="str">
        <f t="shared" si="53"/>
        <v>11/22/2023</v>
      </c>
      <c r="C3451" t="str">
        <f>"142.1184"</f>
        <v>142.1184</v>
      </c>
      <c r="D3451" s="1" t="s">
        <v>3442</v>
      </c>
      <c r="E3451" t="s">
        <v>7553</v>
      </c>
    </row>
    <row r="3452" spans="1:5" x14ac:dyDescent="0.35">
      <c r="A3452" t="str">
        <f>"2023-11-24"</f>
        <v>2023-11-24</v>
      </c>
      <c r="B3452" s="1" t="str">
        <f t="shared" si="53"/>
        <v>11/24/2023</v>
      </c>
      <c r="C3452" t="str">
        <f>"139.9109"</f>
        <v>139.9109</v>
      </c>
      <c r="D3452" s="1" t="s">
        <v>3443</v>
      </c>
      <c r="E3452" t="s">
        <v>7554</v>
      </c>
    </row>
    <row r="3453" spans="1:5" x14ac:dyDescent="0.35">
      <c r="A3453" t="str">
        <f>"2023-11-27"</f>
        <v>2023-11-27</v>
      </c>
      <c r="B3453" s="1" t="str">
        <f t="shared" si="53"/>
        <v>11/27/2023</v>
      </c>
      <c r="C3453" t="str">
        <f>"139.6363"</f>
        <v>139.6363</v>
      </c>
      <c r="D3453" s="1" t="s">
        <v>3444</v>
      </c>
      <c r="E3453" t="s">
        <v>7555</v>
      </c>
    </row>
    <row r="3454" spans="1:5" x14ac:dyDescent="0.35">
      <c r="A3454" t="str">
        <f>"2023-11-28"</f>
        <v>2023-11-28</v>
      </c>
      <c r="B3454" s="1" t="str">
        <f t="shared" si="53"/>
        <v>11/28/2023</v>
      </c>
      <c r="C3454" t="str">
        <f>"137.6716"</f>
        <v>137.6716</v>
      </c>
      <c r="D3454" s="1" t="s">
        <v>3445</v>
      </c>
      <c r="E3454" t="s">
        <v>7556</v>
      </c>
    </row>
    <row r="3455" spans="1:5" x14ac:dyDescent="0.35">
      <c r="A3455" t="str">
        <f>"2023-11-29"</f>
        <v>2023-11-29</v>
      </c>
      <c r="B3455" s="1" t="str">
        <f t="shared" si="53"/>
        <v>11/29/2023</v>
      </c>
      <c r="C3455" t="str">
        <f>"133.9779"</f>
        <v>133.9779</v>
      </c>
      <c r="D3455" s="1" t="s">
        <v>3446</v>
      </c>
      <c r="E3455" t="s">
        <v>7557</v>
      </c>
    </row>
    <row r="3456" spans="1:5" x14ac:dyDescent="0.35">
      <c r="A3456" t="str">
        <f>"2023-11-30"</f>
        <v>2023-11-30</v>
      </c>
      <c r="B3456" s="1" t="str">
        <f t="shared" si="53"/>
        <v>11/30/2023</v>
      </c>
      <c r="C3456" t="str">
        <f>"132.3565"</f>
        <v>132.3565</v>
      </c>
      <c r="D3456" s="1" t="s">
        <v>3447</v>
      </c>
      <c r="E3456" t="s">
        <v>7558</v>
      </c>
    </row>
    <row r="3457" spans="1:5" x14ac:dyDescent="0.35">
      <c r="A3457" t="str">
        <f>"2023-12-01"</f>
        <v>2023-12-01</v>
      </c>
      <c r="B3457" s="1" t="str">
        <f t="shared" si="53"/>
        <v>12/01/2023</v>
      </c>
      <c r="C3457" t="str">
        <f>"135.5689"</f>
        <v>135.5689</v>
      </c>
      <c r="D3457" s="1" t="s">
        <v>3448</v>
      </c>
      <c r="E3457" t="s">
        <v>7559</v>
      </c>
    </row>
    <row r="3458" spans="1:5" x14ac:dyDescent="0.35">
      <c r="A3458" t="str">
        <f>"2023-12-04"</f>
        <v>2023-12-04</v>
      </c>
      <c r="B3458" s="1" t="str">
        <f t="shared" si="53"/>
        <v>12/04/2023</v>
      </c>
      <c r="C3458" t="str">
        <f>"139.3278"</f>
        <v>139.3278</v>
      </c>
      <c r="D3458" s="1" t="s">
        <v>3449</v>
      </c>
      <c r="E3458" t="s">
        <v>7560</v>
      </c>
    </row>
    <row r="3459" spans="1:5" x14ac:dyDescent="0.35">
      <c r="A3459" t="str">
        <f>"2023-12-05"</f>
        <v>2023-12-05</v>
      </c>
      <c r="B3459" s="1" t="str">
        <f t="shared" ref="B3459:B3522" si="54">LEFT(RIGHT(A3459,5),2)&amp;"/"&amp;RIGHT(A3459,2)&amp;"/"&amp;LEFT(A3459,4)</f>
        <v>12/05/2023</v>
      </c>
      <c r="C3459" t="str">
        <f>"138.0114"</f>
        <v>138.0114</v>
      </c>
      <c r="D3459" s="1" t="s">
        <v>3450</v>
      </c>
      <c r="E3459" t="s">
        <v>7561</v>
      </c>
    </row>
    <row r="3460" spans="1:5" x14ac:dyDescent="0.35">
      <c r="A3460" t="str">
        <f>"2023-12-06"</f>
        <v>2023-12-06</v>
      </c>
      <c r="B3460" s="1" t="str">
        <f t="shared" si="54"/>
        <v>12/06/2023</v>
      </c>
      <c r="C3460" t="str">
        <f>"133.1048"</f>
        <v>133.1048</v>
      </c>
      <c r="D3460" s="1" t="s">
        <v>3451</v>
      </c>
      <c r="E3460" t="s">
        <v>7562</v>
      </c>
    </row>
    <row r="3461" spans="1:5" x14ac:dyDescent="0.35">
      <c r="A3461" t="str">
        <f>"2023-12-07"</f>
        <v>2023-12-07</v>
      </c>
      <c r="B3461" s="1" t="str">
        <f t="shared" si="54"/>
        <v>12/07/2023</v>
      </c>
      <c r="C3461" t="str">
        <f>"137.6475"</f>
        <v>137.6475</v>
      </c>
      <c r="D3461" s="1" t="s">
        <v>3452</v>
      </c>
      <c r="E3461" t="s">
        <v>7563</v>
      </c>
    </row>
    <row r="3462" spans="1:5" x14ac:dyDescent="0.35">
      <c r="A3462" t="str">
        <f>"2023-12-08"</f>
        <v>2023-12-08</v>
      </c>
      <c r="B3462" s="1" t="str">
        <f t="shared" si="54"/>
        <v>12/08/2023</v>
      </c>
      <c r="C3462" t="str">
        <f>"136.7488"</f>
        <v>136.7488</v>
      </c>
      <c r="D3462" s="1" t="s">
        <v>3453</v>
      </c>
      <c r="E3462" t="s">
        <v>7564</v>
      </c>
    </row>
    <row r="3463" spans="1:5" x14ac:dyDescent="0.35">
      <c r="A3463" t="str">
        <f>"2023-12-11"</f>
        <v>2023-12-11</v>
      </c>
      <c r="B3463" s="1" t="str">
        <f t="shared" si="54"/>
        <v>12/11/2023</v>
      </c>
      <c r="C3463" t="str">
        <f>"134.1247"</f>
        <v>134.1247</v>
      </c>
      <c r="D3463" s="1" t="s">
        <v>3454</v>
      </c>
      <c r="E3463" t="s">
        <v>7565</v>
      </c>
    </row>
    <row r="3464" spans="1:5" x14ac:dyDescent="0.35">
      <c r="A3464" t="str">
        <f>"2023-12-12"</f>
        <v>2023-12-12</v>
      </c>
      <c r="B3464" s="1" t="str">
        <f t="shared" si="54"/>
        <v>12/12/2023</v>
      </c>
      <c r="C3464" t="str">
        <f>"135.2107"</f>
        <v>135.2107</v>
      </c>
      <c r="D3464" s="1" t="s">
        <v>3455</v>
      </c>
      <c r="E3464" t="s">
        <v>7566</v>
      </c>
    </row>
    <row r="3465" spans="1:5" x14ac:dyDescent="0.35">
      <c r="A3465" t="str">
        <f>"2023-12-13"</f>
        <v>2023-12-13</v>
      </c>
      <c r="B3465" s="1" t="str">
        <f t="shared" si="54"/>
        <v>12/13/2023</v>
      </c>
      <c r="C3465" t="str">
        <f>"130.4348"</f>
        <v>130.4348</v>
      </c>
      <c r="D3465" s="1" t="s">
        <v>3456</v>
      </c>
      <c r="E3465" t="s">
        <v>7567</v>
      </c>
    </row>
    <row r="3466" spans="1:5" x14ac:dyDescent="0.35">
      <c r="A3466" t="str">
        <f>"2023-12-14"</f>
        <v>2023-12-14</v>
      </c>
      <c r="B3466" s="1" t="str">
        <f t="shared" si="54"/>
        <v>12/14/2023</v>
      </c>
      <c r="C3466" t="str">
        <f>"133.2989"</f>
        <v>133.2989</v>
      </c>
      <c r="D3466" s="1" t="s">
        <v>3457</v>
      </c>
      <c r="E3466" t="s">
        <v>7568</v>
      </c>
    </row>
    <row r="3467" spans="1:5" x14ac:dyDescent="0.35">
      <c r="A3467" t="str">
        <f>"2023-12-15"</f>
        <v>2023-12-15</v>
      </c>
      <c r="B3467" s="1" t="str">
        <f t="shared" si="54"/>
        <v>12/15/2023</v>
      </c>
      <c r="C3467" t="str">
        <f>"134.5004"</f>
        <v>134.5004</v>
      </c>
      <c r="D3467" s="1" t="s">
        <v>3458</v>
      </c>
      <c r="E3467" t="s">
        <v>7569</v>
      </c>
    </row>
    <row r="3468" spans="1:5" x14ac:dyDescent="0.35">
      <c r="A3468" t="str">
        <f>"2023-12-18"</f>
        <v>2023-12-18</v>
      </c>
      <c r="B3468" s="1" t="str">
        <f t="shared" si="54"/>
        <v>12/18/2023</v>
      </c>
      <c r="C3468" t="str">
        <f>"130.7703"</f>
        <v>130.7703</v>
      </c>
      <c r="D3468" s="1" t="s">
        <v>3459</v>
      </c>
      <c r="E3468" t="s">
        <v>7570</v>
      </c>
    </row>
    <row r="3469" spans="1:5" x14ac:dyDescent="0.35">
      <c r="A3469" t="str">
        <f>"2023-12-19"</f>
        <v>2023-12-19</v>
      </c>
      <c r="B3469" s="1" t="str">
        <f t="shared" si="54"/>
        <v>12/19/2023</v>
      </c>
      <c r="C3469" t="str">
        <f>"128.8963"</f>
        <v>128.8963</v>
      </c>
      <c r="D3469" s="1" t="s">
        <v>3460</v>
      </c>
      <c r="E3469" t="s">
        <v>7571</v>
      </c>
    </row>
    <row r="3470" spans="1:5" x14ac:dyDescent="0.35">
      <c r="A3470" t="str">
        <f>"2023-12-20"</f>
        <v>2023-12-20</v>
      </c>
      <c r="B3470" s="1" t="str">
        <f t="shared" si="54"/>
        <v>12/20/2023</v>
      </c>
      <c r="C3470" t="str">
        <f>"127.1343"</f>
        <v>127.1343</v>
      </c>
      <c r="D3470" s="1" t="s">
        <v>3461</v>
      </c>
      <c r="E3470" t="s">
        <v>7572</v>
      </c>
    </row>
    <row r="3471" spans="1:5" x14ac:dyDescent="0.35">
      <c r="A3471" t="str">
        <f>"2023-12-21"</f>
        <v>2023-12-21</v>
      </c>
      <c r="B3471" s="1" t="str">
        <f t="shared" si="54"/>
        <v>12/21/2023</v>
      </c>
      <c r="C3471" t="str">
        <f>"128.3109"</f>
        <v>128.3109</v>
      </c>
      <c r="D3471" s="1" t="s">
        <v>3462</v>
      </c>
      <c r="E3471" t="s">
        <v>7573</v>
      </c>
    </row>
    <row r="3472" spans="1:5" x14ac:dyDescent="0.35">
      <c r="A3472" t="str">
        <f>"2023-12-22"</f>
        <v>2023-12-22</v>
      </c>
      <c r="B3472" s="1" t="str">
        <f t="shared" si="54"/>
        <v>12/22/2023</v>
      </c>
      <c r="C3472" t="str">
        <f>"121.0497"</f>
        <v>121.0497</v>
      </c>
      <c r="D3472" s="1" t="s">
        <v>3463</v>
      </c>
      <c r="E3472" t="s">
        <v>7574</v>
      </c>
    </row>
    <row r="3473" spans="1:5" x14ac:dyDescent="0.35">
      <c r="A3473" t="str">
        <f>"2023-12-26"</f>
        <v>2023-12-26</v>
      </c>
      <c r="B3473" s="1" t="str">
        <f t="shared" si="54"/>
        <v>12/26/2023</v>
      </c>
      <c r="C3473" t="str">
        <f>"117.3946"</f>
        <v>117.3946</v>
      </c>
      <c r="D3473" s="1" t="s">
        <v>3464</v>
      </c>
      <c r="E3473" t="s">
        <v>7575</v>
      </c>
    </row>
    <row r="3474" spans="1:5" x14ac:dyDescent="0.35">
      <c r="A3474" t="str">
        <f>"2023-12-27"</f>
        <v>2023-12-27</v>
      </c>
      <c r="B3474" s="1" t="str">
        <f t="shared" si="54"/>
        <v>12/27/2023</v>
      </c>
      <c r="C3474" t="str">
        <f>"113.2761"</f>
        <v>113.2761</v>
      </c>
      <c r="D3474" s="1" t="s">
        <v>3465</v>
      </c>
      <c r="E3474" t="s">
        <v>7576</v>
      </c>
    </row>
    <row r="3475" spans="1:5" x14ac:dyDescent="0.35">
      <c r="A3475" t="str">
        <f>"2023-12-28"</f>
        <v>2023-12-28</v>
      </c>
      <c r="B3475" s="1" t="str">
        <f t="shared" si="54"/>
        <v>12/28/2023</v>
      </c>
      <c r="C3475" t="str">
        <f>"116.8661"</f>
        <v>116.8661</v>
      </c>
      <c r="D3475" s="1" t="s">
        <v>3466</v>
      </c>
      <c r="E3475" t="s">
        <v>7577</v>
      </c>
    </row>
    <row r="3476" spans="1:5" x14ac:dyDescent="0.35">
      <c r="A3476" t="str">
        <f>"2023-12-29"</f>
        <v>2023-12-29</v>
      </c>
      <c r="B3476" s="1" t="str">
        <f t="shared" si="54"/>
        <v>12/29/2023</v>
      </c>
      <c r="C3476" t="str">
        <f>"116.7883"</f>
        <v>116.7883</v>
      </c>
      <c r="D3476" s="1" t="s">
        <v>3467</v>
      </c>
      <c r="E3476" t="s">
        <v>7578</v>
      </c>
    </row>
    <row r="3477" spans="1:5" x14ac:dyDescent="0.35">
      <c r="A3477" t="str">
        <f>"2024-01-02"</f>
        <v>2024-01-02</v>
      </c>
      <c r="B3477" s="1" t="str">
        <f t="shared" si="54"/>
        <v>01/02/2024</v>
      </c>
      <c r="C3477" t="str">
        <f>"121.0317"</f>
        <v>121.0317</v>
      </c>
      <c r="D3477" s="1" t="s">
        <v>3468</v>
      </c>
      <c r="E3477" t="s">
        <v>7579</v>
      </c>
    </row>
    <row r="3478" spans="1:5" x14ac:dyDescent="0.35">
      <c r="A3478" t="str">
        <f>"2024-01-03"</f>
        <v>2024-01-03</v>
      </c>
      <c r="B3478" s="1" t="str">
        <f t="shared" si="54"/>
        <v>01/03/2024</v>
      </c>
      <c r="C3478" t="str">
        <f>"118.2825"</f>
        <v>118.2825</v>
      </c>
      <c r="D3478" s="1" t="s">
        <v>3469</v>
      </c>
      <c r="E3478" t="s">
        <v>7580</v>
      </c>
    </row>
    <row r="3479" spans="1:5" x14ac:dyDescent="0.35">
      <c r="A3479" t="str">
        <f>"2024-01-04"</f>
        <v>2024-01-04</v>
      </c>
      <c r="B3479" s="1" t="str">
        <f t="shared" si="54"/>
        <v>01/04/2024</v>
      </c>
      <c r="C3479" t="str">
        <f>"119.3145"</f>
        <v>119.3145</v>
      </c>
      <c r="D3479" s="1" t="s">
        <v>3470</v>
      </c>
      <c r="E3479" t="s">
        <v>7581</v>
      </c>
    </row>
    <row r="3480" spans="1:5" x14ac:dyDescent="0.35">
      <c r="A3480" t="str">
        <f>"2024-01-05"</f>
        <v>2024-01-05</v>
      </c>
      <c r="B3480" s="1" t="str">
        <f t="shared" si="54"/>
        <v>01/05/2024</v>
      </c>
      <c r="C3480" t="str">
        <f>"122.0725"</f>
        <v>122.0725</v>
      </c>
      <c r="D3480" s="1" t="s">
        <v>3471</v>
      </c>
      <c r="E3480" t="s">
        <v>7582</v>
      </c>
    </row>
    <row r="3481" spans="1:5" x14ac:dyDescent="0.35">
      <c r="A3481" t="str">
        <f>"2024-01-08"</f>
        <v>2024-01-08</v>
      </c>
      <c r="B3481" s="1" t="str">
        <f t="shared" si="54"/>
        <v>01/08/2024</v>
      </c>
      <c r="C3481" t="str">
        <f>"125.01"</f>
        <v>125.01</v>
      </c>
      <c r="D3481" s="1" t="s">
        <v>3472</v>
      </c>
      <c r="E3481" t="s">
        <v>7583</v>
      </c>
    </row>
    <row r="3482" spans="1:5" x14ac:dyDescent="0.35">
      <c r="A3482" t="str">
        <f>"2024-01-09"</f>
        <v>2024-01-09</v>
      </c>
      <c r="B3482" s="1" t="str">
        <f t="shared" si="54"/>
        <v>01/09/2024</v>
      </c>
      <c r="C3482" t="str">
        <f>"124.6346"</f>
        <v>124.6346</v>
      </c>
      <c r="D3482" s="1" t="s">
        <v>3473</v>
      </c>
      <c r="E3482" t="s">
        <v>7584</v>
      </c>
    </row>
    <row r="3483" spans="1:5" x14ac:dyDescent="0.35">
      <c r="A3483" t="str">
        <f>"2024-01-10"</f>
        <v>2024-01-10</v>
      </c>
      <c r="B3483" s="1" t="str">
        <f t="shared" si="54"/>
        <v>01/10/2024</v>
      </c>
      <c r="C3483" t="str">
        <f>"128.319"</f>
        <v>128.319</v>
      </c>
      <c r="D3483" s="1" t="s">
        <v>3474</v>
      </c>
      <c r="E3483" t="s">
        <v>7585</v>
      </c>
    </row>
    <row r="3484" spans="1:5" x14ac:dyDescent="0.35">
      <c r="A3484" t="str">
        <f>"2024-01-11"</f>
        <v>2024-01-11</v>
      </c>
      <c r="B3484" s="1" t="str">
        <f t="shared" si="54"/>
        <v>01/11/2024</v>
      </c>
      <c r="C3484" t="str">
        <f>"127.5994"</f>
        <v>127.5994</v>
      </c>
      <c r="D3484" s="1" t="s">
        <v>3475</v>
      </c>
      <c r="E3484" t="s">
        <v>7586</v>
      </c>
    </row>
    <row r="3485" spans="1:5" x14ac:dyDescent="0.35">
      <c r="A3485" t="str">
        <f>"2024-01-12"</f>
        <v>2024-01-12</v>
      </c>
      <c r="B3485" s="1" t="str">
        <f t="shared" si="54"/>
        <v>01/12/2024</v>
      </c>
      <c r="C3485" t="str">
        <f>"126.8898"</f>
        <v>126.8898</v>
      </c>
      <c r="D3485" s="1" t="s">
        <v>3476</v>
      </c>
      <c r="E3485" t="s">
        <v>7587</v>
      </c>
    </row>
    <row r="3486" spans="1:5" x14ac:dyDescent="0.35">
      <c r="A3486" t="str">
        <f>"2024-01-16"</f>
        <v>2024-01-16</v>
      </c>
      <c r="B3486" s="1" t="str">
        <f t="shared" si="54"/>
        <v>01/16/2024</v>
      </c>
      <c r="C3486" t="str">
        <f>"127.5228"</f>
        <v>127.5228</v>
      </c>
      <c r="D3486" s="1" t="s">
        <v>3477</v>
      </c>
      <c r="E3486" t="s">
        <v>7588</v>
      </c>
    </row>
    <row r="3487" spans="1:5" x14ac:dyDescent="0.35">
      <c r="A3487" t="str">
        <f>"2024-01-17"</f>
        <v>2024-01-17</v>
      </c>
      <c r="B3487" s="1" t="str">
        <f t="shared" si="54"/>
        <v>01/17/2024</v>
      </c>
      <c r="C3487" t="str">
        <f>"130.2114"</f>
        <v>130.2114</v>
      </c>
      <c r="D3487" s="1" t="s">
        <v>3478</v>
      </c>
      <c r="E3487" t="s">
        <v>7589</v>
      </c>
    </row>
    <row r="3488" spans="1:5" x14ac:dyDescent="0.35">
      <c r="A3488" t="str">
        <f>"2024-01-18"</f>
        <v>2024-01-18</v>
      </c>
      <c r="B3488" s="1" t="str">
        <f t="shared" si="54"/>
        <v>01/18/2024</v>
      </c>
      <c r="C3488" t="str">
        <f>"128.2"</f>
        <v>128.2</v>
      </c>
      <c r="D3488" s="1" t="s">
        <v>3479</v>
      </c>
      <c r="E3488" t="s">
        <v>7590</v>
      </c>
    </row>
    <row r="3489" spans="1:5" x14ac:dyDescent="0.35">
      <c r="A3489" t="str">
        <f>"2024-01-19"</f>
        <v>2024-01-19</v>
      </c>
      <c r="B3489" s="1" t="str">
        <f t="shared" si="54"/>
        <v>01/19/2024</v>
      </c>
      <c r="C3489" t="str">
        <f>"127.3789"</f>
        <v>127.3789</v>
      </c>
      <c r="D3489" s="1" t="s">
        <v>3480</v>
      </c>
      <c r="E3489" t="s">
        <v>7591</v>
      </c>
    </row>
    <row r="3490" spans="1:5" x14ac:dyDescent="0.35">
      <c r="A3490" t="str">
        <f>"2024-01-22"</f>
        <v>2024-01-22</v>
      </c>
      <c r="B3490" s="1" t="str">
        <f t="shared" si="54"/>
        <v>01/22/2024</v>
      </c>
      <c r="C3490" t="str">
        <f>"127.6416"</f>
        <v>127.6416</v>
      </c>
      <c r="D3490" s="1" t="s">
        <v>3481</v>
      </c>
      <c r="E3490" t="s">
        <v>7592</v>
      </c>
    </row>
    <row r="3491" spans="1:5" x14ac:dyDescent="0.35">
      <c r="A3491" t="str">
        <f>"2024-01-23"</f>
        <v>2024-01-23</v>
      </c>
      <c r="B3491" s="1" t="str">
        <f t="shared" si="54"/>
        <v>01/23/2024</v>
      </c>
      <c r="C3491" t="str">
        <f>"126.3752"</f>
        <v>126.3752</v>
      </c>
      <c r="D3491" s="1" t="s">
        <v>3482</v>
      </c>
      <c r="E3491" t="s">
        <v>7593</v>
      </c>
    </row>
    <row r="3492" spans="1:5" x14ac:dyDescent="0.35">
      <c r="A3492" t="str">
        <f>"2024-01-24"</f>
        <v>2024-01-24</v>
      </c>
      <c r="B3492" s="1" t="str">
        <f t="shared" si="54"/>
        <v>01/24/2024</v>
      </c>
      <c r="C3492" t="str">
        <f>"128.0255"</f>
        <v>128.0255</v>
      </c>
      <c r="D3492" s="1" t="s">
        <v>3483</v>
      </c>
      <c r="E3492" t="s">
        <v>7594</v>
      </c>
    </row>
    <row r="3493" spans="1:5" x14ac:dyDescent="0.35">
      <c r="A3493" t="str">
        <f>"2024-01-25"</f>
        <v>2024-01-25</v>
      </c>
      <c r="B3493" s="1" t="str">
        <f t="shared" si="54"/>
        <v>01/25/2024</v>
      </c>
      <c r="C3493" t="str">
        <f>"128.6055"</f>
        <v>128.6055</v>
      </c>
      <c r="D3493" s="1" t="s">
        <v>3484</v>
      </c>
      <c r="E3493" t="s">
        <v>7595</v>
      </c>
    </row>
    <row r="3494" spans="1:5" x14ac:dyDescent="0.35">
      <c r="A3494" t="str">
        <f>"2024-01-26"</f>
        <v>2024-01-26</v>
      </c>
      <c r="B3494" s="1" t="str">
        <f t="shared" si="54"/>
        <v>01/26/2024</v>
      </c>
      <c r="C3494" t="str">
        <f>"132.3475"</f>
        <v>132.3475</v>
      </c>
      <c r="D3494" s="1" t="s">
        <v>3485</v>
      </c>
      <c r="E3494" t="s">
        <v>7596</v>
      </c>
    </row>
    <row r="3495" spans="1:5" x14ac:dyDescent="0.35">
      <c r="A3495" t="str">
        <f>"2024-01-29"</f>
        <v>2024-01-29</v>
      </c>
      <c r="B3495" s="1" t="str">
        <f t="shared" si="54"/>
        <v>01/29/2024</v>
      </c>
      <c r="C3495" t="str">
        <f>"138.7701"</f>
        <v>138.7701</v>
      </c>
      <c r="D3495" s="1" t="s">
        <v>3486</v>
      </c>
      <c r="E3495" t="s">
        <v>7597</v>
      </c>
    </row>
    <row r="3496" spans="1:5" x14ac:dyDescent="0.35">
      <c r="A3496" t="str">
        <f>"2024-01-30"</f>
        <v>2024-01-30</v>
      </c>
      <c r="B3496" s="1" t="str">
        <f t="shared" si="54"/>
        <v>01/30/2024</v>
      </c>
      <c r="C3496" t="str">
        <f>"137.2379"</f>
        <v>137.2379</v>
      </c>
      <c r="D3496" s="1" t="s">
        <v>3487</v>
      </c>
      <c r="E3496" t="s">
        <v>7598</v>
      </c>
    </row>
    <row r="3497" spans="1:5" x14ac:dyDescent="0.35">
      <c r="A3497" t="str">
        <f>"2024-01-31"</f>
        <v>2024-01-31</v>
      </c>
      <c r="B3497" s="1" t="str">
        <f t="shared" si="54"/>
        <v>01/31/2024</v>
      </c>
      <c r="C3497" t="str">
        <f>"136.4207"</f>
        <v>136.4207</v>
      </c>
      <c r="D3497" s="1" t="s">
        <v>3488</v>
      </c>
      <c r="E3497" t="s">
        <v>7599</v>
      </c>
    </row>
    <row r="3498" spans="1:5" x14ac:dyDescent="0.35">
      <c r="A3498" t="str">
        <f>"2024-02-01"</f>
        <v>2024-02-01</v>
      </c>
      <c r="B3498" s="1" t="str">
        <f t="shared" si="54"/>
        <v>02/01/2024</v>
      </c>
      <c r="C3498" t="str">
        <f>"136.9821"</f>
        <v>136.9821</v>
      </c>
      <c r="D3498" s="1" t="s">
        <v>3489</v>
      </c>
      <c r="E3498" t="s">
        <v>7600</v>
      </c>
    </row>
    <row r="3499" spans="1:5" x14ac:dyDescent="0.35">
      <c r="A3499" t="str">
        <f>"2024-02-02"</f>
        <v>2024-02-02</v>
      </c>
      <c r="B3499" s="1" t="str">
        <f t="shared" si="54"/>
        <v>02/02/2024</v>
      </c>
      <c r="C3499" t="str">
        <f>"141.2541"</f>
        <v>141.2541</v>
      </c>
      <c r="D3499" s="1" t="s">
        <v>3490</v>
      </c>
      <c r="E3499" t="s">
        <v>7601</v>
      </c>
    </row>
    <row r="3500" spans="1:5" x14ac:dyDescent="0.35">
      <c r="A3500" t="str">
        <f>"2024-02-05"</f>
        <v>2024-02-05</v>
      </c>
      <c r="B3500" s="1" t="str">
        <f t="shared" si="54"/>
        <v>02/05/2024</v>
      </c>
      <c r="C3500" t="str">
        <f>"146.5722"</f>
        <v>146.5722</v>
      </c>
      <c r="D3500" s="1" t="s">
        <v>3491</v>
      </c>
      <c r="E3500" t="s">
        <v>7602</v>
      </c>
    </row>
    <row r="3501" spans="1:5" x14ac:dyDescent="0.35">
      <c r="A3501" t="str">
        <f>"2024-02-06"</f>
        <v>2024-02-06</v>
      </c>
      <c r="B3501" s="1" t="str">
        <f t="shared" si="54"/>
        <v>02/06/2024</v>
      </c>
      <c r="C3501" t="str">
        <f>"145.6871"</f>
        <v>145.6871</v>
      </c>
      <c r="D3501" s="1" t="s">
        <v>3492</v>
      </c>
      <c r="E3501" t="s">
        <v>7603</v>
      </c>
    </row>
    <row r="3502" spans="1:5" x14ac:dyDescent="0.35">
      <c r="A3502" t="str">
        <f>"2024-02-07"</f>
        <v>2024-02-07</v>
      </c>
      <c r="B3502" s="1" t="str">
        <f t="shared" si="54"/>
        <v>02/07/2024</v>
      </c>
      <c r="C3502" t="str">
        <f>"143.1144"</f>
        <v>143.1144</v>
      </c>
      <c r="D3502" s="1" t="s">
        <v>3493</v>
      </c>
      <c r="E3502" t="s">
        <v>7604</v>
      </c>
    </row>
    <row r="3503" spans="1:5" x14ac:dyDescent="0.35">
      <c r="A3503" t="str">
        <f>"2024-02-08"</f>
        <v>2024-02-08</v>
      </c>
      <c r="B3503" s="1" t="str">
        <f t="shared" si="54"/>
        <v>02/08/2024</v>
      </c>
      <c r="C3503" t="str">
        <f>"143.4648"</f>
        <v>143.4648</v>
      </c>
      <c r="D3503" s="1" t="s">
        <v>3494</v>
      </c>
      <c r="E3503" t="s">
        <v>7605</v>
      </c>
    </row>
    <row r="3504" spans="1:5" x14ac:dyDescent="0.35">
      <c r="A3504" t="str">
        <f>"2024-02-09"</f>
        <v>2024-02-09</v>
      </c>
      <c r="B3504" s="1" t="str">
        <f t="shared" si="54"/>
        <v>02/09/2024</v>
      </c>
      <c r="C3504" t="str">
        <f>"147.7446"</f>
        <v>147.7446</v>
      </c>
      <c r="D3504" s="1" t="s">
        <v>3495</v>
      </c>
      <c r="E3504" t="s">
        <v>7606</v>
      </c>
    </row>
    <row r="3505" spans="1:5" x14ac:dyDescent="0.35">
      <c r="A3505" t="str">
        <f>"2024-02-12"</f>
        <v>2024-02-12</v>
      </c>
      <c r="B3505" s="1" t="str">
        <f t="shared" si="54"/>
        <v>02/12/2024</v>
      </c>
      <c r="C3505" t="str">
        <f>"145.9519"</f>
        <v>145.9519</v>
      </c>
      <c r="D3505" s="1" t="s">
        <v>3496</v>
      </c>
      <c r="E3505" t="s">
        <v>7607</v>
      </c>
    </row>
    <row r="3506" spans="1:5" x14ac:dyDescent="0.35">
      <c r="A3506" t="str">
        <f>"2024-02-13"</f>
        <v>2024-02-13</v>
      </c>
      <c r="B3506" s="1" t="str">
        <f t="shared" si="54"/>
        <v>02/13/2024</v>
      </c>
      <c r="C3506" t="str">
        <f>"142.9208"</f>
        <v>142.9208</v>
      </c>
      <c r="D3506" s="1" t="s">
        <v>3497</v>
      </c>
      <c r="E3506" t="s">
        <v>7608</v>
      </c>
    </row>
    <row r="3507" spans="1:5" x14ac:dyDescent="0.35">
      <c r="A3507" t="str">
        <f>"2024-02-14"</f>
        <v>2024-02-14</v>
      </c>
      <c r="B3507" s="1" t="str">
        <f t="shared" si="54"/>
        <v>02/14/2024</v>
      </c>
      <c r="C3507" t="str">
        <f>"143.6968"</f>
        <v>143.6968</v>
      </c>
      <c r="D3507" s="1" t="s">
        <v>3498</v>
      </c>
      <c r="E3507" t="s">
        <v>7609</v>
      </c>
    </row>
    <row r="3508" spans="1:5" x14ac:dyDescent="0.35">
      <c r="A3508" t="str">
        <f>"2024-02-15"</f>
        <v>2024-02-15</v>
      </c>
      <c r="B3508" s="1" t="str">
        <f t="shared" si="54"/>
        <v>02/15/2024</v>
      </c>
      <c r="C3508" t="str">
        <f>"143.4813"</f>
        <v>143.4813</v>
      </c>
      <c r="D3508" s="1" t="s">
        <v>3499</v>
      </c>
      <c r="E3508" t="s">
        <v>7610</v>
      </c>
    </row>
    <row r="3509" spans="1:5" x14ac:dyDescent="0.35">
      <c r="A3509" t="str">
        <f>"2024-02-16"</f>
        <v>2024-02-16</v>
      </c>
      <c r="B3509" s="1" t="str">
        <f t="shared" si="54"/>
        <v>02/16/2024</v>
      </c>
      <c r="C3509" t="str">
        <f>"141.7573"</f>
        <v>141.7573</v>
      </c>
      <c r="D3509" s="1" t="s">
        <v>3500</v>
      </c>
      <c r="E3509" t="s">
        <v>7611</v>
      </c>
    </row>
    <row r="3510" spans="1:5" x14ac:dyDescent="0.35">
      <c r="A3510" t="str">
        <f>"2024-02-20"</f>
        <v>2024-02-20</v>
      </c>
      <c r="B3510" s="1" t="str">
        <f t="shared" si="54"/>
        <v>02/20/2024</v>
      </c>
      <c r="C3510" t="str">
        <f>"139.7764"</f>
        <v>139.7764</v>
      </c>
      <c r="D3510" s="1" t="s">
        <v>3501</v>
      </c>
      <c r="E3510" t="s">
        <v>7612</v>
      </c>
    </row>
    <row r="3511" spans="1:5" x14ac:dyDescent="0.35">
      <c r="A3511" t="str">
        <f>"2024-02-21"</f>
        <v>2024-02-21</v>
      </c>
      <c r="B3511" s="1" t="str">
        <f t="shared" si="54"/>
        <v>02/21/2024</v>
      </c>
      <c r="C3511" t="str">
        <f>"138.9727"</f>
        <v>138.9727</v>
      </c>
      <c r="D3511" s="1" t="s">
        <v>3502</v>
      </c>
      <c r="E3511" t="s">
        <v>7613</v>
      </c>
    </row>
    <row r="3512" spans="1:5" x14ac:dyDescent="0.35">
      <c r="A3512" t="str">
        <f>"2024-02-22"</f>
        <v>2024-02-22</v>
      </c>
      <c r="B3512" s="1" t="str">
        <f t="shared" si="54"/>
        <v>02/22/2024</v>
      </c>
      <c r="C3512" t="str">
        <f>"141.5059"</f>
        <v>141.5059</v>
      </c>
      <c r="D3512" s="1" t="s">
        <v>3503</v>
      </c>
      <c r="E3512" t="s">
        <v>7614</v>
      </c>
    </row>
    <row r="3513" spans="1:5" x14ac:dyDescent="0.35">
      <c r="A3513" t="str">
        <f>"2024-02-23"</f>
        <v>2024-02-23</v>
      </c>
      <c r="B3513" s="1" t="str">
        <f t="shared" si="54"/>
        <v>02/23/2024</v>
      </c>
      <c r="C3513" t="str">
        <f>"140.6733"</f>
        <v>140.6733</v>
      </c>
      <c r="D3513" s="1" t="s">
        <v>3504</v>
      </c>
      <c r="E3513" t="s">
        <v>7615</v>
      </c>
    </row>
    <row r="3514" spans="1:5" x14ac:dyDescent="0.35">
      <c r="A3514" t="str">
        <f>"2024-02-26"</f>
        <v>2024-02-26</v>
      </c>
      <c r="B3514" s="1" t="str">
        <f t="shared" si="54"/>
        <v>02/26/2024</v>
      </c>
      <c r="C3514" t="str">
        <f>"140.7914"</f>
        <v>140.7914</v>
      </c>
      <c r="D3514" s="1" t="s">
        <v>3505</v>
      </c>
      <c r="E3514" t="s">
        <v>7616</v>
      </c>
    </row>
    <row r="3515" spans="1:5" x14ac:dyDescent="0.35">
      <c r="A3515" t="str">
        <f>"2024-02-27"</f>
        <v>2024-02-27</v>
      </c>
      <c r="B3515" s="1" t="str">
        <f t="shared" si="54"/>
        <v>02/27/2024</v>
      </c>
      <c r="C3515" t="str">
        <f>"137.7295"</f>
        <v>137.7295</v>
      </c>
      <c r="D3515" s="1" t="s">
        <v>3506</v>
      </c>
      <c r="E3515" t="s">
        <v>7617</v>
      </c>
    </row>
    <row r="3516" spans="1:5" x14ac:dyDescent="0.35">
      <c r="A3516" t="str">
        <f>"2024-02-28"</f>
        <v>2024-02-28</v>
      </c>
      <c r="B3516" s="1" t="str">
        <f t="shared" si="54"/>
        <v>02/28/2024</v>
      </c>
      <c r="C3516" t="str">
        <f>"135.5756"</f>
        <v>135.5756</v>
      </c>
      <c r="D3516" s="1" t="s">
        <v>3507</v>
      </c>
      <c r="E3516" t="s">
        <v>7618</v>
      </c>
    </row>
    <row r="3517" spans="1:5" x14ac:dyDescent="0.35">
      <c r="A3517" t="str">
        <f>"2024-02-29"</f>
        <v>2024-02-29</v>
      </c>
      <c r="B3517" s="1" t="str">
        <f t="shared" si="54"/>
        <v>02/29/2024</v>
      </c>
      <c r="C3517" t="str">
        <f>"137.263"</f>
        <v>137.263</v>
      </c>
      <c r="D3517" s="1" t="s">
        <v>3508</v>
      </c>
      <c r="E3517" t="s">
        <v>7619</v>
      </c>
    </row>
    <row r="3518" spans="1:5" x14ac:dyDescent="0.35">
      <c r="A3518" t="str">
        <f>"2024-03-01"</f>
        <v>2024-03-01</v>
      </c>
      <c r="B3518" s="1" t="str">
        <f t="shared" si="54"/>
        <v>03/01/2024</v>
      </c>
      <c r="C3518" t="str">
        <f>"132.3437"</f>
        <v>132.3437</v>
      </c>
      <c r="D3518" s="1" t="s">
        <v>3509</v>
      </c>
      <c r="E3518" t="s">
        <v>7620</v>
      </c>
    </row>
    <row r="3519" spans="1:5" x14ac:dyDescent="0.35">
      <c r="A3519" t="str">
        <f>"2024-03-04"</f>
        <v>2024-03-04</v>
      </c>
      <c r="B3519" s="1" t="str">
        <f t="shared" si="54"/>
        <v>03/04/2024</v>
      </c>
      <c r="C3519" t="str">
        <f>"126.5656"</f>
        <v>126.5656</v>
      </c>
      <c r="D3519" s="1" t="s">
        <v>3510</v>
      </c>
      <c r="E3519" t="s">
        <v>7621</v>
      </c>
    </row>
    <row r="3520" spans="1:5" x14ac:dyDescent="0.35">
      <c r="A3520" t="str">
        <f>"2024-03-05"</f>
        <v>2024-03-05</v>
      </c>
      <c r="B3520" s="1" t="str">
        <f t="shared" si="54"/>
        <v>03/05/2024</v>
      </c>
      <c r="C3520" t="str">
        <f>"122.484"</f>
        <v>122.484</v>
      </c>
      <c r="D3520" s="1" t="s">
        <v>3511</v>
      </c>
      <c r="E3520" t="s">
        <v>7622</v>
      </c>
    </row>
    <row r="3521" spans="1:5" x14ac:dyDescent="0.35">
      <c r="A3521" t="str">
        <f>"2024-03-06"</f>
        <v>2024-03-06</v>
      </c>
      <c r="B3521" s="1" t="str">
        <f t="shared" si="54"/>
        <v>03/06/2024</v>
      </c>
      <c r="C3521" t="str">
        <f>"119.1391"</f>
        <v>119.1391</v>
      </c>
      <c r="D3521" s="1" t="s">
        <v>3512</v>
      </c>
      <c r="E3521" t="s">
        <v>7623</v>
      </c>
    </row>
    <row r="3522" spans="1:5" x14ac:dyDescent="0.35">
      <c r="A3522" t="str">
        <f>"2024-03-07"</f>
        <v>2024-03-07</v>
      </c>
      <c r="B3522" s="1" t="str">
        <f t="shared" si="54"/>
        <v>03/07/2024</v>
      </c>
      <c r="C3522" t="str">
        <f>"123.6324"</f>
        <v>123.6324</v>
      </c>
      <c r="D3522" s="1" t="s">
        <v>3513</v>
      </c>
      <c r="E3522" t="s">
        <v>7624</v>
      </c>
    </row>
    <row r="3523" spans="1:5" x14ac:dyDescent="0.35">
      <c r="A3523" t="str">
        <f>"2024-03-08"</f>
        <v>2024-03-08</v>
      </c>
      <c r="B3523" s="1" t="str">
        <f t="shared" ref="B3523:B3586" si="55">LEFT(RIGHT(A3523,5),2)&amp;"/"&amp;RIGHT(A3523,2)&amp;"/"&amp;LEFT(A3523,4)</f>
        <v>03/08/2024</v>
      </c>
      <c r="C3523" t="str">
        <f>"124.8483"</f>
        <v>124.8483</v>
      </c>
      <c r="D3523" s="1" t="s">
        <v>3514</v>
      </c>
      <c r="E3523" t="s">
        <v>7625</v>
      </c>
    </row>
    <row r="3524" spans="1:5" x14ac:dyDescent="0.35">
      <c r="A3524" t="str">
        <f>"2024-03-11"</f>
        <v>2024-03-11</v>
      </c>
      <c r="B3524" s="1" t="str">
        <f t="shared" si="55"/>
        <v>03/11/2024</v>
      </c>
      <c r="C3524" t="str">
        <f>"125.0473"</f>
        <v>125.0473</v>
      </c>
      <c r="D3524" s="1" t="s">
        <v>3515</v>
      </c>
      <c r="E3524" t="s">
        <v>7626</v>
      </c>
    </row>
    <row r="3525" spans="1:5" x14ac:dyDescent="0.35">
      <c r="A3525" t="str">
        <f>"2024-03-12"</f>
        <v>2024-03-12</v>
      </c>
      <c r="B3525" s="1" t="str">
        <f t="shared" si="55"/>
        <v>03/12/2024</v>
      </c>
      <c r="C3525" t="str">
        <f>"123.8054"</f>
        <v>123.8054</v>
      </c>
      <c r="D3525" s="1" t="s">
        <v>3516</v>
      </c>
      <c r="E3525" t="s">
        <v>7627</v>
      </c>
    </row>
    <row r="3526" spans="1:5" x14ac:dyDescent="0.35">
      <c r="A3526" t="str">
        <f>"2024-03-13"</f>
        <v>2024-03-13</v>
      </c>
      <c r="B3526" s="1" t="str">
        <f t="shared" si="55"/>
        <v>03/13/2024</v>
      </c>
      <c r="C3526" t="str">
        <f>"121.1764"</f>
        <v>121.1764</v>
      </c>
      <c r="D3526" s="1" t="s">
        <v>3517</v>
      </c>
      <c r="E3526" t="s">
        <v>7628</v>
      </c>
    </row>
    <row r="3527" spans="1:5" x14ac:dyDescent="0.35">
      <c r="A3527" t="str">
        <f>"2024-03-14"</f>
        <v>2024-03-14</v>
      </c>
      <c r="B3527" s="1" t="str">
        <f t="shared" si="55"/>
        <v>03/14/2024</v>
      </c>
      <c r="C3527" t="str">
        <f>"121.6653"</f>
        <v>121.6653</v>
      </c>
      <c r="D3527" s="1" t="s">
        <v>3518</v>
      </c>
      <c r="E3527" t="s">
        <v>7629</v>
      </c>
    </row>
    <row r="3528" spans="1:5" x14ac:dyDescent="0.35">
      <c r="A3528" t="str">
        <f>"2024-03-15"</f>
        <v>2024-03-15</v>
      </c>
      <c r="B3528" s="1" t="str">
        <f t="shared" si="55"/>
        <v>03/15/2024</v>
      </c>
      <c r="C3528" t="str">
        <f>"121.0325"</f>
        <v>121.0325</v>
      </c>
      <c r="D3528" s="1" t="s">
        <v>3519</v>
      </c>
      <c r="E3528" t="s">
        <v>7630</v>
      </c>
    </row>
    <row r="3529" spans="1:5" x14ac:dyDescent="0.35">
      <c r="A3529" t="str">
        <f>"2024-03-18"</f>
        <v>2024-03-18</v>
      </c>
      <c r="B3529" s="1" t="str">
        <f t="shared" si="55"/>
        <v>03/18/2024</v>
      </c>
      <c r="C3529" t="str">
        <f>"119.7079"</f>
        <v>119.7079</v>
      </c>
      <c r="D3529" s="1" t="s">
        <v>3520</v>
      </c>
      <c r="E3529" t="s">
        <v>7631</v>
      </c>
    </row>
    <row r="3530" spans="1:5" x14ac:dyDescent="0.35">
      <c r="A3530" t="str">
        <f>"2024-03-19"</f>
        <v>2024-03-19</v>
      </c>
      <c r="B3530" s="1" t="str">
        <f t="shared" si="55"/>
        <v>03/19/2024</v>
      </c>
      <c r="C3530" t="str">
        <f>"124.1324"</f>
        <v>124.1324</v>
      </c>
      <c r="D3530" s="1" t="s">
        <v>3521</v>
      </c>
      <c r="E3530" t="s">
        <v>7632</v>
      </c>
    </row>
    <row r="3531" spans="1:5" x14ac:dyDescent="0.35">
      <c r="A3531" t="str">
        <f>"2024-03-20"</f>
        <v>2024-03-20</v>
      </c>
      <c r="B3531" s="1" t="str">
        <f t="shared" si="55"/>
        <v>03/20/2024</v>
      </c>
      <c r="C3531" t="str">
        <f>"123.8869"</f>
        <v>123.8869</v>
      </c>
      <c r="D3531" s="1" t="s">
        <v>3522</v>
      </c>
      <c r="E3531" t="s">
        <v>7633</v>
      </c>
    </row>
    <row r="3532" spans="1:5" x14ac:dyDescent="0.35">
      <c r="A3532" t="str">
        <f>"2024-03-21"</f>
        <v>2024-03-21</v>
      </c>
      <c r="B3532" s="1" t="str">
        <f t="shared" si="55"/>
        <v>03/21/2024</v>
      </c>
      <c r="C3532" t="str">
        <f>"125.5167"</f>
        <v>125.5167</v>
      </c>
      <c r="D3532" s="1" t="s">
        <v>3523</v>
      </c>
      <c r="E3532" t="s">
        <v>7634</v>
      </c>
    </row>
    <row r="3533" spans="1:5" x14ac:dyDescent="0.35">
      <c r="A3533" t="str">
        <f>"2024-03-22"</f>
        <v>2024-03-22</v>
      </c>
      <c r="B3533" s="1" t="str">
        <f t="shared" si="55"/>
        <v>03/22/2024</v>
      </c>
      <c r="C3533" t="str">
        <f>"130.5374"</f>
        <v>130.5374</v>
      </c>
      <c r="D3533" s="1" t="s">
        <v>3524</v>
      </c>
      <c r="E3533" t="s">
        <v>7635</v>
      </c>
    </row>
    <row r="3534" spans="1:5" x14ac:dyDescent="0.35">
      <c r="A3534" t="str">
        <f>"2024-03-25"</f>
        <v>2024-03-25</v>
      </c>
      <c r="B3534" s="1" t="str">
        <f t="shared" si="55"/>
        <v>03/25/2024</v>
      </c>
      <c r="C3534" t="str">
        <f>"127.3708"</f>
        <v>127.3708</v>
      </c>
      <c r="D3534" s="1" t="s">
        <v>3525</v>
      </c>
      <c r="E3534" t="s">
        <v>7636</v>
      </c>
    </row>
    <row r="3535" spans="1:5" x14ac:dyDescent="0.35">
      <c r="A3535" t="str">
        <f>"2024-03-26"</f>
        <v>2024-03-26</v>
      </c>
      <c r="B3535" s="1" t="str">
        <f t="shared" si="55"/>
        <v>03/26/2024</v>
      </c>
      <c r="C3535" t="str">
        <f>"126.7752"</f>
        <v>126.7752</v>
      </c>
      <c r="D3535" s="1" t="s">
        <v>3526</v>
      </c>
      <c r="E3535" t="s">
        <v>7637</v>
      </c>
    </row>
    <row r="3536" spans="1:5" x14ac:dyDescent="0.35">
      <c r="A3536" t="str">
        <f>"2024-03-27"</f>
        <v>2024-03-27</v>
      </c>
      <c r="B3536" s="1" t="str">
        <f t="shared" si="55"/>
        <v>03/27/2024</v>
      </c>
      <c r="C3536" t="str">
        <f>"124.646"</f>
        <v>124.646</v>
      </c>
      <c r="D3536" s="1" t="s">
        <v>3527</v>
      </c>
      <c r="E3536" t="s">
        <v>7638</v>
      </c>
    </row>
    <row r="3537" spans="1:5" x14ac:dyDescent="0.35">
      <c r="A3537" t="str">
        <f>"2024-03-28"</f>
        <v>2024-03-28</v>
      </c>
      <c r="B3537" s="1" t="str">
        <f t="shared" si="55"/>
        <v>03/28/2024</v>
      </c>
      <c r="C3537" t="str">
        <f>"129.3059"</f>
        <v>129.3059</v>
      </c>
      <c r="D3537" s="1" t="s">
        <v>3528</v>
      </c>
      <c r="E3537" t="s">
        <v>7639</v>
      </c>
    </row>
    <row r="3538" spans="1:5" x14ac:dyDescent="0.35">
      <c r="A3538" t="str">
        <f>"2024-04-01"</f>
        <v>2024-04-01</v>
      </c>
      <c r="B3538" s="1" t="str">
        <f t="shared" si="55"/>
        <v>04/01/2024</v>
      </c>
      <c r="C3538" t="str">
        <f>"130.2861"</f>
        <v>130.2861</v>
      </c>
      <c r="D3538" s="1" t="s">
        <v>3529</v>
      </c>
      <c r="E3538" t="s">
        <v>7640</v>
      </c>
    </row>
    <row r="3539" spans="1:5" x14ac:dyDescent="0.35">
      <c r="A3539" t="str">
        <f>"2024-04-02"</f>
        <v>2024-04-02</v>
      </c>
      <c r="B3539" s="1" t="str">
        <f t="shared" si="55"/>
        <v>04/02/2024</v>
      </c>
      <c r="C3539" t="str">
        <f>"126.6393"</f>
        <v>126.6393</v>
      </c>
      <c r="D3539" s="1" t="s">
        <v>3530</v>
      </c>
      <c r="E3539" t="s">
        <v>7641</v>
      </c>
    </row>
    <row r="3540" spans="1:5" x14ac:dyDescent="0.35">
      <c r="A3540" t="str">
        <f>"2024-04-03"</f>
        <v>2024-04-03</v>
      </c>
      <c r="B3540" s="1" t="str">
        <f t="shared" si="55"/>
        <v>04/03/2024</v>
      </c>
      <c r="C3540" t="str">
        <f>"126.8834"</f>
        <v>126.8834</v>
      </c>
      <c r="D3540" s="1" t="s">
        <v>3531</v>
      </c>
      <c r="E3540" t="s">
        <v>7642</v>
      </c>
    </row>
    <row r="3541" spans="1:5" x14ac:dyDescent="0.35">
      <c r="A3541" t="str">
        <f>"2024-04-04"</f>
        <v>2024-04-04</v>
      </c>
      <c r="B3541" s="1" t="str">
        <f t="shared" si="55"/>
        <v>04/04/2024</v>
      </c>
      <c r="C3541" t="str">
        <f>"123.3651"</f>
        <v>123.3651</v>
      </c>
      <c r="D3541" s="1" t="s">
        <v>3532</v>
      </c>
      <c r="E3541" t="s">
        <v>7643</v>
      </c>
    </row>
    <row r="3542" spans="1:5" x14ac:dyDescent="0.35">
      <c r="A3542" t="str">
        <f>"2024-04-05"</f>
        <v>2024-04-05</v>
      </c>
      <c r="B3542" s="1" t="str">
        <f t="shared" si="55"/>
        <v>04/05/2024</v>
      </c>
      <c r="C3542" t="str">
        <f>"128.6307"</f>
        <v>128.6307</v>
      </c>
      <c r="D3542" s="1" t="s">
        <v>3533</v>
      </c>
      <c r="E3542" t="s">
        <v>7644</v>
      </c>
    </row>
    <row r="3543" spans="1:5" x14ac:dyDescent="0.35">
      <c r="A3543" t="str">
        <f>"2024-04-08"</f>
        <v>2024-04-08</v>
      </c>
      <c r="B3543" s="1" t="str">
        <f t="shared" si="55"/>
        <v>04/08/2024</v>
      </c>
      <c r="C3543" t="str">
        <f>"129.1948"</f>
        <v>129.1948</v>
      </c>
      <c r="D3543" s="1" t="s">
        <v>3534</v>
      </c>
      <c r="E3543" t="s">
        <v>7645</v>
      </c>
    </row>
    <row r="3544" spans="1:5" x14ac:dyDescent="0.35">
      <c r="A3544" t="str">
        <f>"2024-04-15"</f>
        <v>2024-04-15</v>
      </c>
      <c r="B3544" s="1" t="str">
        <f t="shared" si="55"/>
        <v>04/15/2024</v>
      </c>
      <c r="C3544" t="str">
        <f>"121.1357"</f>
        <v>121.1357</v>
      </c>
      <c r="D3544" s="1" t="s">
        <v>3535</v>
      </c>
      <c r="E3544" t="s">
        <v>7646</v>
      </c>
    </row>
    <row r="3545" spans="1:5" x14ac:dyDescent="0.35">
      <c r="A3545" t="str">
        <f>"2024-04-16"</f>
        <v>2024-04-16</v>
      </c>
      <c r="B3545" s="1" t="str">
        <f t="shared" si="55"/>
        <v>04/16/2024</v>
      </c>
      <c r="C3545" t="str">
        <f>"119.2294"</f>
        <v>119.2294</v>
      </c>
      <c r="D3545" s="1" t="s">
        <v>3536</v>
      </c>
      <c r="E3545" t="s">
        <v>7647</v>
      </c>
    </row>
    <row r="3546" spans="1:5" x14ac:dyDescent="0.35">
      <c r="A3546" t="str">
        <f>"2024-04-17"</f>
        <v>2024-04-17</v>
      </c>
      <c r="B3546" s="1" t="str">
        <f t="shared" si="55"/>
        <v>04/17/2024</v>
      </c>
      <c r="C3546" t="str">
        <f>"119.0978"</f>
        <v>119.0978</v>
      </c>
      <c r="D3546" s="1" t="s">
        <v>3537</v>
      </c>
      <c r="E3546" t="s">
        <v>7648</v>
      </c>
    </row>
    <row r="3547" spans="1:5" x14ac:dyDescent="0.35">
      <c r="A3547" t="str">
        <f>"2024-04-18"</f>
        <v>2024-04-18</v>
      </c>
      <c r="B3547" s="1" t="str">
        <f t="shared" si="55"/>
        <v>04/18/2024</v>
      </c>
      <c r="C3547" t="str">
        <f>"119.1167"</f>
        <v>119.1167</v>
      </c>
      <c r="D3547" s="1" t="s">
        <v>3538</v>
      </c>
      <c r="E3547" t="s">
        <v>7649</v>
      </c>
    </row>
    <row r="3548" spans="1:5" x14ac:dyDescent="0.35">
      <c r="A3548" t="str">
        <f>"2024-04-19"</f>
        <v>2024-04-19</v>
      </c>
      <c r="B3548" s="1" t="str">
        <f t="shared" si="55"/>
        <v>04/19/2024</v>
      </c>
      <c r="C3548" t="str">
        <f>"120.4716"</f>
        <v>120.4716</v>
      </c>
      <c r="D3548" s="1" t="s">
        <v>3539</v>
      </c>
      <c r="E3548" t="s">
        <v>7650</v>
      </c>
    </row>
    <row r="3549" spans="1:5" x14ac:dyDescent="0.35">
      <c r="A3549" t="str">
        <f>"2024-04-22"</f>
        <v>2024-04-22</v>
      </c>
      <c r="B3549" s="1" t="str">
        <f t="shared" si="55"/>
        <v>04/22/2024</v>
      </c>
      <c r="C3549" t="str">
        <f>"123.8413"</f>
        <v>123.8413</v>
      </c>
      <c r="D3549" s="1" t="s">
        <v>3540</v>
      </c>
      <c r="E3549" t="s">
        <v>7651</v>
      </c>
    </row>
    <row r="3550" spans="1:5" x14ac:dyDescent="0.35">
      <c r="A3550" t="str">
        <f>"2024-04-24"</f>
        <v>2024-04-24</v>
      </c>
      <c r="B3550" s="1" t="str">
        <f t="shared" si="55"/>
        <v>04/24/2024</v>
      </c>
      <c r="C3550" t="str">
        <f>"127.4874"</f>
        <v>127.4874</v>
      </c>
      <c r="D3550" s="1" t="s">
        <v>3541</v>
      </c>
      <c r="E3550" t="s">
        <v>7652</v>
      </c>
    </row>
    <row r="3551" spans="1:5" x14ac:dyDescent="0.35">
      <c r="A3551" t="str">
        <f>"2024-04-25"</f>
        <v>2024-04-25</v>
      </c>
      <c r="B3551" s="1" t="str">
        <f t="shared" si="55"/>
        <v>04/25/2024</v>
      </c>
      <c r="C3551" t="str">
        <f>"128.4126"</f>
        <v>128.4126</v>
      </c>
      <c r="D3551" s="1" t="s">
        <v>3542</v>
      </c>
      <c r="E3551" t="s">
        <v>7653</v>
      </c>
    </row>
    <row r="3552" spans="1:5" x14ac:dyDescent="0.35">
      <c r="A3552" t="str">
        <f>"2024-04-26"</f>
        <v>2024-04-26</v>
      </c>
      <c r="B3552" s="1" t="str">
        <f t="shared" si="55"/>
        <v>04/26/2024</v>
      </c>
      <c r="C3552" t="str">
        <f>"129.7968"</f>
        <v>129.7968</v>
      </c>
      <c r="D3552" s="1" t="s">
        <v>3543</v>
      </c>
      <c r="E3552" t="s">
        <v>7654</v>
      </c>
    </row>
    <row r="3553" spans="1:5" x14ac:dyDescent="0.35">
      <c r="A3553" t="str">
        <f>"2024-04-29"</f>
        <v>2024-04-29</v>
      </c>
      <c r="B3553" s="1" t="str">
        <f t="shared" si="55"/>
        <v>04/29/2024</v>
      </c>
      <c r="C3553" t="str">
        <f>"132.8954"</f>
        <v>132.8954</v>
      </c>
      <c r="D3553" s="1" t="s">
        <v>3544</v>
      </c>
      <c r="E3553" t="s">
        <v>7655</v>
      </c>
    </row>
    <row r="3554" spans="1:5" x14ac:dyDescent="0.35">
      <c r="A3554" t="str">
        <f>"2024-04-30"</f>
        <v>2024-04-30</v>
      </c>
      <c r="B3554" s="1" t="str">
        <f t="shared" si="55"/>
        <v>04/30/2024</v>
      </c>
      <c r="C3554" t="str">
        <f>"136.705"</f>
        <v>136.705</v>
      </c>
      <c r="D3554" s="1" t="s">
        <v>3545</v>
      </c>
      <c r="E3554" t="s">
        <v>7656</v>
      </c>
    </row>
    <row r="3555" spans="1:5" x14ac:dyDescent="0.35">
      <c r="A3555" t="str">
        <f>"2024-05-02"</f>
        <v>2024-05-02</v>
      </c>
      <c r="B3555" s="1" t="str">
        <f t="shared" si="55"/>
        <v>05/02/2024</v>
      </c>
      <c r="C3555" t="str">
        <f>"136.336"</f>
        <v>136.336</v>
      </c>
      <c r="D3555" s="1" t="s">
        <v>3546</v>
      </c>
      <c r="E3555" t="s">
        <v>7657</v>
      </c>
    </row>
    <row r="3556" spans="1:5" x14ac:dyDescent="0.35">
      <c r="A3556" t="str">
        <f>"2024-05-03"</f>
        <v>2024-05-03</v>
      </c>
      <c r="B3556" s="1" t="str">
        <f t="shared" si="55"/>
        <v>05/03/2024</v>
      </c>
      <c r="C3556" t="str">
        <f>"135.6952"</f>
        <v>135.6952</v>
      </c>
      <c r="D3556" s="1" t="s">
        <v>3547</v>
      </c>
      <c r="E3556" t="s">
        <v>7658</v>
      </c>
    </row>
    <row r="3557" spans="1:5" x14ac:dyDescent="0.35">
      <c r="A3557" t="str">
        <f>"2024-05-06"</f>
        <v>2024-05-06</v>
      </c>
      <c r="B3557" s="1" t="str">
        <f t="shared" si="55"/>
        <v>05/06/2024</v>
      </c>
      <c r="C3557" t="str">
        <f>"135.2087"</f>
        <v>135.2087</v>
      </c>
      <c r="D3557" s="1" t="s">
        <v>3548</v>
      </c>
      <c r="E3557" t="s">
        <v>7659</v>
      </c>
    </row>
    <row r="3558" spans="1:5" x14ac:dyDescent="0.35">
      <c r="A3558" t="str">
        <f>"2024-05-07"</f>
        <v>2024-05-07</v>
      </c>
      <c r="B3558" s="1" t="str">
        <f t="shared" si="55"/>
        <v>05/07/2024</v>
      </c>
      <c r="C3558" t="str">
        <f>"137.3302"</f>
        <v>137.3302</v>
      </c>
      <c r="D3558" s="1" t="s">
        <v>3549</v>
      </c>
      <c r="E3558" t="s">
        <v>7660</v>
      </c>
    </row>
    <row r="3559" spans="1:5" x14ac:dyDescent="0.35">
      <c r="A3559" t="str">
        <f>"2024-05-08"</f>
        <v>2024-05-08</v>
      </c>
      <c r="B3559" s="1" t="str">
        <f t="shared" si="55"/>
        <v>05/08/2024</v>
      </c>
      <c r="C3559" t="str">
        <f>"136.5999"</f>
        <v>136.5999</v>
      </c>
      <c r="D3559" s="1" t="s">
        <v>3550</v>
      </c>
      <c r="E3559" t="s">
        <v>7661</v>
      </c>
    </row>
    <row r="3560" spans="1:5" x14ac:dyDescent="0.35">
      <c r="A3560" t="str">
        <f>"2024-05-09"</f>
        <v>2024-05-09</v>
      </c>
      <c r="B3560" s="1" t="str">
        <f t="shared" si="55"/>
        <v>05/09/2024</v>
      </c>
      <c r="C3560" t="str">
        <f>"134.0989"</f>
        <v>134.0989</v>
      </c>
      <c r="D3560" s="1" t="s">
        <v>3551</v>
      </c>
      <c r="E3560" t="s">
        <v>7662</v>
      </c>
    </row>
    <row r="3561" spans="1:5" x14ac:dyDescent="0.35">
      <c r="A3561" t="str">
        <f>"2024-05-10"</f>
        <v>2024-05-10</v>
      </c>
      <c r="B3561" s="1" t="str">
        <f t="shared" si="55"/>
        <v>05/10/2024</v>
      </c>
      <c r="C3561" t="str">
        <f>"129.4219"</f>
        <v>129.4219</v>
      </c>
      <c r="D3561" s="1" t="s">
        <v>3552</v>
      </c>
      <c r="E3561" t="s">
        <v>7663</v>
      </c>
    </row>
    <row r="3562" spans="1:5" x14ac:dyDescent="0.35">
      <c r="A3562" t="str">
        <f>"2024-05-13"</f>
        <v>2024-05-13</v>
      </c>
      <c r="B3562" s="1" t="str">
        <f t="shared" si="55"/>
        <v>05/13/2024</v>
      </c>
      <c r="C3562" t="str">
        <f>"130.0141"</f>
        <v>130.0141</v>
      </c>
      <c r="D3562" s="1" t="s">
        <v>3553</v>
      </c>
      <c r="E3562" t="s">
        <v>7664</v>
      </c>
    </row>
    <row r="3563" spans="1:5" x14ac:dyDescent="0.35">
      <c r="A3563" t="str">
        <f>"2024-05-14"</f>
        <v>2024-05-14</v>
      </c>
      <c r="B3563" s="1" t="str">
        <f t="shared" si="55"/>
        <v>05/14/2024</v>
      </c>
      <c r="C3563" t="str">
        <f>"127.1372"</f>
        <v>127.1372</v>
      </c>
      <c r="D3563" s="1" t="s">
        <v>3554</v>
      </c>
      <c r="E3563" t="s">
        <v>7665</v>
      </c>
    </row>
    <row r="3564" spans="1:5" x14ac:dyDescent="0.35">
      <c r="A3564" t="str">
        <f>"2024-05-15"</f>
        <v>2024-05-15</v>
      </c>
      <c r="B3564" s="1" t="str">
        <f t="shared" si="55"/>
        <v>05/15/2024</v>
      </c>
      <c r="C3564" t="str">
        <f>"123.2279"</f>
        <v>123.2279</v>
      </c>
      <c r="D3564" s="1" t="s">
        <v>3555</v>
      </c>
      <c r="E3564" t="s">
        <v>7666</v>
      </c>
    </row>
    <row r="3565" spans="1:5" x14ac:dyDescent="0.35">
      <c r="A3565" t="str">
        <f>"2024-05-16"</f>
        <v>2024-05-16</v>
      </c>
      <c r="B3565" s="1" t="str">
        <f t="shared" si="55"/>
        <v>05/16/2024</v>
      </c>
      <c r="C3565" t="str">
        <f>"124.7521"</f>
        <v>124.7521</v>
      </c>
      <c r="D3565" s="1" t="s">
        <v>3556</v>
      </c>
      <c r="E3565" t="s">
        <v>7667</v>
      </c>
    </row>
    <row r="3566" spans="1:5" x14ac:dyDescent="0.35">
      <c r="A3566" t="str">
        <f>"2024-05-17"</f>
        <v>2024-05-17</v>
      </c>
      <c r="B3566" s="1" t="str">
        <f t="shared" si="55"/>
        <v>05/17/2024</v>
      </c>
      <c r="C3566" t="str">
        <f>"129.2906"</f>
        <v>129.2906</v>
      </c>
      <c r="D3566" s="1" t="s">
        <v>3557</v>
      </c>
      <c r="E3566" t="s">
        <v>7668</v>
      </c>
    </row>
    <row r="3567" spans="1:5" x14ac:dyDescent="0.35">
      <c r="A3567" t="str">
        <f>"2024-05-20"</f>
        <v>2024-05-20</v>
      </c>
      <c r="B3567" s="1" t="str">
        <f t="shared" si="55"/>
        <v>05/20/2024</v>
      </c>
      <c r="C3567" t="str">
        <f>"128.2583"</f>
        <v>128.2583</v>
      </c>
      <c r="D3567" s="1" t="s">
        <v>3558</v>
      </c>
      <c r="E3567" t="s">
        <v>7669</v>
      </c>
    </row>
    <row r="3568" spans="1:5" x14ac:dyDescent="0.35">
      <c r="A3568" t="str">
        <f>"2024-05-21"</f>
        <v>2024-05-21</v>
      </c>
      <c r="B3568" s="1" t="str">
        <f t="shared" si="55"/>
        <v>05/21/2024</v>
      </c>
      <c r="C3568" t="str">
        <f>"128.5877"</f>
        <v>128.5877</v>
      </c>
      <c r="D3568" s="1" t="s">
        <v>3559</v>
      </c>
      <c r="E3568" t="s">
        <v>7670</v>
      </c>
    </row>
    <row r="3569" spans="1:5" x14ac:dyDescent="0.35">
      <c r="A3569" t="str">
        <f>"2024-05-22"</f>
        <v>2024-05-22</v>
      </c>
      <c r="B3569" s="1" t="str">
        <f t="shared" si="55"/>
        <v>05/22/2024</v>
      </c>
      <c r="C3569" t="str">
        <f>"130.0183"</f>
        <v>130.0183</v>
      </c>
      <c r="D3569" s="1" t="s">
        <v>3560</v>
      </c>
      <c r="E3569" t="s">
        <v>7671</v>
      </c>
    </row>
    <row r="3570" spans="1:5" x14ac:dyDescent="0.35">
      <c r="A3570" t="str">
        <f>"2024-05-23"</f>
        <v>2024-05-23</v>
      </c>
      <c r="B3570" s="1" t="str">
        <f t="shared" si="55"/>
        <v>05/23/2024</v>
      </c>
      <c r="C3570" t="str">
        <f>"131.5444"</f>
        <v>131.5444</v>
      </c>
      <c r="D3570" s="1" t="s">
        <v>3561</v>
      </c>
      <c r="E3570" t="s">
        <v>7672</v>
      </c>
    </row>
    <row r="3571" spans="1:5" x14ac:dyDescent="0.35">
      <c r="A3571" t="str">
        <f>"2024-05-24"</f>
        <v>2024-05-24</v>
      </c>
      <c r="B3571" s="1" t="str">
        <f t="shared" si="55"/>
        <v>05/24/2024</v>
      </c>
      <c r="C3571" t="str">
        <f>"131.7054"</f>
        <v>131.7054</v>
      </c>
      <c r="D3571" s="1" t="s">
        <v>3562</v>
      </c>
      <c r="E3571" t="s">
        <v>7673</v>
      </c>
    </row>
    <row r="3572" spans="1:5" x14ac:dyDescent="0.35">
      <c r="A3572" t="str">
        <f>"2024-05-28"</f>
        <v>2024-05-28</v>
      </c>
      <c r="B3572" s="1" t="str">
        <f t="shared" si="55"/>
        <v>05/28/2024</v>
      </c>
      <c r="C3572" t="str">
        <f>"128.3284"</f>
        <v>128.3284</v>
      </c>
      <c r="D3572" s="1" t="s">
        <v>3563</v>
      </c>
      <c r="E3572" t="s">
        <v>7674</v>
      </c>
    </row>
    <row r="3573" spans="1:5" x14ac:dyDescent="0.35">
      <c r="A3573" t="str">
        <f>"2024-05-29"</f>
        <v>2024-05-29</v>
      </c>
      <c r="B3573" s="1" t="str">
        <f t="shared" si="55"/>
        <v>05/29/2024</v>
      </c>
      <c r="C3573" t="str">
        <f>"126.1398"</f>
        <v>126.1398</v>
      </c>
      <c r="D3573" s="1" t="s">
        <v>3564</v>
      </c>
      <c r="E3573" t="s">
        <v>7675</v>
      </c>
    </row>
    <row r="3574" spans="1:5" x14ac:dyDescent="0.35">
      <c r="A3574" t="str">
        <f>"2024-05-30"</f>
        <v>2024-05-30</v>
      </c>
      <c r="B3574" s="1" t="str">
        <f t="shared" si="55"/>
        <v>05/30/2024</v>
      </c>
      <c r="C3574" t="str">
        <f>"125.9248"</f>
        <v>125.9248</v>
      </c>
      <c r="D3574" s="1" t="s">
        <v>3565</v>
      </c>
      <c r="E3574" t="s">
        <v>7676</v>
      </c>
    </row>
    <row r="3575" spans="1:5" x14ac:dyDescent="0.35">
      <c r="A3575" t="str">
        <f>"2024-05-31"</f>
        <v>2024-05-31</v>
      </c>
      <c r="B3575" s="1" t="str">
        <f t="shared" si="55"/>
        <v>05/31/2024</v>
      </c>
      <c r="C3575" t="str">
        <f>"125.7236"</f>
        <v>125.7236</v>
      </c>
      <c r="D3575" s="1" t="s">
        <v>3566</v>
      </c>
      <c r="E3575" t="s">
        <v>7677</v>
      </c>
    </row>
    <row r="3576" spans="1:5" x14ac:dyDescent="0.35">
      <c r="A3576" t="str">
        <f>"2024-06-03"</f>
        <v>2024-06-03</v>
      </c>
      <c r="B3576" s="1" t="str">
        <f t="shared" si="55"/>
        <v>06/03/2024</v>
      </c>
      <c r="C3576" t="str">
        <f>"128.2881"</f>
        <v>128.2881</v>
      </c>
      <c r="D3576" s="1" t="s">
        <v>3567</v>
      </c>
      <c r="E3576" t="s">
        <v>7678</v>
      </c>
    </row>
    <row r="3577" spans="1:5" x14ac:dyDescent="0.35">
      <c r="A3577" t="str">
        <f>"2024-06-04"</f>
        <v>2024-06-04</v>
      </c>
      <c r="B3577" s="1" t="str">
        <f t="shared" si="55"/>
        <v>06/04/2024</v>
      </c>
      <c r="C3577" t="str">
        <f>"127.1883"</f>
        <v>127.1883</v>
      </c>
      <c r="D3577" s="1" t="s">
        <v>3568</v>
      </c>
      <c r="E3577" t="s">
        <v>7679</v>
      </c>
    </row>
    <row r="3578" spans="1:5" x14ac:dyDescent="0.35">
      <c r="A3578" t="str">
        <f>"2024-06-05"</f>
        <v>2024-06-05</v>
      </c>
      <c r="B3578" s="1" t="str">
        <f t="shared" si="55"/>
        <v>06/05/2024</v>
      </c>
      <c r="C3578" t="str">
        <f>"126.421"</f>
        <v>126.421</v>
      </c>
      <c r="D3578" s="1" t="s">
        <v>3569</v>
      </c>
      <c r="E3578" t="s">
        <v>7680</v>
      </c>
    </row>
    <row r="3579" spans="1:5" x14ac:dyDescent="0.35">
      <c r="A3579" t="str">
        <f>"2024-06-06"</f>
        <v>2024-06-06</v>
      </c>
      <c r="B3579" s="1" t="str">
        <f t="shared" si="55"/>
        <v>06/06/2024</v>
      </c>
      <c r="C3579" t="str">
        <f>"124.2107"</f>
        <v>124.2107</v>
      </c>
      <c r="D3579" s="1" t="s">
        <v>3570</v>
      </c>
      <c r="E3579" t="s">
        <v>7681</v>
      </c>
    </row>
    <row r="3580" spans="1:5" x14ac:dyDescent="0.35">
      <c r="A3580" t="str">
        <f>"2024-06-07"</f>
        <v>2024-06-07</v>
      </c>
      <c r="B3580" s="1" t="str">
        <f t="shared" si="55"/>
        <v>06/07/2024</v>
      </c>
      <c r="C3580" t="str">
        <f>"126.4079"</f>
        <v>126.4079</v>
      </c>
      <c r="D3580" s="1" t="s">
        <v>3571</v>
      </c>
      <c r="E3580" t="s">
        <v>7682</v>
      </c>
    </row>
    <row r="3581" spans="1:5" x14ac:dyDescent="0.35">
      <c r="A3581" t="str">
        <f>"2024-06-10"</f>
        <v>2024-06-10</v>
      </c>
      <c r="B3581" s="1" t="str">
        <f t="shared" si="55"/>
        <v>06/10/2024</v>
      </c>
      <c r="C3581" t="str">
        <f>"124.6701"</f>
        <v>124.6701</v>
      </c>
      <c r="D3581" s="1" t="s">
        <v>3572</v>
      </c>
      <c r="E3581" t="s">
        <v>7683</v>
      </c>
    </row>
    <row r="3582" spans="1:5" x14ac:dyDescent="0.35">
      <c r="A3582" t="str">
        <f>"2024-06-11"</f>
        <v>2024-06-11</v>
      </c>
      <c r="B3582" s="1" t="str">
        <f t="shared" si="55"/>
        <v>06/11/2024</v>
      </c>
      <c r="C3582" t="str">
        <f>"125.9153"</f>
        <v>125.9153</v>
      </c>
      <c r="D3582" s="1" t="s">
        <v>3573</v>
      </c>
      <c r="E3582" t="s">
        <v>7684</v>
      </c>
    </row>
    <row r="3583" spans="1:5" x14ac:dyDescent="0.35">
      <c r="A3583" t="str">
        <f>"2024-06-12"</f>
        <v>2024-06-12</v>
      </c>
      <c r="B3583" s="1" t="str">
        <f t="shared" si="55"/>
        <v>06/12/2024</v>
      </c>
      <c r="C3583" t="str">
        <f>"125.4764"</f>
        <v>125.4764</v>
      </c>
      <c r="D3583" s="1" t="s">
        <v>3574</v>
      </c>
      <c r="E3583" t="s">
        <v>7685</v>
      </c>
    </row>
    <row r="3584" spans="1:5" x14ac:dyDescent="0.35">
      <c r="A3584" t="str">
        <f>"2024-06-13"</f>
        <v>2024-06-13</v>
      </c>
      <c r="B3584" s="1" t="str">
        <f t="shared" si="55"/>
        <v>06/13/2024</v>
      </c>
      <c r="C3584" t="str">
        <f>"129.4542"</f>
        <v>129.4542</v>
      </c>
      <c r="D3584" s="1" t="s">
        <v>3575</v>
      </c>
      <c r="E3584" t="s">
        <v>7686</v>
      </c>
    </row>
    <row r="3585" spans="1:5" x14ac:dyDescent="0.35">
      <c r="A3585" t="str">
        <f>"2024-06-14"</f>
        <v>2024-06-14</v>
      </c>
      <c r="B3585" s="1" t="str">
        <f t="shared" si="55"/>
        <v>06/14/2024</v>
      </c>
      <c r="C3585" t="str">
        <f>"128.0112"</f>
        <v>128.0112</v>
      </c>
      <c r="D3585" s="1" t="s">
        <v>3576</v>
      </c>
      <c r="E3585" t="s">
        <v>7687</v>
      </c>
    </row>
    <row r="3586" spans="1:5" x14ac:dyDescent="0.35">
      <c r="A3586" t="str">
        <f>"2024-06-20"</f>
        <v>2024-06-20</v>
      </c>
      <c r="B3586" s="1" t="str">
        <f t="shared" si="55"/>
        <v>06/20/2024</v>
      </c>
      <c r="C3586" t="str">
        <f>"128.4298"</f>
        <v>128.4298</v>
      </c>
      <c r="D3586" s="1" t="s">
        <v>3577</v>
      </c>
      <c r="E3586" t="s">
        <v>7460</v>
      </c>
    </row>
    <row r="3587" spans="1:5" x14ac:dyDescent="0.35">
      <c r="A3587" t="str">
        <f>"2024-06-21"</f>
        <v>2024-06-21</v>
      </c>
      <c r="B3587" s="1" t="str">
        <f t="shared" ref="B3587:B3650" si="56">LEFT(RIGHT(A3587,5),2)&amp;"/"&amp;RIGHT(A3587,2)&amp;"/"&amp;LEFT(A3587,4)</f>
        <v>06/21/2024</v>
      </c>
      <c r="C3587" t="str">
        <f>"129.2464"</f>
        <v>129.2464</v>
      </c>
      <c r="D3587" s="1" t="s">
        <v>3578</v>
      </c>
      <c r="E3587" t="s">
        <v>7688</v>
      </c>
    </row>
    <row r="3588" spans="1:5" x14ac:dyDescent="0.35">
      <c r="A3588" t="str">
        <f>"2024-06-24"</f>
        <v>2024-06-24</v>
      </c>
      <c r="B3588" s="1" t="str">
        <f t="shared" si="56"/>
        <v>06/24/2024</v>
      </c>
      <c r="C3588" t="str">
        <f>"126.1662"</f>
        <v>126.1662</v>
      </c>
      <c r="D3588" s="1" t="s">
        <v>3579</v>
      </c>
      <c r="E3588" t="s">
        <v>7689</v>
      </c>
    </row>
    <row r="3589" spans="1:5" x14ac:dyDescent="0.35">
      <c r="A3589" t="str">
        <f>"2024-06-25"</f>
        <v>2024-06-25</v>
      </c>
      <c r="B3589" s="1" t="str">
        <f t="shared" si="56"/>
        <v>06/25/2024</v>
      </c>
      <c r="C3589" t="str">
        <f>"124.6959"</f>
        <v>124.6959</v>
      </c>
      <c r="D3589" s="1" t="s">
        <v>3580</v>
      </c>
      <c r="E3589" t="s">
        <v>7690</v>
      </c>
    </row>
    <row r="3590" spans="1:5" x14ac:dyDescent="0.35">
      <c r="A3590" t="str">
        <f>"2024-06-26"</f>
        <v>2024-06-26</v>
      </c>
      <c r="B3590" s="1" t="str">
        <f t="shared" si="56"/>
        <v>06/26/2024</v>
      </c>
      <c r="C3590" t="str">
        <f>"123.599"</f>
        <v>123.599</v>
      </c>
      <c r="D3590" s="1" t="s">
        <v>3581</v>
      </c>
      <c r="E3590" t="s">
        <v>7691</v>
      </c>
    </row>
    <row r="3591" spans="1:5" x14ac:dyDescent="0.35">
      <c r="A3591" t="str">
        <f>"2024-06-27"</f>
        <v>2024-06-27</v>
      </c>
      <c r="B3591" s="1" t="str">
        <f t="shared" si="56"/>
        <v>06/27/2024</v>
      </c>
      <c r="C3591" t="str">
        <f>"124.5842"</f>
        <v>124.5842</v>
      </c>
      <c r="D3591" s="1" t="s">
        <v>3582</v>
      </c>
      <c r="E3591" t="s">
        <v>7692</v>
      </c>
    </row>
    <row r="3592" spans="1:5" x14ac:dyDescent="0.35">
      <c r="A3592" t="str">
        <f>"2024-06-28"</f>
        <v>2024-06-28</v>
      </c>
      <c r="B3592" s="1" t="str">
        <f t="shared" si="56"/>
        <v>06/28/2024</v>
      </c>
      <c r="C3592" t="str">
        <f>"125.4453"</f>
        <v>125.4453</v>
      </c>
      <c r="D3592" s="1" t="s">
        <v>3583</v>
      </c>
      <c r="E3592" t="s">
        <v>7693</v>
      </c>
    </row>
    <row r="3593" spans="1:5" x14ac:dyDescent="0.35">
      <c r="A3593" t="str">
        <f>"2024-07-01"</f>
        <v>2024-07-01</v>
      </c>
      <c r="B3593" s="1" t="str">
        <f t="shared" si="56"/>
        <v>07/01/2024</v>
      </c>
      <c r="C3593" t="str">
        <f>"120.5987"</f>
        <v>120.5987</v>
      </c>
      <c r="D3593" s="1" t="s">
        <v>3584</v>
      </c>
      <c r="E3593" t="s">
        <v>7694</v>
      </c>
    </row>
    <row r="3594" spans="1:5" x14ac:dyDescent="0.35">
      <c r="A3594" t="str">
        <f>"2024-07-02"</f>
        <v>2024-07-02</v>
      </c>
      <c r="B3594" s="1" t="str">
        <f t="shared" si="56"/>
        <v>07/02/2024</v>
      </c>
      <c r="C3594" t="str">
        <f>"122.1104"</f>
        <v>122.1104</v>
      </c>
      <c r="D3594" s="1" t="s">
        <v>3585</v>
      </c>
      <c r="E3594" t="s">
        <v>7695</v>
      </c>
    </row>
    <row r="3595" spans="1:5" x14ac:dyDescent="0.35">
      <c r="A3595" t="str">
        <f>"2024-07-03"</f>
        <v>2024-07-03</v>
      </c>
      <c r="B3595" s="1" t="str">
        <f t="shared" si="56"/>
        <v>07/03/2024</v>
      </c>
      <c r="C3595" t="str">
        <f>"122.8201"</f>
        <v>122.8201</v>
      </c>
      <c r="D3595" s="1" t="s">
        <v>3586</v>
      </c>
      <c r="E3595" t="s">
        <v>7696</v>
      </c>
    </row>
    <row r="3596" spans="1:5" x14ac:dyDescent="0.35">
      <c r="A3596" t="str">
        <f>"2024-07-05"</f>
        <v>2024-07-05</v>
      </c>
      <c r="B3596" s="1" t="str">
        <f t="shared" si="56"/>
        <v>07/05/2024</v>
      </c>
      <c r="C3596" t="str">
        <f>"122.8885"</f>
        <v>122.8885</v>
      </c>
      <c r="D3596" s="1" t="s">
        <v>3587</v>
      </c>
      <c r="E3596" t="s">
        <v>7697</v>
      </c>
    </row>
    <row r="3597" spans="1:5" x14ac:dyDescent="0.35">
      <c r="A3597" t="str">
        <f>"2024-07-08"</f>
        <v>2024-07-08</v>
      </c>
      <c r="B3597" s="1" t="str">
        <f t="shared" si="56"/>
        <v>07/08/2024</v>
      </c>
      <c r="C3597" t="str">
        <f>"123.6781"</f>
        <v>123.6781</v>
      </c>
      <c r="D3597" s="1" t="s">
        <v>3588</v>
      </c>
      <c r="E3597" t="s">
        <v>7698</v>
      </c>
    </row>
    <row r="3598" spans="1:5" x14ac:dyDescent="0.35">
      <c r="A3598" t="str">
        <f>"2024-07-09"</f>
        <v>2024-07-09</v>
      </c>
      <c r="B3598" s="1" t="str">
        <f t="shared" si="56"/>
        <v>07/09/2024</v>
      </c>
      <c r="C3598" t="str">
        <f>"125.1735"</f>
        <v>125.1735</v>
      </c>
      <c r="D3598" s="1" t="s">
        <v>3589</v>
      </c>
      <c r="E3598" t="s">
        <v>7699</v>
      </c>
    </row>
    <row r="3599" spans="1:5" x14ac:dyDescent="0.35">
      <c r="A3599" t="str">
        <f>"2024-07-10"</f>
        <v>2024-07-10</v>
      </c>
      <c r="B3599" s="1" t="str">
        <f t="shared" si="56"/>
        <v>07/10/2024</v>
      </c>
      <c r="C3599" t="str">
        <f>"121.4383"</f>
        <v>121.4383</v>
      </c>
      <c r="D3599" s="1" t="s">
        <v>3590</v>
      </c>
      <c r="E3599" t="s">
        <v>7700</v>
      </c>
    </row>
    <row r="3600" spans="1:5" x14ac:dyDescent="0.35">
      <c r="A3600" t="str">
        <f>"2024-07-11"</f>
        <v>2024-07-11</v>
      </c>
      <c r="B3600" s="1" t="str">
        <f t="shared" si="56"/>
        <v>07/11/2024</v>
      </c>
      <c r="C3600" t="str">
        <f>"121.4296"</f>
        <v>121.4296</v>
      </c>
      <c r="D3600" s="1" t="s">
        <v>3591</v>
      </c>
      <c r="E3600" t="s">
        <v>7701</v>
      </c>
    </row>
    <row r="3601" spans="1:5" x14ac:dyDescent="0.35">
      <c r="A3601" t="str">
        <f>"2024-07-12"</f>
        <v>2024-07-12</v>
      </c>
      <c r="B3601" s="1" t="str">
        <f t="shared" si="56"/>
        <v>07/12/2024</v>
      </c>
      <c r="C3601" t="str">
        <f>"120.1493"</f>
        <v>120.1493</v>
      </c>
      <c r="D3601" s="1" t="s">
        <v>3592</v>
      </c>
      <c r="E3601" t="s">
        <v>7702</v>
      </c>
    </row>
    <row r="3602" spans="1:5" x14ac:dyDescent="0.35">
      <c r="A3602" t="str">
        <f>"2024-07-16"</f>
        <v>2024-07-16</v>
      </c>
      <c r="B3602" s="1" t="str">
        <f t="shared" si="56"/>
        <v>07/16/2024</v>
      </c>
      <c r="C3602" t="str">
        <f>"117.6391"</f>
        <v>117.6391</v>
      </c>
      <c r="D3602" s="1" t="s">
        <v>3593</v>
      </c>
      <c r="E3602" t="s">
        <v>7703</v>
      </c>
    </row>
    <row r="3603" spans="1:5" x14ac:dyDescent="0.35">
      <c r="A3603" t="str">
        <f>"2024-07-17"</f>
        <v>2024-07-17</v>
      </c>
      <c r="B3603" s="1" t="str">
        <f t="shared" si="56"/>
        <v>07/17/2024</v>
      </c>
      <c r="C3603" t="str">
        <f>"118.5922"</f>
        <v>118.5922</v>
      </c>
      <c r="D3603" s="1" t="s">
        <v>3594</v>
      </c>
      <c r="E3603" t="s">
        <v>7704</v>
      </c>
    </row>
    <row r="3604" spans="1:5" x14ac:dyDescent="0.35">
      <c r="A3604" t="str">
        <f>"2024-07-18"</f>
        <v>2024-07-18</v>
      </c>
      <c r="B3604" s="1" t="str">
        <f t="shared" si="56"/>
        <v>07/18/2024</v>
      </c>
      <c r="C3604" t="str">
        <f>"121.3775"</f>
        <v>121.3775</v>
      </c>
      <c r="D3604" s="1" t="s">
        <v>3595</v>
      </c>
      <c r="E3604" t="s">
        <v>7705</v>
      </c>
    </row>
    <row r="3605" spans="1:5" x14ac:dyDescent="0.35">
      <c r="A3605" t="str">
        <f>"2024-07-19"</f>
        <v>2024-07-19</v>
      </c>
      <c r="B3605" s="1" t="str">
        <f t="shared" si="56"/>
        <v>07/19/2024</v>
      </c>
      <c r="C3605" t="str">
        <f>"123.8056"</f>
        <v>123.8056</v>
      </c>
      <c r="D3605" s="1" t="s">
        <v>3596</v>
      </c>
      <c r="E3605" t="s">
        <v>7706</v>
      </c>
    </row>
    <row r="3606" spans="1:5" x14ac:dyDescent="0.35">
      <c r="A3606" t="str">
        <f>"2024-07-22"</f>
        <v>2024-07-22</v>
      </c>
      <c r="B3606" s="1" t="str">
        <f t="shared" si="56"/>
        <v>07/22/2024</v>
      </c>
      <c r="C3606" t="str">
        <f>"122.0601"</f>
        <v>122.0601</v>
      </c>
      <c r="D3606" s="1" t="s">
        <v>3597</v>
      </c>
      <c r="E3606" t="s">
        <v>7707</v>
      </c>
    </row>
    <row r="3607" spans="1:5" x14ac:dyDescent="0.35">
      <c r="A3607" t="str">
        <f>"2024-07-23"</f>
        <v>2024-07-23</v>
      </c>
      <c r="B3607" s="1" t="str">
        <f t="shared" si="56"/>
        <v>07/23/2024</v>
      </c>
      <c r="C3607" t="str">
        <f>"120.2116"</f>
        <v>120.2116</v>
      </c>
      <c r="D3607" s="1" t="s">
        <v>3598</v>
      </c>
      <c r="E3607" t="s">
        <v>7708</v>
      </c>
    </row>
    <row r="3608" spans="1:5" x14ac:dyDescent="0.35">
      <c r="A3608" t="str">
        <f>"2024-07-24"</f>
        <v>2024-07-24</v>
      </c>
      <c r="B3608" s="1" t="str">
        <f t="shared" si="56"/>
        <v>07/24/2024</v>
      </c>
      <c r="C3608" t="str">
        <f>"119.6969"</f>
        <v>119.6969</v>
      </c>
      <c r="D3608" s="1" t="s">
        <v>3599</v>
      </c>
      <c r="E3608" t="s">
        <v>7709</v>
      </c>
    </row>
    <row r="3609" spans="1:5" x14ac:dyDescent="0.35">
      <c r="A3609" t="str">
        <f>"2024-07-25"</f>
        <v>2024-07-25</v>
      </c>
      <c r="B3609" s="1" t="str">
        <f t="shared" si="56"/>
        <v>07/25/2024</v>
      </c>
      <c r="C3609" t="str">
        <f>"120.8523"</f>
        <v>120.8523</v>
      </c>
      <c r="D3609" s="1" t="s">
        <v>3600</v>
      </c>
      <c r="E3609" t="s">
        <v>7710</v>
      </c>
    </row>
    <row r="3610" spans="1:5" x14ac:dyDescent="0.35">
      <c r="A3610" t="str">
        <f>"2024-07-26"</f>
        <v>2024-07-26</v>
      </c>
      <c r="B3610" s="1" t="str">
        <f t="shared" si="56"/>
        <v>07/26/2024</v>
      </c>
      <c r="C3610" t="str">
        <f>"118.9803"</f>
        <v>118.9803</v>
      </c>
      <c r="D3610" s="1" t="s">
        <v>3601</v>
      </c>
      <c r="E3610" t="s">
        <v>7711</v>
      </c>
    </row>
    <row r="3611" spans="1:5" x14ac:dyDescent="0.35">
      <c r="A3611" t="str">
        <f>"2024-07-29"</f>
        <v>2024-07-29</v>
      </c>
      <c r="B3611" s="1" t="str">
        <f t="shared" si="56"/>
        <v>07/29/2024</v>
      </c>
      <c r="C3611" t="str">
        <f>"116.4777"</f>
        <v>116.4777</v>
      </c>
      <c r="D3611" s="1" t="s">
        <v>3602</v>
      </c>
      <c r="E3611" t="s">
        <v>7712</v>
      </c>
    </row>
    <row r="3612" spans="1:5" x14ac:dyDescent="0.35">
      <c r="A3612" t="str">
        <f>"2024-07-30"</f>
        <v>2024-07-30</v>
      </c>
      <c r="B3612" s="1" t="str">
        <f t="shared" si="56"/>
        <v>07/30/2024</v>
      </c>
      <c r="C3612" t="str">
        <f>"114.8308"</f>
        <v>114.8308</v>
      </c>
      <c r="D3612" s="1" t="s">
        <v>3603</v>
      </c>
      <c r="E3612" t="s">
        <v>7713</v>
      </c>
    </row>
    <row r="3613" spans="1:5" x14ac:dyDescent="0.35">
      <c r="A3613" t="str">
        <f>"2024-07-31"</f>
        <v>2024-07-31</v>
      </c>
      <c r="B3613" s="1" t="str">
        <f t="shared" si="56"/>
        <v>07/31/2024</v>
      </c>
      <c r="C3613" t="str">
        <f>"112.0196"</f>
        <v>112.0196</v>
      </c>
      <c r="D3613" s="1" t="s">
        <v>3604</v>
      </c>
      <c r="E3613" t="s">
        <v>7714</v>
      </c>
    </row>
    <row r="3614" spans="1:5" x14ac:dyDescent="0.35">
      <c r="A3614" t="str">
        <f>"2024-08-01"</f>
        <v>2024-08-01</v>
      </c>
      <c r="B3614" s="1" t="str">
        <f t="shared" si="56"/>
        <v>08/01/2024</v>
      </c>
      <c r="C3614" t="str">
        <f>"114.5442"</f>
        <v>114.5442</v>
      </c>
      <c r="D3614" s="1" t="s">
        <v>3605</v>
      </c>
      <c r="E3614" t="s">
        <v>7715</v>
      </c>
    </row>
    <row r="3615" spans="1:5" x14ac:dyDescent="0.35">
      <c r="A3615" t="str">
        <f>"2024-08-02"</f>
        <v>2024-08-02</v>
      </c>
      <c r="B3615" s="1" t="str">
        <f t="shared" si="56"/>
        <v>08/02/2024</v>
      </c>
      <c r="C3615" t="str">
        <f>"112.7211"</f>
        <v>112.7211</v>
      </c>
      <c r="D3615" s="1" t="s">
        <v>3606</v>
      </c>
      <c r="E3615" t="s">
        <v>7716</v>
      </c>
    </row>
    <row r="3616" spans="1:5" x14ac:dyDescent="0.35">
      <c r="A3616" t="str">
        <f>"2024-08-05"</f>
        <v>2024-08-05</v>
      </c>
      <c r="B3616" s="1" t="str">
        <f t="shared" si="56"/>
        <v>08/05/2024</v>
      </c>
      <c r="C3616" t="str">
        <f>"107.9053"</f>
        <v>107.9053</v>
      </c>
      <c r="D3616" s="1" t="s">
        <v>3607</v>
      </c>
      <c r="E3616" t="s">
        <v>7717</v>
      </c>
    </row>
    <row r="3617" spans="1:5" x14ac:dyDescent="0.35">
      <c r="A3617" t="str">
        <f>"2024-08-06"</f>
        <v>2024-08-06</v>
      </c>
      <c r="B3617" s="1" t="str">
        <f t="shared" si="56"/>
        <v>08/06/2024</v>
      </c>
      <c r="C3617" t="str">
        <f>"108.9647"</f>
        <v>108.9647</v>
      </c>
      <c r="D3617" s="1" t="s">
        <v>3608</v>
      </c>
      <c r="E3617" t="s">
        <v>7718</v>
      </c>
    </row>
    <row r="3618" spans="1:5" x14ac:dyDescent="0.35">
      <c r="A3618" t="str">
        <f>"2024-08-07"</f>
        <v>2024-08-07</v>
      </c>
      <c r="B3618" s="1" t="str">
        <f t="shared" si="56"/>
        <v>08/07/2024</v>
      </c>
      <c r="C3618" t="str">
        <f>"115.3319"</f>
        <v>115.3319</v>
      </c>
      <c r="D3618" s="1" t="s">
        <v>3609</v>
      </c>
      <c r="E3618" t="s">
        <v>7719</v>
      </c>
    </row>
    <row r="3619" spans="1:5" x14ac:dyDescent="0.35">
      <c r="A3619" t="str">
        <f>"2024-08-08"</f>
        <v>2024-08-08</v>
      </c>
      <c r="B3619" s="1" t="str">
        <f t="shared" si="56"/>
        <v>08/08/2024</v>
      </c>
      <c r="C3619" t="str">
        <f>"115.7182"</f>
        <v>115.7182</v>
      </c>
      <c r="D3619" s="1" t="s">
        <v>3610</v>
      </c>
      <c r="E3619" t="s">
        <v>7720</v>
      </c>
    </row>
    <row r="3620" spans="1:5" x14ac:dyDescent="0.35">
      <c r="A3620" t="str">
        <f>"2024-08-09"</f>
        <v>2024-08-09</v>
      </c>
      <c r="B3620" s="1" t="str">
        <f t="shared" si="56"/>
        <v>08/09/2024</v>
      </c>
      <c r="C3620" t="str">
        <f>"115.082"</f>
        <v>115.082</v>
      </c>
      <c r="D3620" s="1" t="s">
        <v>3611</v>
      </c>
      <c r="E3620" t="s">
        <v>7721</v>
      </c>
    </row>
    <row r="3621" spans="1:5" x14ac:dyDescent="0.35">
      <c r="A3621" t="str">
        <f>"2024-08-12"</f>
        <v>2024-08-12</v>
      </c>
      <c r="B3621" s="1" t="str">
        <f t="shared" si="56"/>
        <v>08/12/2024</v>
      </c>
      <c r="C3621" t="str">
        <f>"113.1331"</f>
        <v>113.1331</v>
      </c>
      <c r="D3621" s="1" t="s">
        <v>3612</v>
      </c>
      <c r="E3621" t="s">
        <v>7722</v>
      </c>
    </row>
    <row r="3622" spans="1:5" x14ac:dyDescent="0.35">
      <c r="A3622" t="str">
        <f>"2024-08-13"</f>
        <v>2024-08-13</v>
      </c>
      <c r="B3622" s="1" t="str">
        <f t="shared" si="56"/>
        <v>08/13/2024</v>
      </c>
      <c r="C3622" t="str">
        <f>"112.2274"</f>
        <v>112.2274</v>
      </c>
      <c r="D3622" s="1" t="s">
        <v>3613</v>
      </c>
      <c r="E3622" t="s">
        <v>7723</v>
      </c>
    </row>
    <row r="3623" spans="1:5" x14ac:dyDescent="0.35">
      <c r="A3623" t="str">
        <f>"2024-08-14"</f>
        <v>2024-08-14</v>
      </c>
      <c r="B3623" s="1" t="str">
        <f t="shared" si="56"/>
        <v>08/14/2024</v>
      </c>
      <c r="C3623" t="str">
        <f>"111.0118"</f>
        <v>111.0118</v>
      </c>
      <c r="D3623" s="1" t="s">
        <v>3614</v>
      </c>
      <c r="E3623" t="s">
        <v>7724</v>
      </c>
    </row>
    <row r="3624" spans="1:5" x14ac:dyDescent="0.35">
      <c r="A3624" t="str">
        <f>"2024-08-15"</f>
        <v>2024-08-15</v>
      </c>
      <c r="B3624" s="1" t="str">
        <f t="shared" si="56"/>
        <v>08/15/2024</v>
      </c>
      <c r="C3624" t="str">
        <f>"108.8935"</f>
        <v>108.8935</v>
      </c>
      <c r="D3624" s="1" t="s">
        <v>3615</v>
      </c>
      <c r="E3624" t="s">
        <v>7725</v>
      </c>
    </row>
    <row r="3625" spans="1:5" x14ac:dyDescent="0.35">
      <c r="A3625" t="str">
        <f>"2024-08-16"</f>
        <v>2024-08-16</v>
      </c>
      <c r="B3625" s="1" t="str">
        <f t="shared" si="56"/>
        <v>08/16/2024</v>
      </c>
      <c r="C3625" t="str">
        <f>"108.6146"</f>
        <v>108.6146</v>
      </c>
      <c r="D3625" s="1" t="s">
        <v>3616</v>
      </c>
      <c r="E3625" t="s">
        <v>7726</v>
      </c>
    </row>
    <row r="3626" spans="1:5" x14ac:dyDescent="0.35">
      <c r="A3626" t="str">
        <f>"2024-08-19"</f>
        <v>2024-08-19</v>
      </c>
      <c r="B3626" s="1" t="str">
        <f t="shared" si="56"/>
        <v>08/19/2024</v>
      </c>
      <c r="C3626" t="str">
        <f>"109.6066"</f>
        <v>109.6066</v>
      </c>
      <c r="D3626" s="1" t="s">
        <v>3617</v>
      </c>
      <c r="E3626" t="s">
        <v>7727</v>
      </c>
    </row>
    <row r="3627" spans="1:5" x14ac:dyDescent="0.35">
      <c r="A3627" t="str">
        <f>"2024-08-20"</f>
        <v>2024-08-20</v>
      </c>
      <c r="B3627" s="1" t="str">
        <f t="shared" si="56"/>
        <v>08/20/2024</v>
      </c>
      <c r="C3627" t="str">
        <f>"109.9722"</f>
        <v>109.9722</v>
      </c>
      <c r="D3627" s="1" t="s">
        <v>3618</v>
      </c>
      <c r="E3627" t="s">
        <v>7728</v>
      </c>
    </row>
    <row r="3628" spans="1:5" x14ac:dyDescent="0.35">
      <c r="A3628" t="str">
        <f>"2024-08-21"</f>
        <v>2024-08-21</v>
      </c>
      <c r="B3628" s="1" t="str">
        <f t="shared" si="56"/>
        <v>08/21/2024</v>
      </c>
      <c r="C3628" t="str">
        <f>"108.9138"</f>
        <v>108.9138</v>
      </c>
      <c r="D3628" s="1" t="s">
        <v>3619</v>
      </c>
      <c r="E3628" t="s">
        <v>7729</v>
      </c>
    </row>
    <row r="3629" spans="1:5" x14ac:dyDescent="0.35">
      <c r="A3629" t="str">
        <f>"2024-08-22"</f>
        <v>2024-08-22</v>
      </c>
      <c r="B3629" s="1" t="str">
        <f t="shared" si="56"/>
        <v>08/22/2024</v>
      </c>
      <c r="C3629" t="str">
        <f>"108.922"</f>
        <v>108.922</v>
      </c>
      <c r="D3629" s="1" t="s">
        <v>3620</v>
      </c>
      <c r="E3629" t="s">
        <v>7730</v>
      </c>
    </row>
    <row r="3630" spans="1:5" x14ac:dyDescent="0.35">
      <c r="A3630" t="str">
        <f>"2024-08-23"</f>
        <v>2024-08-23</v>
      </c>
      <c r="B3630" s="1" t="str">
        <f t="shared" si="56"/>
        <v>08/23/2024</v>
      </c>
      <c r="C3630" t="str">
        <f>"107.7206"</f>
        <v>107.7206</v>
      </c>
      <c r="D3630" s="1" t="s">
        <v>3621</v>
      </c>
      <c r="E3630" t="s">
        <v>7731</v>
      </c>
    </row>
    <row r="3631" spans="1:5" x14ac:dyDescent="0.35">
      <c r="A3631" t="str">
        <f>"2024-08-26"</f>
        <v>2024-08-26</v>
      </c>
      <c r="B3631" s="1" t="str">
        <f t="shared" si="56"/>
        <v>08/26/2024</v>
      </c>
      <c r="C3631" t="str">
        <f>"104.8485"</f>
        <v>104.8485</v>
      </c>
      <c r="D3631" s="1" t="s">
        <v>3622</v>
      </c>
      <c r="E3631" t="s">
        <v>7732</v>
      </c>
    </row>
    <row r="3632" spans="1:5" x14ac:dyDescent="0.35">
      <c r="A3632" t="str">
        <f>"2024-08-27"</f>
        <v>2024-08-27</v>
      </c>
      <c r="B3632" s="1" t="str">
        <f t="shared" si="56"/>
        <v>08/27/2024</v>
      </c>
      <c r="C3632" t="str">
        <f>"108.1804"</f>
        <v>108.1804</v>
      </c>
      <c r="D3632" s="1" t="s">
        <v>3623</v>
      </c>
      <c r="E3632" t="s">
        <v>7733</v>
      </c>
    </row>
    <row r="3633" spans="1:5" x14ac:dyDescent="0.35">
      <c r="A3633" t="str">
        <f>"2024-08-28"</f>
        <v>2024-08-28</v>
      </c>
      <c r="B3633" s="1" t="str">
        <f t="shared" si="56"/>
        <v>08/28/2024</v>
      </c>
      <c r="C3633" t="str">
        <f>"110.5002"</f>
        <v>110.5002</v>
      </c>
      <c r="D3633" s="1" t="s">
        <v>3624</v>
      </c>
      <c r="E3633" t="s">
        <v>7734</v>
      </c>
    </row>
    <row r="3634" spans="1:5" x14ac:dyDescent="0.35">
      <c r="A3634" t="str">
        <f>"2024-08-29"</f>
        <v>2024-08-29</v>
      </c>
      <c r="B3634" s="1" t="str">
        <f t="shared" si="56"/>
        <v>08/29/2024</v>
      </c>
      <c r="C3634" t="str">
        <f>"108.3967"</f>
        <v>108.3967</v>
      </c>
      <c r="D3634" s="1" t="s">
        <v>3625</v>
      </c>
      <c r="E3634" t="s">
        <v>7735</v>
      </c>
    </row>
    <row r="3635" spans="1:5" x14ac:dyDescent="0.35">
      <c r="A3635" t="str">
        <f>"2024-09-03"</f>
        <v>2024-09-03</v>
      </c>
      <c r="B3635" s="1" t="str">
        <f t="shared" si="56"/>
        <v>09/03/2024</v>
      </c>
      <c r="C3635" t="str">
        <f>"111.5168"</f>
        <v>111.5168</v>
      </c>
      <c r="D3635" s="1" t="s">
        <v>3626</v>
      </c>
      <c r="E3635" t="s">
        <v>7736</v>
      </c>
    </row>
    <row r="3636" spans="1:5" x14ac:dyDescent="0.35">
      <c r="A3636" t="str">
        <f>"2024-09-04"</f>
        <v>2024-09-04</v>
      </c>
      <c r="B3636" s="1" t="str">
        <f t="shared" si="56"/>
        <v>09/04/2024</v>
      </c>
      <c r="C3636" t="str">
        <f>"110.4423"</f>
        <v>110.4423</v>
      </c>
      <c r="D3636" s="1" t="s">
        <v>3627</v>
      </c>
      <c r="E3636" t="s">
        <v>7737</v>
      </c>
    </row>
    <row r="3637" spans="1:5" x14ac:dyDescent="0.35">
      <c r="A3637" t="str">
        <f>"2024-09-05"</f>
        <v>2024-09-05</v>
      </c>
      <c r="B3637" s="1" t="str">
        <f t="shared" si="56"/>
        <v>09/05/2024</v>
      </c>
      <c r="C3637" t="str">
        <f>"107.9783"</f>
        <v>107.9783</v>
      </c>
      <c r="D3637" s="1" t="s">
        <v>3628</v>
      </c>
      <c r="E3637" t="s">
        <v>7738</v>
      </c>
    </row>
    <row r="3638" spans="1:5" x14ac:dyDescent="0.35">
      <c r="A3638" t="str">
        <f>"2024-09-06"</f>
        <v>2024-09-06</v>
      </c>
      <c r="B3638" s="1" t="str">
        <f t="shared" si="56"/>
        <v>09/06/2024</v>
      </c>
      <c r="C3638" t="str">
        <f>"108.0013"</f>
        <v>108.0013</v>
      </c>
      <c r="D3638" s="1" t="s">
        <v>3629</v>
      </c>
      <c r="E3638" t="s">
        <v>7739</v>
      </c>
    </row>
    <row r="3639" spans="1:5" x14ac:dyDescent="0.35">
      <c r="A3639" t="str">
        <f>"2024-09-09"</f>
        <v>2024-09-09</v>
      </c>
      <c r="B3639" s="1" t="str">
        <f t="shared" si="56"/>
        <v>09/09/2024</v>
      </c>
      <c r="C3639" t="str">
        <f>"105.6866"</f>
        <v>105.6866</v>
      </c>
      <c r="D3639" s="1" t="s">
        <v>3630</v>
      </c>
      <c r="E3639" t="s">
        <v>7740</v>
      </c>
    </row>
    <row r="3640" spans="1:5" x14ac:dyDescent="0.35">
      <c r="A3640" t="str">
        <f>"2024-09-10"</f>
        <v>2024-09-10</v>
      </c>
      <c r="B3640" s="1" t="str">
        <f t="shared" si="56"/>
        <v>09/10/2024</v>
      </c>
      <c r="C3640" t="str">
        <f>"103.1232"</f>
        <v>103.1232</v>
      </c>
      <c r="D3640" s="1" t="s">
        <v>3631</v>
      </c>
      <c r="E3640" t="s">
        <v>7741</v>
      </c>
    </row>
    <row r="3641" spans="1:5" x14ac:dyDescent="0.35">
      <c r="A3641" t="str">
        <f>"2024-09-11"</f>
        <v>2024-09-11</v>
      </c>
      <c r="B3641" s="1" t="str">
        <f t="shared" si="56"/>
        <v>09/11/2024</v>
      </c>
      <c r="C3641" t="str">
        <f>"101.8321"</f>
        <v>101.8321</v>
      </c>
      <c r="D3641" s="1" t="s">
        <v>3632</v>
      </c>
      <c r="E3641" t="s">
        <v>7742</v>
      </c>
    </row>
    <row r="3642" spans="1:5" x14ac:dyDescent="0.35">
      <c r="A3642" t="str">
        <f>"2024-09-12"</f>
        <v>2024-09-12</v>
      </c>
      <c r="B3642" s="1" t="str">
        <f t="shared" si="56"/>
        <v>09/12/2024</v>
      </c>
      <c r="C3642" t="str">
        <f>"102.6459"</f>
        <v>102.6459</v>
      </c>
      <c r="D3642" s="1" t="s">
        <v>3633</v>
      </c>
      <c r="E3642" t="s">
        <v>7743</v>
      </c>
    </row>
    <row r="3643" spans="1:5" x14ac:dyDescent="0.35">
      <c r="A3643" t="str">
        <f>"2024-09-13"</f>
        <v>2024-09-13</v>
      </c>
      <c r="B3643" s="1" t="str">
        <f t="shared" si="56"/>
        <v>09/13/2024</v>
      </c>
      <c r="C3643" t="str">
        <f>"103.6504"</f>
        <v>103.6504</v>
      </c>
      <c r="D3643" s="1" t="s">
        <v>3634</v>
      </c>
      <c r="E3643" t="s">
        <v>7744</v>
      </c>
    </row>
    <row r="3644" spans="1:5" x14ac:dyDescent="0.35">
      <c r="A3644" t="str">
        <f>"2024-09-16"</f>
        <v>2024-09-16</v>
      </c>
      <c r="B3644" s="1" t="str">
        <f t="shared" si="56"/>
        <v>09/16/2024</v>
      </c>
      <c r="C3644" t="str">
        <f>"101.616"</f>
        <v>101.616</v>
      </c>
      <c r="D3644" s="1" t="s">
        <v>3635</v>
      </c>
      <c r="E3644" t="s">
        <v>7745</v>
      </c>
    </row>
    <row r="3645" spans="1:5" x14ac:dyDescent="0.35">
      <c r="A3645" t="str">
        <f>"2024-09-17"</f>
        <v>2024-09-17</v>
      </c>
      <c r="B3645" s="1" t="str">
        <f t="shared" si="56"/>
        <v>09/17/2024</v>
      </c>
      <c r="C3645" t="str">
        <f>"103.6979"</f>
        <v>103.6979</v>
      </c>
      <c r="D3645" s="1" t="s">
        <v>3636</v>
      </c>
      <c r="E3645" t="s">
        <v>7746</v>
      </c>
    </row>
    <row r="3646" spans="1:5" x14ac:dyDescent="0.35">
      <c r="A3646" t="str">
        <f>"2024-09-18"</f>
        <v>2024-09-18</v>
      </c>
      <c r="B3646" s="1" t="str">
        <f t="shared" si="56"/>
        <v>09/18/2024</v>
      </c>
      <c r="C3646" t="str">
        <f>"103.5227"</f>
        <v>103.5227</v>
      </c>
      <c r="D3646" s="1" t="s">
        <v>3637</v>
      </c>
      <c r="E3646" t="s">
        <v>7747</v>
      </c>
    </row>
    <row r="3647" spans="1:5" x14ac:dyDescent="0.35">
      <c r="A3647" t="str">
        <f>"2024-09-19"</f>
        <v>2024-09-19</v>
      </c>
      <c r="B3647" s="1" t="str">
        <f t="shared" si="56"/>
        <v>09/19/2024</v>
      </c>
      <c r="C3647" t="str">
        <f>"106.1767"</f>
        <v>106.1767</v>
      </c>
      <c r="D3647" s="1" t="s">
        <v>3638</v>
      </c>
      <c r="E3647" t="s">
        <v>7748</v>
      </c>
    </row>
    <row r="3648" spans="1:5" x14ac:dyDescent="0.35">
      <c r="A3648" t="str">
        <f>"2024-09-20"</f>
        <v>2024-09-20</v>
      </c>
      <c r="B3648" s="1" t="str">
        <f t="shared" si="56"/>
        <v>09/20/2024</v>
      </c>
      <c r="C3648" t="str">
        <f>"104.333"</f>
        <v>104.333</v>
      </c>
      <c r="D3648" s="1" t="s">
        <v>3639</v>
      </c>
      <c r="E3648" t="s">
        <v>7749</v>
      </c>
    </row>
    <row r="3649" spans="1:5" x14ac:dyDescent="0.35">
      <c r="A3649" t="str">
        <f>"2024-09-23"</f>
        <v>2024-09-23</v>
      </c>
      <c r="B3649" s="1" t="str">
        <f t="shared" si="56"/>
        <v>09/23/2024</v>
      </c>
      <c r="C3649" t="str">
        <f>"102.9279"</f>
        <v>102.9279</v>
      </c>
      <c r="D3649" s="1" t="s">
        <v>3640</v>
      </c>
      <c r="E3649" t="s">
        <v>7750</v>
      </c>
    </row>
    <row r="3650" spans="1:5" x14ac:dyDescent="0.35">
      <c r="A3650" t="str">
        <f>"2024-09-24"</f>
        <v>2024-09-24</v>
      </c>
      <c r="B3650" s="1" t="str">
        <f t="shared" si="56"/>
        <v>09/24/2024</v>
      </c>
      <c r="C3650" t="str">
        <f>"101.7743"</f>
        <v>101.7743</v>
      </c>
      <c r="D3650" s="1" t="s">
        <v>3641</v>
      </c>
      <c r="E3650" t="s">
        <v>7751</v>
      </c>
    </row>
    <row r="3651" spans="1:5" x14ac:dyDescent="0.35">
      <c r="A3651" t="str">
        <f>"2024-09-25"</f>
        <v>2024-09-25</v>
      </c>
      <c r="B3651" s="1" t="str">
        <f t="shared" ref="B3651:B3714" si="57">LEFT(RIGHT(A3651,5),2)&amp;"/"&amp;RIGHT(A3651,2)&amp;"/"&amp;LEFT(A3651,4)</f>
        <v>09/25/2024</v>
      </c>
      <c r="C3651" t="str">
        <f>"99.865"</f>
        <v>99.865</v>
      </c>
      <c r="D3651" s="1" t="s">
        <v>3642</v>
      </c>
      <c r="E3651" t="s">
        <v>7752</v>
      </c>
    </row>
    <row r="3652" spans="1:5" x14ac:dyDescent="0.35">
      <c r="A3652" t="str">
        <f>"2024-09-26"</f>
        <v>2024-09-26</v>
      </c>
      <c r="B3652" s="1" t="str">
        <f t="shared" si="57"/>
        <v>09/26/2024</v>
      </c>
      <c r="C3652" t="str">
        <f>"99.3238"</f>
        <v>99.3238</v>
      </c>
      <c r="D3652" s="1" t="s">
        <v>3643</v>
      </c>
      <c r="E3652" t="s">
        <v>7753</v>
      </c>
    </row>
    <row r="3653" spans="1:5" x14ac:dyDescent="0.35">
      <c r="A3653" t="str">
        <f>"2024-09-27"</f>
        <v>2024-09-27</v>
      </c>
      <c r="B3653" s="1" t="str">
        <f t="shared" si="57"/>
        <v>09/27/2024</v>
      </c>
      <c r="C3653" t="str">
        <f>"100.5864"</f>
        <v>100.5864</v>
      </c>
      <c r="D3653" s="1" t="s">
        <v>3644</v>
      </c>
      <c r="E3653" t="s">
        <v>7754</v>
      </c>
    </row>
    <row r="3654" spans="1:5" x14ac:dyDescent="0.35">
      <c r="A3654" t="str">
        <f>"2024-09-30"</f>
        <v>2024-09-30</v>
      </c>
      <c r="B3654" s="1" t="str">
        <f t="shared" si="57"/>
        <v>09/30/2024</v>
      </c>
      <c r="C3654" t="str">
        <f>"98.4722"</f>
        <v>98.4722</v>
      </c>
      <c r="D3654" s="1" t="s">
        <v>3645</v>
      </c>
      <c r="E3654" t="s">
        <v>7755</v>
      </c>
    </row>
    <row r="3655" spans="1:5" x14ac:dyDescent="0.35">
      <c r="A3655" t="str">
        <f>"2024-10-01"</f>
        <v>2024-10-01</v>
      </c>
      <c r="B3655" s="1" t="str">
        <f t="shared" si="57"/>
        <v>10/01/2024</v>
      </c>
      <c r="C3655" t="str">
        <f>"94.6923"</f>
        <v>94.6923</v>
      </c>
      <c r="D3655" s="1" t="s">
        <v>3646</v>
      </c>
      <c r="E3655" t="s">
        <v>7756</v>
      </c>
    </row>
    <row r="3656" spans="1:5" x14ac:dyDescent="0.35">
      <c r="A3656" t="str">
        <f>"2024-10-02"</f>
        <v>2024-10-02</v>
      </c>
      <c r="B3656" s="1" t="str">
        <f t="shared" si="57"/>
        <v>10/02/2024</v>
      </c>
      <c r="C3656" t="str">
        <f>"93.3164"</f>
        <v>93.3164</v>
      </c>
      <c r="D3656" s="1" t="s">
        <v>3647</v>
      </c>
      <c r="E3656" t="s">
        <v>7757</v>
      </c>
    </row>
    <row r="3657" spans="1:5" x14ac:dyDescent="0.35">
      <c r="A3657" t="str">
        <f>"2024-10-03"</f>
        <v>2024-10-03</v>
      </c>
      <c r="B3657" s="1" t="str">
        <f t="shared" si="57"/>
        <v>10/03/2024</v>
      </c>
      <c r="C3657" t="str">
        <f>"91.9042"</f>
        <v>91.9042</v>
      </c>
      <c r="D3657" s="1" t="s">
        <v>3648</v>
      </c>
      <c r="E3657" t="s">
        <v>7758</v>
      </c>
    </row>
    <row r="3658" spans="1:5" x14ac:dyDescent="0.35">
      <c r="A3658" t="str">
        <f>"2024-10-04"</f>
        <v>2024-10-04</v>
      </c>
      <c r="B3658" s="1" t="str">
        <f t="shared" si="57"/>
        <v>10/04/2024</v>
      </c>
      <c r="C3658" t="str">
        <f>"94.0243"</f>
        <v>94.0243</v>
      </c>
      <c r="D3658" s="1" t="s">
        <v>3649</v>
      </c>
      <c r="E3658" t="s">
        <v>7759</v>
      </c>
    </row>
    <row r="3659" spans="1:5" x14ac:dyDescent="0.35">
      <c r="A3659" t="str">
        <f>"2024-10-07"</f>
        <v>2024-10-07</v>
      </c>
      <c r="B3659" s="1" t="str">
        <f t="shared" si="57"/>
        <v>10/07/2024</v>
      </c>
      <c r="C3659" t="str">
        <f>"92.9446"</f>
        <v>92.9446</v>
      </c>
      <c r="D3659" s="1" t="s">
        <v>3650</v>
      </c>
      <c r="E3659" t="s">
        <v>7760</v>
      </c>
    </row>
    <row r="3660" spans="1:5" x14ac:dyDescent="0.35">
      <c r="A3660" t="str">
        <f>"2024-10-08"</f>
        <v>2024-10-08</v>
      </c>
      <c r="B3660" s="1" t="str">
        <f t="shared" si="57"/>
        <v>10/08/2024</v>
      </c>
      <c r="C3660" t="str">
        <f>"94.0372"</f>
        <v>94.0372</v>
      </c>
      <c r="D3660" s="1" t="s">
        <v>3651</v>
      </c>
      <c r="E3660" t="s">
        <v>7761</v>
      </c>
    </row>
    <row r="3661" spans="1:5" x14ac:dyDescent="0.35">
      <c r="A3661" t="str">
        <f>"2024-10-09"</f>
        <v>2024-10-09</v>
      </c>
      <c r="B3661" s="1" t="str">
        <f t="shared" si="57"/>
        <v>10/09/2024</v>
      </c>
      <c r="C3661" t="str">
        <f>"94.1388"</f>
        <v>94.1388</v>
      </c>
      <c r="D3661" s="1" t="s">
        <v>3652</v>
      </c>
      <c r="E3661" t="s">
        <v>7762</v>
      </c>
    </row>
    <row r="3662" spans="1:5" x14ac:dyDescent="0.35">
      <c r="A3662" t="str">
        <f>"2024-10-10"</f>
        <v>2024-10-10</v>
      </c>
      <c r="B3662" s="1" t="str">
        <f t="shared" si="57"/>
        <v>10/10/2024</v>
      </c>
      <c r="C3662" t="str">
        <f>"92.335"</f>
        <v>92.335</v>
      </c>
      <c r="D3662" s="1" t="s">
        <v>3653</v>
      </c>
      <c r="E3662" t="s">
        <v>7763</v>
      </c>
    </row>
    <row r="3663" spans="1:5" x14ac:dyDescent="0.35">
      <c r="A3663" t="str">
        <f>"2024-10-11"</f>
        <v>2024-10-11</v>
      </c>
      <c r="B3663" s="1" t="str">
        <f t="shared" si="57"/>
        <v>10/11/2024</v>
      </c>
      <c r="C3663" t="str">
        <f>"90.4618"</f>
        <v>90.4618</v>
      </c>
      <c r="D3663" s="1" t="s">
        <v>3654</v>
      </c>
      <c r="E3663" t="s">
        <v>7764</v>
      </c>
    </row>
    <row r="3664" spans="1:5" x14ac:dyDescent="0.35">
      <c r="A3664" t="str">
        <f>"2024-10-14"</f>
        <v>2024-10-14</v>
      </c>
      <c r="B3664" s="1" t="str">
        <f t="shared" si="57"/>
        <v>10/14/2024</v>
      </c>
      <c r="C3664" t="str">
        <f>"88.3344"</f>
        <v>88.3344</v>
      </c>
      <c r="D3664" s="1" t="s">
        <v>3655</v>
      </c>
      <c r="E3664" t="s">
        <v>7765</v>
      </c>
    </row>
    <row r="3665" spans="1:5" x14ac:dyDescent="0.35">
      <c r="A3665" t="str">
        <f>"2024-10-15"</f>
        <v>2024-10-15</v>
      </c>
      <c r="B3665" s="1" t="str">
        <f t="shared" si="57"/>
        <v>10/15/2024</v>
      </c>
      <c r="C3665" t="str">
        <f>"91.4421"</f>
        <v>91.4421</v>
      </c>
      <c r="D3665" s="1" t="s">
        <v>3656</v>
      </c>
      <c r="E3665" t="s">
        <v>7766</v>
      </c>
    </row>
    <row r="3666" spans="1:5" x14ac:dyDescent="0.35">
      <c r="A3666" t="str">
        <f>"2024-10-16"</f>
        <v>2024-10-16</v>
      </c>
      <c r="B3666" s="1" t="str">
        <f t="shared" si="57"/>
        <v>10/16/2024</v>
      </c>
      <c r="C3666" t="str">
        <f>"91.5891"</f>
        <v>91.5891</v>
      </c>
      <c r="D3666" s="1" t="s">
        <v>3657</v>
      </c>
      <c r="E3666" t="s">
        <v>7767</v>
      </c>
    </row>
    <row r="3667" spans="1:5" x14ac:dyDescent="0.35">
      <c r="A3667" t="str">
        <f>"2024-10-17"</f>
        <v>2024-10-17</v>
      </c>
      <c r="B3667" s="1" t="str">
        <f t="shared" si="57"/>
        <v>10/17/2024</v>
      </c>
      <c r="C3667" t="str">
        <f>"92.5287"</f>
        <v>92.5287</v>
      </c>
      <c r="D3667" s="1" t="s">
        <v>3658</v>
      </c>
      <c r="E3667" t="s">
        <v>7768</v>
      </c>
    </row>
    <row r="3668" spans="1:5" x14ac:dyDescent="0.35">
      <c r="A3668" t="str">
        <f>"2024-10-18"</f>
        <v>2024-10-18</v>
      </c>
      <c r="B3668" s="1" t="str">
        <f t="shared" si="57"/>
        <v>10/18/2024</v>
      </c>
      <c r="C3668" t="str">
        <f>"89.837"</f>
        <v>89.837</v>
      </c>
      <c r="D3668" s="1" t="s">
        <v>3659</v>
      </c>
      <c r="E3668" t="s">
        <v>7769</v>
      </c>
    </row>
    <row r="3669" spans="1:5" x14ac:dyDescent="0.35">
      <c r="A3669" t="str">
        <f>"2024-10-21"</f>
        <v>2024-10-21</v>
      </c>
      <c r="B3669" s="1" t="str">
        <f t="shared" si="57"/>
        <v>10/21/2024</v>
      </c>
      <c r="C3669" t="str">
        <f>"89.8076"</f>
        <v>89.8076</v>
      </c>
      <c r="D3669" s="1" t="s">
        <v>3660</v>
      </c>
      <c r="E3669" t="s">
        <v>7770</v>
      </c>
    </row>
    <row r="3670" spans="1:5" x14ac:dyDescent="0.35">
      <c r="A3670" t="str">
        <f>"2024-10-22"</f>
        <v>2024-10-22</v>
      </c>
      <c r="B3670" s="1" t="str">
        <f t="shared" si="57"/>
        <v>10/22/2024</v>
      </c>
      <c r="C3670" t="str">
        <f>"90.9338"</f>
        <v>90.9338</v>
      </c>
      <c r="D3670" s="1" t="s">
        <v>3661</v>
      </c>
      <c r="E3670" t="s">
        <v>7771</v>
      </c>
    </row>
    <row r="3671" spans="1:5" x14ac:dyDescent="0.35">
      <c r="A3671" t="str">
        <f>"2024-10-23"</f>
        <v>2024-10-23</v>
      </c>
      <c r="B3671" s="1" t="str">
        <f t="shared" si="57"/>
        <v>10/23/2024</v>
      </c>
      <c r="C3671" t="str">
        <f>"89.5705"</f>
        <v>89.5705</v>
      </c>
      <c r="D3671" s="1" t="s">
        <v>3662</v>
      </c>
      <c r="E3671" t="s">
        <v>7772</v>
      </c>
    </row>
    <row r="3672" spans="1:5" x14ac:dyDescent="0.35">
      <c r="A3672" t="str">
        <f>"2024-10-24"</f>
        <v>2024-10-24</v>
      </c>
      <c r="B3672" s="1" t="str">
        <f t="shared" si="57"/>
        <v>10/24/2024</v>
      </c>
      <c r="C3672" t="str">
        <f>"90.8507"</f>
        <v>90.8507</v>
      </c>
      <c r="D3672" s="1" t="s">
        <v>3663</v>
      </c>
      <c r="E3672" t="s">
        <v>7773</v>
      </c>
    </row>
    <row r="3673" spans="1:5" x14ac:dyDescent="0.35">
      <c r="A3673" t="str">
        <f>"2024-10-25"</f>
        <v>2024-10-25</v>
      </c>
      <c r="B3673" s="1" t="str">
        <f t="shared" si="57"/>
        <v>10/25/2024</v>
      </c>
      <c r="C3673" t="str">
        <f>"91.3454"</f>
        <v>91.3454</v>
      </c>
      <c r="D3673" s="1" t="s">
        <v>3664</v>
      </c>
      <c r="E3673" t="s">
        <v>7774</v>
      </c>
    </row>
    <row r="3674" spans="1:5" x14ac:dyDescent="0.35">
      <c r="A3674" t="str">
        <f>"2024-10-28"</f>
        <v>2024-10-28</v>
      </c>
      <c r="B3674" s="1" t="str">
        <f t="shared" si="57"/>
        <v>10/28/2024</v>
      </c>
      <c r="C3674" t="str">
        <f>"91.952"</f>
        <v>91.952</v>
      </c>
      <c r="D3674" s="1" t="s">
        <v>3665</v>
      </c>
      <c r="E3674" t="s">
        <v>7775</v>
      </c>
    </row>
    <row r="3675" spans="1:5" x14ac:dyDescent="0.35">
      <c r="A3675" t="str">
        <f>"2024-10-30"</f>
        <v>2024-10-30</v>
      </c>
      <c r="B3675" s="1" t="str">
        <f t="shared" si="57"/>
        <v>10/30/2024</v>
      </c>
      <c r="C3675" t="str">
        <f>"90.3081"</f>
        <v>90.3081</v>
      </c>
      <c r="D3675" s="1" t="s">
        <v>3666</v>
      </c>
      <c r="E3675" t="s">
        <v>7776</v>
      </c>
    </row>
    <row r="3676" spans="1:5" x14ac:dyDescent="0.35">
      <c r="A3676" t="str">
        <f>"2024-10-31"</f>
        <v>2024-10-31</v>
      </c>
      <c r="B3676" s="1" t="str">
        <f t="shared" si="57"/>
        <v>10/31/2024</v>
      </c>
      <c r="C3676" t="str">
        <f>"90.2845"</f>
        <v>90.2845</v>
      </c>
      <c r="D3676" s="1" t="s">
        <v>3667</v>
      </c>
      <c r="E3676" t="s">
        <v>7777</v>
      </c>
    </row>
    <row r="3677" spans="1:5" x14ac:dyDescent="0.35">
      <c r="A3677" t="str">
        <f>"2024-11-01"</f>
        <v>2024-11-01</v>
      </c>
      <c r="B3677" s="1" t="str">
        <f t="shared" si="57"/>
        <v>11/01/2024</v>
      </c>
      <c r="C3677" t="str">
        <f>"90.4124"</f>
        <v>90.4124</v>
      </c>
      <c r="D3677" s="1" t="s">
        <v>3668</v>
      </c>
      <c r="E3677" t="s">
        <v>7778</v>
      </c>
    </row>
    <row r="3678" spans="1:5" x14ac:dyDescent="0.35">
      <c r="A3678" t="str">
        <f>"2024-11-04"</f>
        <v>2024-11-04</v>
      </c>
      <c r="B3678" s="1" t="str">
        <f t="shared" si="57"/>
        <v>11/04/2024</v>
      </c>
      <c r="C3678" t="str">
        <f>"88.9142"</f>
        <v>88.9142</v>
      </c>
      <c r="D3678" s="1" t="s">
        <v>3669</v>
      </c>
      <c r="E3678" t="s">
        <v>7779</v>
      </c>
    </row>
    <row r="3679" spans="1:5" x14ac:dyDescent="0.35">
      <c r="A3679" t="str">
        <f>"2024-11-05"</f>
        <v>2024-11-05</v>
      </c>
      <c r="B3679" s="1" t="str">
        <f t="shared" si="57"/>
        <v>11/05/2024</v>
      </c>
      <c r="C3679" t="str">
        <f>"89.9611"</f>
        <v>89.9611</v>
      </c>
      <c r="D3679" s="1" t="s">
        <v>3670</v>
      </c>
      <c r="E3679" t="s">
        <v>7780</v>
      </c>
    </row>
    <row r="3680" spans="1:5" x14ac:dyDescent="0.35">
      <c r="A3680" t="str">
        <f>"2024-11-06"</f>
        <v>2024-11-06</v>
      </c>
      <c r="B3680" s="1" t="str">
        <f t="shared" si="57"/>
        <v>11/06/2024</v>
      </c>
      <c r="C3680" t="str">
        <f>"94.2261"</f>
        <v>94.2261</v>
      </c>
      <c r="D3680" s="1" t="s">
        <v>3671</v>
      </c>
      <c r="E3680" t="s">
        <v>7781</v>
      </c>
    </row>
    <row r="3681" spans="1:5" x14ac:dyDescent="0.35">
      <c r="A3681" t="str">
        <f>"2024-11-07"</f>
        <v>2024-11-07</v>
      </c>
      <c r="B3681" s="1" t="str">
        <f t="shared" si="57"/>
        <v>11/07/2024</v>
      </c>
      <c r="C3681" t="str">
        <f>"95.2945"</f>
        <v>95.2945</v>
      </c>
      <c r="D3681" s="1" t="s">
        <v>3672</v>
      </c>
      <c r="E3681" t="s">
        <v>7782</v>
      </c>
    </row>
    <row r="3682" spans="1:5" x14ac:dyDescent="0.35">
      <c r="A3682" t="str">
        <f>"2024-11-08"</f>
        <v>2024-11-08</v>
      </c>
      <c r="B3682" s="1" t="str">
        <f t="shared" si="57"/>
        <v>11/08/2024</v>
      </c>
      <c r="C3682" t="str">
        <f>"97.8211"</f>
        <v>97.8211</v>
      </c>
      <c r="D3682" s="1" t="s">
        <v>3673</v>
      </c>
      <c r="E3682" t="s">
        <v>7783</v>
      </c>
    </row>
    <row r="3683" spans="1:5" x14ac:dyDescent="0.35">
      <c r="A3683" t="str">
        <f>"2024-11-11"</f>
        <v>2024-11-11</v>
      </c>
      <c r="B3683" s="1" t="str">
        <f t="shared" si="57"/>
        <v>11/11/2024</v>
      </c>
      <c r="C3683" t="str">
        <f>"99.8666"</f>
        <v>99.8666</v>
      </c>
      <c r="D3683" s="1" t="s">
        <v>3674</v>
      </c>
      <c r="E3683" t="s">
        <v>7784</v>
      </c>
    </row>
    <row r="3684" spans="1:5" x14ac:dyDescent="0.35">
      <c r="A3684" t="str">
        <f>"2024-11-12"</f>
        <v>2024-11-12</v>
      </c>
      <c r="B3684" s="1" t="str">
        <f t="shared" si="57"/>
        <v>11/12/2024</v>
      </c>
      <c r="C3684" t="str">
        <f>"99.8458"</f>
        <v>99.8458</v>
      </c>
      <c r="D3684" s="1" t="s">
        <v>3675</v>
      </c>
      <c r="E3684" t="s">
        <v>7785</v>
      </c>
    </row>
    <row r="3685" spans="1:5" x14ac:dyDescent="0.35">
      <c r="A3685" t="str">
        <f>"2024-11-13"</f>
        <v>2024-11-13</v>
      </c>
      <c r="B3685" s="1" t="str">
        <f t="shared" si="57"/>
        <v>11/13/2024</v>
      </c>
      <c r="C3685" t="str">
        <f>"99.495"</f>
        <v>99.495</v>
      </c>
      <c r="D3685" s="1" t="s">
        <v>3676</v>
      </c>
      <c r="E3685" t="s">
        <v>7786</v>
      </c>
    </row>
    <row r="3686" spans="1:5" x14ac:dyDescent="0.35">
      <c r="A3686" t="str">
        <f>"2024-11-14"</f>
        <v>2024-11-14</v>
      </c>
      <c r="B3686" s="1" t="str">
        <f t="shared" si="57"/>
        <v>11/14/2024</v>
      </c>
      <c r="C3686" t="str">
        <f>"101.0274"</f>
        <v>101.0274</v>
      </c>
      <c r="D3686" s="1" t="s">
        <v>3677</v>
      </c>
      <c r="E3686" t="s">
        <v>7787</v>
      </c>
    </row>
    <row r="3687" spans="1:5" x14ac:dyDescent="0.35">
      <c r="A3687" t="str">
        <f>"2024-11-15"</f>
        <v>2024-11-15</v>
      </c>
      <c r="B3687" s="1" t="str">
        <f t="shared" si="57"/>
        <v>11/15/2024</v>
      </c>
      <c r="C3687" t="str">
        <f>"102.4176"</f>
        <v>102.4176</v>
      </c>
      <c r="D3687" s="1" t="s">
        <v>3678</v>
      </c>
      <c r="E3687" t="s">
        <v>7788</v>
      </c>
    </row>
    <row r="3688" spans="1:5" x14ac:dyDescent="0.35">
      <c r="A3688" t="str">
        <f>"2024-11-18"</f>
        <v>2024-11-18</v>
      </c>
      <c r="B3688" s="1" t="str">
        <f t="shared" si="57"/>
        <v>11/18/2024</v>
      </c>
      <c r="C3688" t="str">
        <f>"100.1552"</f>
        <v>100.1552</v>
      </c>
      <c r="D3688" s="1" t="s">
        <v>3679</v>
      </c>
      <c r="E3688" t="s">
        <v>7789</v>
      </c>
    </row>
    <row r="3689" spans="1:5" x14ac:dyDescent="0.35">
      <c r="A3689" t="str">
        <f>"2024-11-19"</f>
        <v>2024-11-19</v>
      </c>
      <c r="B3689" s="1" t="str">
        <f t="shared" si="57"/>
        <v>11/19/2024</v>
      </c>
      <c r="C3689" t="str">
        <f>"95.546"</f>
        <v>95.546</v>
      </c>
      <c r="D3689" s="1" t="s">
        <v>3680</v>
      </c>
      <c r="E3689" t="s">
        <v>7790</v>
      </c>
    </row>
    <row r="3690" spans="1:5" x14ac:dyDescent="0.35">
      <c r="A3690" t="str">
        <f>"2024-11-20"</f>
        <v>2024-11-20</v>
      </c>
      <c r="B3690" s="1" t="str">
        <f t="shared" si="57"/>
        <v>11/20/2024</v>
      </c>
      <c r="C3690" t="str">
        <f>"92.2609"</f>
        <v>92.2609</v>
      </c>
      <c r="D3690" s="1" t="s">
        <v>3681</v>
      </c>
      <c r="E3690" t="s">
        <v>7791</v>
      </c>
    </row>
    <row r="3691" spans="1:5" x14ac:dyDescent="0.35">
      <c r="A3691" t="str">
        <f>"2024-11-21"</f>
        <v>2024-11-21</v>
      </c>
      <c r="B3691" s="1" t="str">
        <f t="shared" si="57"/>
        <v>11/21/2024</v>
      </c>
      <c r="C3691" t="str">
        <f>"94.4702"</f>
        <v>94.4702</v>
      </c>
      <c r="D3691" s="1" t="s">
        <v>3682</v>
      </c>
      <c r="E3691" t="s">
        <v>7792</v>
      </c>
    </row>
    <row r="3692" spans="1:5" x14ac:dyDescent="0.35">
      <c r="A3692" t="str">
        <f>"2024-11-22"</f>
        <v>2024-11-22</v>
      </c>
      <c r="B3692" s="1" t="str">
        <f t="shared" si="57"/>
        <v>11/22/2024</v>
      </c>
      <c r="C3692" t="str">
        <f>"92.9133"</f>
        <v>92.9133</v>
      </c>
      <c r="D3692" s="1" t="s">
        <v>3683</v>
      </c>
      <c r="E3692" t="s">
        <v>7793</v>
      </c>
    </row>
    <row r="3693" spans="1:5" x14ac:dyDescent="0.35">
      <c r="A3693" t="str">
        <f>"2024-11-25"</f>
        <v>2024-11-25</v>
      </c>
      <c r="B3693" s="1" t="str">
        <f t="shared" si="57"/>
        <v>11/25/2024</v>
      </c>
      <c r="C3693" t="str">
        <f>"102.3024"</f>
        <v>102.3024</v>
      </c>
      <c r="D3693" s="1" t="s">
        <v>3684</v>
      </c>
      <c r="E3693" t="s">
        <v>7794</v>
      </c>
    </row>
    <row r="3694" spans="1:5" x14ac:dyDescent="0.35">
      <c r="A3694" t="str">
        <f>"2024-11-26"</f>
        <v>2024-11-26</v>
      </c>
      <c r="B3694" s="1" t="str">
        <f t="shared" si="57"/>
        <v>11/26/2024</v>
      </c>
      <c r="C3694" t="str">
        <f>"100.8696"</f>
        <v>100.8696</v>
      </c>
      <c r="D3694" s="1" t="s">
        <v>3685</v>
      </c>
      <c r="E3694" t="s">
        <v>7795</v>
      </c>
    </row>
    <row r="3695" spans="1:5" x14ac:dyDescent="0.35">
      <c r="A3695" t="str">
        <f>"2024-11-27"</f>
        <v>2024-11-27</v>
      </c>
      <c r="B3695" s="1" t="str">
        <f t="shared" si="57"/>
        <v>11/27/2024</v>
      </c>
      <c r="C3695" t="str">
        <f>"99.4488"</f>
        <v>99.4488</v>
      </c>
      <c r="D3695" s="1" t="s">
        <v>3686</v>
      </c>
      <c r="E3695" t="s">
        <v>7796</v>
      </c>
    </row>
    <row r="3696" spans="1:5" x14ac:dyDescent="0.35">
      <c r="A3696" t="str">
        <f>"2024-11-29"</f>
        <v>2024-11-29</v>
      </c>
      <c r="B3696" s="1" t="str">
        <f t="shared" si="57"/>
        <v>11/29/2024</v>
      </c>
      <c r="C3696" t="str">
        <f>"96.2897"</f>
        <v>96.2897</v>
      </c>
      <c r="D3696" s="1" t="s">
        <v>3687</v>
      </c>
      <c r="E3696" t="s">
        <v>7797</v>
      </c>
    </row>
    <row r="3697" spans="1:5" x14ac:dyDescent="0.35">
      <c r="A3697" t="str">
        <f>"2024-12-02"</f>
        <v>2024-12-02</v>
      </c>
      <c r="B3697" s="1" t="str">
        <f t="shared" si="57"/>
        <v>12/02/2024</v>
      </c>
      <c r="C3697" t="str">
        <f>"97.1414"</f>
        <v>97.1414</v>
      </c>
      <c r="D3697" s="1" t="s">
        <v>3688</v>
      </c>
      <c r="E3697" t="s">
        <v>7798</v>
      </c>
    </row>
    <row r="3698" spans="1:5" x14ac:dyDescent="0.35">
      <c r="A3698" t="str">
        <f>"2024-12-03"</f>
        <v>2024-12-03</v>
      </c>
      <c r="B3698" s="1" t="str">
        <f t="shared" si="57"/>
        <v>12/03/2024</v>
      </c>
      <c r="C3698" t="str">
        <f>"97.1373"</f>
        <v>97.1373</v>
      </c>
      <c r="D3698" s="1" t="s">
        <v>3689</v>
      </c>
      <c r="E3698" t="s">
        <v>7799</v>
      </c>
    </row>
    <row r="3699" spans="1:5" x14ac:dyDescent="0.35">
      <c r="A3699" t="str">
        <f>"2024-12-04"</f>
        <v>2024-12-04</v>
      </c>
      <c r="B3699" s="1" t="str">
        <f t="shared" si="57"/>
        <v>12/04/2024</v>
      </c>
      <c r="C3699" t="str">
        <f>"97.4797"</f>
        <v>97.4797</v>
      </c>
      <c r="D3699" s="1" t="s">
        <v>3690</v>
      </c>
      <c r="E3699" t="s">
        <v>7800</v>
      </c>
    </row>
    <row r="3700" spans="1:5" x14ac:dyDescent="0.35">
      <c r="A3700" t="str">
        <f>"2024-12-05"</f>
        <v>2024-12-05</v>
      </c>
      <c r="B3700" s="1" t="str">
        <f t="shared" si="57"/>
        <v>12/05/2024</v>
      </c>
      <c r="C3700" t="str">
        <f>"100.0547"</f>
        <v>100.0547</v>
      </c>
      <c r="D3700" s="1" t="s">
        <v>3691</v>
      </c>
      <c r="E3700" t="s">
        <v>7801</v>
      </c>
    </row>
    <row r="3701" spans="1:5" x14ac:dyDescent="0.35">
      <c r="A3701" t="str">
        <f>"2024-12-06"</f>
        <v>2024-12-06</v>
      </c>
      <c r="B3701" s="1" t="str">
        <f t="shared" si="57"/>
        <v>12/06/2024</v>
      </c>
      <c r="C3701" t="str">
        <f>"101.8862"</f>
        <v>101.8862</v>
      </c>
      <c r="D3701" s="1" t="s">
        <v>3692</v>
      </c>
      <c r="E3701" t="s">
        <v>7802</v>
      </c>
    </row>
    <row r="3702" spans="1:5" x14ac:dyDescent="0.35">
      <c r="A3702" t="str">
        <f>"2024-12-09"</f>
        <v>2024-12-09</v>
      </c>
      <c r="B3702" s="1" t="str">
        <f t="shared" si="57"/>
        <v>12/09/2024</v>
      </c>
      <c r="C3702" t="str">
        <f>"100.8457"</f>
        <v>100.8457</v>
      </c>
      <c r="D3702" s="1" t="s">
        <v>3693</v>
      </c>
      <c r="E3702" t="s">
        <v>7803</v>
      </c>
    </row>
    <row r="3703" spans="1:5" x14ac:dyDescent="0.35">
      <c r="A3703" t="str">
        <f>"2024-12-10"</f>
        <v>2024-12-10</v>
      </c>
      <c r="B3703" s="1" t="str">
        <f t="shared" si="57"/>
        <v>12/10/2024</v>
      </c>
      <c r="C3703" t="str">
        <f>"99.0929"</f>
        <v>99.0929</v>
      </c>
      <c r="D3703" s="1" t="s">
        <v>3694</v>
      </c>
      <c r="E3703" t="s">
        <v>7804</v>
      </c>
    </row>
    <row r="3704" spans="1:5" x14ac:dyDescent="0.35">
      <c r="A3704" t="str">
        <f>"2024-12-11"</f>
        <v>2024-12-11</v>
      </c>
      <c r="B3704" s="1" t="str">
        <f t="shared" si="57"/>
        <v>12/11/2024</v>
      </c>
      <c r="C3704" t="str">
        <f>"98.3621"</f>
        <v>98.3621</v>
      </c>
      <c r="D3704" s="1" t="s">
        <v>3695</v>
      </c>
      <c r="E3704" t="s">
        <v>7805</v>
      </c>
    </row>
    <row r="3705" spans="1:5" x14ac:dyDescent="0.35">
      <c r="A3705" t="str">
        <f>"2024-12-12"</f>
        <v>2024-12-12</v>
      </c>
      <c r="B3705" s="1" t="str">
        <f t="shared" si="57"/>
        <v>12/12/2024</v>
      </c>
      <c r="C3705" t="str">
        <f>"99.0876"</f>
        <v>99.0876</v>
      </c>
      <c r="D3705" s="1" t="s">
        <v>3696</v>
      </c>
      <c r="E3705" t="s">
        <v>7806</v>
      </c>
    </row>
    <row r="3706" spans="1:5" x14ac:dyDescent="0.35">
      <c r="A3706" t="str">
        <f>"2024-12-13"</f>
        <v>2024-12-13</v>
      </c>
      <c r="B3706" s="1" t="str">
        <f t="shared" si="57"/>
        <v>12/13/2024</v>
      </c>
      <c r="C3706" t="str">
        <f>"100.2791"</f>
        <v>100.2791</v>
      </c>
      <c r="D3706" s="1" t="s">
        <v>3697</v>
      </c>
      <c r="E3706" t="s">
        <v>7807</v>
      </c>
    </row>
    <row r="3707" spans="1:5" x14ac:dyDescent="0.35">
      <c r="A3707" t="str">
        <f>"2024-12-16"</f>
        <v>2024-12-16</v>
      </c>
      <c r="B3707" s="1" t="str">
        <f t="shared" si="57"/>
        <v>12/16/2024</v>
      </c>
      <c r="C3707" t="str">
        <f>"99.1842"</f>
        <v>99.1842</v>
      </c>
      <c r="D3707" s="1" t="s">
        <v>3698</v>
      </c>
      <c r="E3707" t="s">
        <v>7808</v>
      </c>
    </row>
    <row r="3708" spans="1:5" x14ac:dyDescent="0.35">
      <c r="A3708" t="str">
        <f>"2024-12-17"</f>
        <v>2024-12-17</v>
      </c>
      <c r="B3708" s="1" t="str">
        <f t="shared" si="57"/>
        <v>12/17/2024</v>
      </c>
      <c r="C3708" t="str">
        <f>"100.1855"</f>
        <v>100.1855</v>
      </c>
      <c r="D3708" s="1" t="s">
        <v>3699</v>
      </c>
      <c r="E3708" t="s">
        <v>7809</v>
      </c>
    </row>
    <row r="3709" spans="1:5" x14ac:dyDescent="0.35">
      <c r="A3709" t="str">
        <f>"2024-12-18"</f>
        <v>2024-12-18</v>
      </c>
      <c r="B3709" s="1" t="str">
        <f t="shared" si="57"/>
        <v>12/18/2024</v>
      </c>
      <c r="C3709" t="str">
        <f>"97.8913"</f>
        <v>97.8913</v>
      </c>
      <c r="D3709" s="1" t="s">
        <v>3700</v>
      </c>
      <c r="E3709" t="s">
        <v>7810</v>
      </c>
    </row>
    <row r="3710" spans="1:5" x14ac:dyDescent="0.35">
      <c r="A3710" t="str">
        <f>"2024-12-19"</f>
        <v>2024-12-19</v>
      </c>
      <c r="B3710" s="1" t="str">
        <f t="shared" si="57"/>
        <v>12/19/2024</v>
      </c>
      <c r="C3710" t="str">
        <f>"99.1091"</f>
        <v>99.1091</v>
      </c>
      <c r="D3710" s="1" t="s">
        <v>3701</v>
      </c>
      <c r="E3710" t="s">
        <v>7811</v>
      </c>
    </row>
    <row r="3711" spans="1:5" x14ac:dyDescent="0.35">
      <c r="A3711" t="str">
        <f>"2024-12-20"</f>
        <v>2024-12-20</v>
      </c>
      <c r="B3711" s="1" t="str">
        <f t="shared" si="57"/>
        <v>12/20/2024</v>
      </c>
      <c r="C3711" t="str">
        <f>"97.5651"</f>
        <v>97.5651</v>
      </c>
      <c r="D3711" s="1" t="s">
        <v>3702</v>
      </c>
      <c r="E3711" t="s">
        <v>7812</v>
      </c>
    </row>
    <row r="3712" spans="1:5" x14ac:dyDescent="0.35">
      <c r="A3712" t="str">
        <f>"2024-12-23"</f>
        <v>2024-12-23</v>
      </c>
      <c r="B3712" s="1" t="str">
        <f t="shared" si="57"/>
        <v>12/23/2024</v>
      </c>
      <c r="C3712" t="str">
        <f>"96.9304"</f>
        <v>96.9304</v>
      </c>
      <c r="D3712" s="1" t="s">
        <v>3703</v>
      </c>
      <c r="E3712" t="s">
        <v>7813</v>
      </c>
    </row>
    <row r="3713" spans="1:5" x14ac:dyDescent="0.35">
      <c r="A3713" t="str">
        <f>"2024-12-24"</f>
        <v>2024-12-24</v>
      </c>
      <c r="B3713" s="1" t="str">
        <f t="shared" si="57"/>
        <v>12/24/2024</v>
      </c>
      <c r="C3713" t="str">
        <f>"96.2015"</f>
        <v>96.2015</v>
      </c>
      <c r="D3713" s="1" t="s">
        <v>3704</v>
      </c>
      <c r="E3713" t="s">
        <v>7814</v>
      </c>
    </row>
    <row r="3714" spans="1:5" x14ac:dyDescent="0.35">
      <c r="A3714" t="str">
        <f>"2024-12-26"</f>
        <v>2024-12-26</v>
      </c>
      <c r="B3714" s="1" t="str">
        <f t="shared" si="57"/>
        <v>12/26/2024</v>
      </c>
      <c r="C3714" t="str">
        <f>"97.3313"</f>
        <v>97.3313</v>
      </c>
      <c r="D3714" s="1" t="s">
        <v>3705</v>
      </c>
      <c r="E3714" t="s">
        <v>7815</v>
      </c>
    </row>
    <row r="3715" spans="1:5" x14ac:dyDescent="0.35">
      <c r="A3715" t="str">
        <f>"2024-12-27"</f>
        <v>2024-12-27</v>
      </c>
      <c r="B3715" s="1" t="str">
        <f t="shared" ref="B3715:B3778" si="58">LEFT(RIGHT(A3715,5),2)&amp;"/"&amp;RIGHT(A3715,2)&amp;"/"&amp;LEFT(A3715,4)</f>
        <v>12/27/2024</v>
      </c>
      <c r="C3715" t="str">
        <f>"98.0678"</f>
        <v>98.0678</v>
      </c>
      <c r="D3715" s="1" t="s">
        <v>3706</v>
      </c>
      <c r="E3715" t="s">
        <v>7816</v>
      </c>
    </row>
    <row r="3716" spans="1:5" x14ac:dyDescent="0.35">
      <c r="A3716" t="str">
        <f>"2024-12-30"</f>
        <v>2024-12-30</v>
      </c>
      <c r="B3716" s="1" t="str">
        <f t="shared" si="58"/>
        <v>12/30/2024</v>
      </c>
      <c r="C3716" t="str">
        <f>"95.8075"</f>
        <v>95.8075</v>
      </c>
      <c r="D3716" s="1" t="s">
        <v>3707</v>
      </c>
      <c r="E3716" t="s">
        <v>7817</v>
      </c>
    </row>
    <row r="3717" spans="1:5" x14ac:dyDescent="0.35">
      <c r="A3717" t="str">
        <f>"2024-12-31"</f>
        <v>2024-12-31</v>
      </c>
      <c r="B3717" s="1" t="str">
        <f t="shared" si="58"/>
        <v>12/31/2024</v>
      </c>
      <c r="C3717" t="str">
        <f>"94.157"</f>
        <v>94.157</v>
      </c>
      <c r="D3717" s="1" t="s">
        <v>3708</v>
      </c>
      <c r="E3717" t="s">
        <v>7818</v>
      </c>
    </row>
    <row r="3718" spans="1:5" x14ac:dyDescent="0.35">
      <c r="A3718" t="str">
        <f>"2025-01-02"</f>
        <v>2025-01-02</v>
      </c>
      <c r="B3718" s="1" t="str">
        <f t="shared" si="58"/>
        <v>01/02/2025</v>
      </c>
      <c r="C3718" t="str">
        <f>"95.0738"</f>
        <v>95.0738</v>
      </c>
      <c r="D3718" s="1" t="s">
        <v>3709</v>
      </c>
      <c r="E3718" t="s">
        <v>7819</v>
      </c>
    </row>
    <row r="3719" spans="1:5" x14ac:dyDescent="0.35">
      <c r="A3719" t="str">
        <f>"2025-01-03"</f>
        <v>2025-01-03</v>
      </c>
      <c r="B3719" s="1" t="str">
        <f t="shared" si="58"/>
        <v>01/03/2025</v>
      </c>
      <c r="C3719" t="str">
        <f>"99.013"</f>
        <v>99.013</v>
      </c>
      <c r="D3719" s="1" t="s">
        <v>3710</v>
      </c>
      <c r="E3719" t="s">
        <v>7820</v>
      </c>
    </row>
    <row r="3720" spans="1:5" x14ac:dyDescent="0.35">
      <c r="A3720" t="str">
        <f>"2025-01-06"</f>
        <v>2025-01-06</v>
      </c>
      <c r="B3720" s="1" t="str">
        <f t="shared" si="58"/>
        <v>01/06/2025</v>
      </c>
      <c r="C3720" t="str">
        <f>"99.2161"</f>
        <v>99.2161</v>
      </c>
      <c r="D3720" s="1" t="s">
        <v>3711</v>
      </c>
      <c r="E3720" t="s">
        <v>7821</v>
      </c>
    </row>
    <row r="3721" spans="1:5" x14ac:dyDescent="0.35">
      <c r="A3721" t="str">
        <f>"2025-01-07"</f>
        <v>2025-01-07</v>
      </c>
      <c r="B3721" s="1" t="str">
        <f t="shared" si="58"/>
        <v>01/07/2025</v>
      </c>
      <c r="C3721" t="str">
        <f>"97.2186"</f>
        <v>97.2186</v>
      </c>
      <c r="D3721" s="1" t="s">
        <v>3712</v>
      </c>
      <c r="E3721" t="s">
        <v>7822</v>
      </c>
    </row>
    <row r="3722" spans="1:5" x14ac:dyDescent="0.35">
      <c r="A3722" t="str">
        <f>"2025-01-08"</f>
        <v>2025-01-08</v>
      </c>
      <c r="B3722" s="1" t="str">
        <f t="shared" si="58"/>
        <v>01/08/2025</v>
      </c>
      <c r="C3722" t="str">
        <f>"96.8318"</f>
        <v>96.8318</v>
      </c>
      <c r="D3722" s="1" t="s">
        <v>3713</v>
      </c>
      <c r="E3722" t="s">
        <v>7823</v>
      </c>
    </row>
    <row r="3723" spans="1:5" x14ac:dyDescent="0.35">
      <c r="A3723" t="str">
        <f>"2025-01-09"</f>
        <v>2025-01-09</v>
      </c>
      <c r="B3723" s="1" t="str">
        <f t="shared" si="58"/>
        <v>01/09/2025</v>
      </c>
      <c r="C3723" t="str">
        <f>"96.6331"</f>
        <v>96.6331</v>
      </c>
      <c r="D3723" s="1" t="s">
        <v>3714</v>
      </c>
      <c r="E3723" t="s">
        <v>7824</v>
      </c>
    </row>
    <row r="3724" spans="1:5" x14ac:dyDescent="0.35">
      <c r="A3724" t="str">
        <f>"2025-01-10"</f>
        <v>2025-01-10</v>
      </c>
      <c r="B3724" s="1" t="str">
        <f t="shared" si="58"/>
        <v>01/10/2025</v>
      </c>
      <c r="C3724" t="str">
        <f>"95.2628"</f>
        <v>95.2628</v>
      </c>
      <c r="D3724" s="1" t="s">
        <v>3715</v>
      </c>
      <c r="E3724" t="s">
        <v>7825</v>
      </c>
    </row>
    <row r="3725" spans="1:5" x14ac:dyDescent="0.35">
      <c r="A3725" t="str">
        <f>"2025-01-13"</f>
        <v>2025-01-13</v>
      </c>
      <c r="B3725" s="1" t="str">
        <f t="shared" si="58"/>
        <v>01/13/2025</v>
      </c>
      <c r="C3725" t="str">
        <f>"95.2487"</f>
        <v>95.2487</v>
      </c>
      <c r="D3725" s="1" t="s">
        <v>3716</v>
      </c>
      <c r="E3725" t="s">
        <v>7826</v>
      </c>
    </row>
    <row r="3726" spans="1:5" x14ac:dyDescent="0.35">
      <c r="A3726" t="str">
        <f>"2025-01-14"</f>
        <v>2025-01-14</v>
      </c>
      <c r="B3726" s="1" t="str">
        <f t="shared" si="58"/>
        <v>01/14/2025</v>
      </c>
      <c r="C3726" t="str">
        <f>"96.0844"</f>
        <v>96.0844</v>
      </c>
      <c r="D3726" s="1" t="s">
        <v>3717</v>
      </c>
      <c r="E3726" t="s">
        <v>7827</v>
      </c>
    </row>
    <row r="3727" spans="1:5" x14ac:dyDescent="0.35">
      <c r="A3727" t="str">
        <f>"2025-01-15"</f>
        <v>2025-01-15</v>
      </c>
      <c r="B3727" s="1" t="str">
        <f t="shared" si="58"/>
        <v>01/15/2025</v>
      </c>
      <c r="C3727" t="str">
        <f>"95.3691"</f>
        <v>95.3691</v>
      </c>
      <c r="D3727" s="1" t="s">
        <v>3718</v>
      </c>
      <c r="E3727" t="s">
        <v>7828</v>
      </c>
    </row>
    <row r="3728" spans="1:5" x14ac:dyDescent="0.35">
      <c r="A3728" t="str">
        <f>"2025-01-16"</f>
        <v>2025-01-16</v>
      </c>
      <c r="B3728" s="1" t="str">
        <f t="shared" si="58"/>
        <v>01/16/2025</v>
      </c>
      <c r="C3728" t="str">
        <f>"95.0606"</f>
        <v>95.0606</v>
      </c>
      <c r="D3728" s="1" t="s">
        <v>3719</v>
      </c>
      <c r="E3728" t="s">
        <v>7829</v>
      </c>
    </row>
    <row r="3729" spans="1:5" x14ac:dyDescent="0.35">
      <c r="A3729" t="str">
        <f>"2025-01-17"</f>
        <v>2025-01-17</v>
      </c>
      <c r="B3729" s="1" t="str">
        <f t="shared" si="58"/>
        <v>01/17/2025</v>
      </c>
      <c r="C3729" t="str">
        <f>"96.7708"</f>
        <v>96.7708</v>
      </c>
      <c r="D3729" s="1" t="s">
        <v>3720</v>
      </c>
      <c r="E3729" t="s">
        <v>7830</v>
      </c>
    </row>
    <row r="3730" spans="1:5" x14ac:dyDescent="0.35">
      <c r="A3730" t="str">
        <f>"2025-01-21"</f>
        <v>2025-01-21</v>
      </c>
      <c r="B3730" s="1" t="str">
        <f t="shared" si="58"/>
        <v>01/21/2025</v>
      </c>
      <c r="C3730" t="str">
        <f>"95.5889"</f>
        <v>95.5889</v>
      </c>
      <c r="D3730" s="1" t="s">
        <v>3721</v>
      </c>
      <c r="E3730" t="s">
        <v>7831</v>
      </c>
    </row>
    <row r="3731" spans="1:5" x14ac:dyDescent="0.35">
      <c r="A3731" t="str">
        <f>"2025-01-22"</f>
        <v>2025-01-22</v>
      </c>
      <c r="B3731" s="1" t="str">
        <f t="shared" si="58"/>
        <v>01/22/2025</v>
      </c>
      <c r="C3731" t="str">
        <f>"96.2689"</f>
        <v>96.2689</v>
      </c>
      <c r="D3731" s="1" t="s">
        <v>3722</v>
      </c>
      <c r="E3731" t="s">
        <v>7832</v>
      </c>
    </row>
    <row r="3732" spans="1:5" x14ac:dyDescent="0.35">
      <c r="A3732" t="str">
        <f>"2025-01-23"</f>
        <v>2025-01-23</v>
      </c>
      <c r="B3732" s="1" t="str">
        <f t="shared" si="58"/>
        <v>01/23/2025</v>
      </c>
      <c r="C3732" t="str">
        <f>"97.8203"</f>
        <v>97.8203</v>
      </c>
      <c r="D3732" s="1" t="s">
        <v>3723</v>
      </c>
      <c r="E3732" t="s">
        <v>7833</v>
      </c>
    </row>
    <row r="3733" spans="1:5" x14ac:dyDescent="0.35">
      <c r="A3733" t="str">
        <f>"2025-01-24"</f>
        <v>2025-01-24</v>
      </c>
      <c r="B3733" s="1" t="str">
        <f t="shared" si="58"/>
        <v>01/24/2025</v>
      </c>
      <c r="C3733" t="str">
        <f>"97.004"</f>
        <v>97.004</v>
      </c>
      <c r="D3733" s="1" t="s">
        <v>3724</v>
      </c>
      <c r="E3733" t="s">
        <v>7834</v>
      </c>
    </row>
    <row r="3734" spans="1:5" x14ac:dyDescent="0.35">
      <c r="A3734" t="str">
        <f>"2025-01-27"</f>
        <v>2025-01-27</v>
      </c>
      <c r="B3734" s="1" t="str">
        <f t="shared" si="58"/>
        <v>01/27/2025</v>
      </c>
      <c r="C3734" t="str">
        <f>"97.8394"</f>
        <v>97.8394</v>
      </c>
      <c r="D3734" s="1" t="s">
        <v>3725</v>
      </c>
      <c r="E3734" t="s">
        <v>7835</v>
      </c>
    </row>
    <row r="3735" spans="1:5" x14ac:dyDescent="0.35">
      <c r="A3735" t="str">
        <f>"2025-01-28"</f>
        <v>2025-01-28</v>
      </c>
      <c r="B3735" s="1" t="str">
        <f t="shared" si="58"/>
        <v>01/28/2025</v>
      </c>
      <c r="C3735" t="str">
        <f>"98.0244"</f>
        <v>98.0244</v>
      </c>
      <c r="D3735" s="1" t="s">
        <v>3726</v>
      </c>
      <c r="E3735" t="s">
        <v>7836</v>
      </c>
    </row>
    <row r="3736" spans="1:5" x14ac:dyDescent="0.35">
      <c r="A3736" t="str">
        <f>"2025-01-29"</f>
        <v>2025-01-29</v>
      </c>
      <c r="B3736" s="1" t="str">
        <f t="shared" si="58"/>
        <v>01/29/2025</v>
      </c>
      <c r="C3736" t="str">
        <f>"98.4715"</f>
        <v>98.4715</v>
      </c>
      <c r="D3736" s="1" t="s">
        <v>3727</v>
      </c>
      <c r="E3736" t="s">
        <v>7837</v>
      </c>
    </row>
    <row r="3737" spans="1:5" x14ac:dyDescent="0.35">
      <c r="A3737" t="str">
        <f>"2025-01-30"</f>
        <v>2025-01-30</v>
      </c>
      <c r="B3737" s="1" t="str">
        <f t="shared" si="58"/>
        <v>01/30/2025</v>
      </c>
      <c r="C3737" t="str">
        <f>"96.3493"</f>
        <v>96.3493</v>
      </c>
      <c r="D3737" s="1" t="s">
        <v>3728</v>
      </c>
      <c r="E3737" t="s">
        <v>7838</v>
      </c>
    </row>
    <row r="3738" spans="1:5" x14ac:dyDescent="0.35">
      <c r="A3738" t="str">
        <f>"2025-01-31"</f>
        <v>2025-01-31</v>
      </c>
      <c r="B3738" s="1" t="str">
        <f t="shared" si="58"/>
        <v>01/31/2025</v>
      </c>
      <c r="C3738" t="str">
        <f>"97.78"</f>
        <v>97.78</v>
      </c>
      <c r="D3738" s="1" t="s">
        <v>3729</v>
      </c>
      <c r="E3738" t="s">
        <v>7839</v>
      </c>
    </row>
    <row r="3739" spans="1:5" x14ac:dyDescent="0.35">
      <c r="A3739" t="str">
        <f>"2025-02-03"</f>
        <v>2025-02-03</v>
      </c>
      <c r="B3739" s="1" t="str">
        <f t="shared" si="58"/>
        <v>02/03/2025</v>
      </c>
      <c r="C3739" t="str">
        <f>"95.9964"</f>
        <v>95.9964</v>
      </c>
      <c r="D3739" s="1" t="s">
        <v>3730</v>
      </c>
      <c r="E3739" t="s">
        <v>7840</v>
      </c>
    </row>
    <row r="3740" spans="1:5" x14ac:dyDescent="0.35">
      <c r="A3740" t="str">
        <f>"2025-02-04"</f>
        <v>2025-02-04</v>
      </c>
      <c r="B3740" s="1" t="str">
        <f t="shared" si="58"/>
        <v>02/04/2025</v>
      </c>
      <c r="C3740" t="str">
        <f>"91.9685"</f>
        <v>91.9685</v>
      </c>
      <c r="D3740" s="1" t="s">
        <v>3731</v>
      </c>
      <c r="E3740" t="s">
        <v>7841</v>
      </c>
    </row>
    <row r="3741" spans="1:5" x14ac:dyDescent="0.35">
      <c r="A3741" t="str">
        <f>"2025-02-05"</f>
        <v>2025-02-05</v>
      </c>
      <c r="B3741" s="1" t="str">
        <f t="shared" si="58"/>
        <v>02/05/2025</v>
      </c>
      <c r="C3741" t="str">
        <f>"91.4676"</f>
        <v>91.4676</v>
      </c>
      <c r="D3741" s="1" t="s">
        <v>3732</v>
      </c>
      <c r="E3741" t="s">
        <v>7842</v>
      </c>
    </row>
    <row r="3742" spans="1:5" x14ac:dyDescent="0.35">
      <c r="A3742" t="str">
        <f>"2025-02-06"</f>
        <v>2025-02-06</v>
      </c>
      <c r="B3742" s="1" t="str">
        <f t="shared" si="58"/>
        <v>02/06/2025</v>
      </c>
      <c r="C3742" t="str">
        <f>"95.0757"</f>
        <v>95.0757</v>
      </c>
      <c r="D3742" s="1" t="s">
        <v>3733</v>
      </c>
      <c r="E3742" t="s">
        <v>7843</v>
      </c>
    </row>
    <row r="3743" spans="1:5" x14ac:dyDescent="0.35">
      <c r="A3743" t="str">
        <f>"2025-02-07"</f>
        <v>2025-02-07</v>
      </c>
      <c r="B3743" s="1" t="str">
        <f t="shared" si="58"/>
        <v>02/07/2025</v>
      </c>
      <c r="C3743" t="str">
        <f>"97.2216"</f>
        <v>97.2216</v>
      </c>
      <c r="D3743" s="1" t="s">
        <v>3734</v>
      </c>
      <c r="E3743" t="s">
        <v>7844</v>
      </c>
    </row>
    <row r="3744" spans="1:5" x14ac:dyDescent="0.35">
      <c r="A3744" t="str">
        <f>"2025-02-10"</f>
        <v>2025-02-10</v>
      </c>
      <c r="B3744" s="1" t="str">
        <f t="shared" si="58"/>
        <v>02/10/2025</v>
      </c>
      <c r="C3744" t="str">
        <f>"95.208"</f>
        <v>95.208</v>
      </c>
      <c r="D3744" s="1" t="s">
        <v>3735</v>
      </c>
      <c r="E3744" t="s">
        <v>7845</v>
      </c>
    </row>
    <row r="3745" spans="1:5" x14ac:dyDescent="0.35">
      <c r="A3745" t="str">
        <f>"2025-02-11"</f>
        <v>2025-02-11</v>
      </c>
      <c r="B3745" s="1" t="str">
        <f t="shared" si="58"/>
        <v>02/11/2025</v>
      </c>
      <c r="C3745" t="str">
        <f>"94.7983"</f>
        <v>94.7983</v>
      </c>
      <c r="D3745" s="1" t="s">
        <v>3736</v>
      </c>
      <c r="E3745" t="s">
        <v>7846</v>
      </c>
    </row>
    <row r="3746" spans="1:5" x14ac:dyDescent="0.35">
      <c r="A3746" t="str">
        <f>"2025-02-12"</f>
        <v>2025-02-12</v>
      </c>
      <c r="B3746" s="1" t="str">
        <f t="shared" si="58"/>
        <v>02/12/2025</v>
      </c>
      <c r="C3746" t="str">
        <f>"94.1643"</f>
        <v>94.1643</v>
      </c>
      <c r="D3746" s="1" t="s">
        <v>3737</v>
      </c>
      <c r="E3746" t="s">
        <v>7847</v>
      </c>
    </row>
    <row r="3747" spans="1:5" x14ac:dyDescent="0.35">
      <c r="A3747" t="str">
        <f>"2025-02-13"</f>
        <v>2025-02-13</v>
      </c>
      <c r="B3747" s="1" t="str">
        <f t="shared" si="58"/>
        <v>02/13/2025</v>
      </c>
      <c r="C3747" t="str">
        <f>"93.9682"</f>
        <v>93.9682</v>
      </c>
      <c r="D3747" s="1" t="s">
        <v>3738</v>
      </c>
      <c r="E3747" t="s">
        <v>7848</v>
      </c>
    </row>
    <row r="3748" spans="1:5" x14ac:dyDescent="0.35">
      <c r="A3748" t="str">
        <f>"2025-02-14"</f>
        <v>2025-02-14</v>
      </c>
      <c r="B3748" s="1" t="str">
        <f t="shared" si="58"/>
        <v>02/14/2025</v>
      </c>
      <c r="C3748" t="str">
        <f>"94.3901"</f>
        <v>94.3901</v>
      </c>
      <c r="D3748" s="1" t="s">
        <v>3739</v>
      </c>
      <c r="E3748" t="s">
        <v>7849</v>
      </c>
    </row>
    <row r="3749" spans="1:5" x14ac:dyDescent="0.35">
      <c r="A3749" t="str">
        <f>"2025-02-18"</f>
        <v>2025-02-18</v>
      </c>
      <c r="B3749" s="1" t="str">
        <f t="shared" si="58"/>
        <v>02/18/2025</v>
      </c>
      <c r="C3749" t="str">
        <f>"95.1657"</f>
        <v>95.1657</v>
      </c>
      <c r="D3749" s="1" t="s">
        <v>3740</v>
      </c>
      <c r="E3749" t="s">
        <v>7850</v>
      </c>
    </row>
    <row r="3750" spans="1:5" x14ac:dyDescent="0.35">
      <c r="A3750" t="str">
        <f>"2025-02-19"</f>
        <v>2025-02-19</v>
      </c>
      <c r="B3750" s="1" t="str">
        <f t="shared" si="58"/>
        <v>02/19/2025</v>
      </c>
      <c r="C3750" t="str">
        <f>"93.4251"</f>
        <v>93.4251</v>
      </c>
      <c r="D3750" s="1" t="s">
        <v>3741</v>
      </c>
      <c r="E3750" t="s">
        <v>7851</v>
      </c>
    </row>
    <row r="3751" spans="1:5" x14ac:dyDescent="0.35">
      <c r="A3751" t="str">
        <f>"2025-02-20"</f>
        <v>2025-02-20</v>
      </c>
      <c r="B3751" s="1" t="str">
        <f t="shared" si="58"/>
        <v>02/20/2025</v>
      </c>
      <c r="C3751" t="str">
        <f>"92.0052"</f>
        <v>92.0052</v>
      </c>
      <c r="D3751" s="1" t="s">
        <v>3742</v>
      </c>
      <c r="E3751" t="s">
        <v>7852</v>
      </c>
    </row>
    <row r="3752" spans="1:5" x14ac:dyDescent="0.35">
      <c r="A3752" t="str">
        <f>"2025-02-21"</f>
        <v>2025-02-21</v>
      </c>
      <c r="B3752" s="1" t="str">
        <f t="shared" si="58"/>
        <v>02/21/2025</v>
      </c>
      <c r="C3752" t="str">
        <f>"89.9904"</f>
        <v>89.9904</v>
      </c>
      <c r="D3752" s="1" t="s">
        <v>3743</v>
      </c>
      <c r="E3752" t="s">
        <v>7853</v>
      </c>
    </row>
    <row r="3753" spans="1:5" x14ac:dyDescent="0.35">
      <c r="A3753" t="str">
        <f>"2025-02-24"</f>
        <v>2025-02-24</v>
      </c>
      <c r="B3753" s="1" t="str">
        <f t="shared" si="58"/>
        <v>02/24/2025</v>
      </c>
      <c r="C3753" t="str">
        <f>"89.5974"</f>
        <v>89.5974</v>
      </c>
      <c r="D3753" s="1" t="s">
        <v>3744</v>
      </c>
      <c r="E3753" t="s">
        <v>7854</v>
      </c>
    </row>
    <row r="3754" spans="1:5" x14ac:dyDescent="0.35">
      <c r="A3754" t="str">
        <f>"2025-02-25"</f>
        <v>2025-02-25</v>
      </c>
      <c r="B3754" s="1" t="str">
        <f t="shared" si="58"/>
        <v>02/25/2025</v>
      </c>
      <c r="C3754" t="str">
        <f>"89.5225"</f>
        <v>89.5225</v>
      </c>
      <c r="D3754" s="1" t="s">
        <v>3745</v>
      </c>
      <c r="E3754" t="s">
        <v>7855</v>
      </c>
    </row>
    <row r="3755" spans="1:5" x14ac:dyDescent="0.35">
      <c r="A3755" t="str">
        <f>"2025-02-26"</f>
        <v>2025-02-26</v>
      </c>
      <c r="B3755" s="1" t="str">
        <f t="shared" si="58"/>
        <v>02/26/2025</v>
      </c>
      <c r="C3755" t="str">
        <f>"90.1516"</f>
        <v>90.1516</v>
      </c>
      <c r="D3755" s="1" t="s">
        <v>3746</v>
      </c>
      <c r="E3755" t="s">
        <v>7856</v>
      </c>
    </row>
    <row r="3756" spans="1:5" x14ac:dyDescent="0.35">
      <c r="A3756" t="str">
        <f>"2025-02-27"</f>
        <v>2025-02-27</v>
      </c>
      <c r="B3756" s="1" t="str">
        <f t="shared" si="58"/>
        <v>02/27/2025</v>
      </c>
      <c r="C3756" t="str">
        <f>"93.4261"</f>
        <v>93.4261</v>
      </c>
      <c r="D3756" s="1" t="s">
        <v>3747</v>
      </c>
      <c r="E3756" t="s">
        <v>7857</v>
      </c>
    </row>
    <row r="3757" spans="1:5" x14ac:dyDescent="0.35">
      <c r="A3757" t="str">
        <f>"2025-02-28"</f>
        <v>2025-02-28</v>
      </c>
      <c r="B3757" s="1" t="str">
        <f t="shared" si="58"/>
        <v>02/28/2025</v>
      </c>
      <c r="C3757" t="str">
        <f>"92.5506"</f>
        <v>92.5506</v>
      </c>
      <c r="D3757" s="1" t="s">
        <v>3748</v>
      </c>
      <c r="E3757" t="s">
        <v>7858</v>
      </c>
    </row>
    <row r="3758" spans="1:5" x14ac:dyDescent="0.35">
      <c r="A3758" t="str">
        <f>"2025-03-03"</f>
        <v>2025-03-03</v>
      </c>
      <c r="B3758" s="1" t="str">
        <f t="shared" si="58"/>
        <v>03/03/2025</v>
      </c>
      <c r="C3758" t="str">
        <f>"92.71"</f>
        <v>92.71</v>
      </c>
      <c r="D3758" s="1" t="s">
        <v>3749</v>
      </c>
      <c r="E3758" t="s">
        <v>7859</v>
      </c>
    </row>
    <row r="3759" spans="1:5" x14ac:dyDescent="0.35">
      <c r="A3759" t="str">
        <f>"2025-03-04"</f>
        <v>2025-03-04</v>
      </c>
      <c r="B3759" s="1" t="str">
        <f t="shared" si="58"/>
        <v>03/04/2025</v>
      </c>
      <c r="C3759" t="str">
        <f>"93.0752"</f>
        <v>93.0752</v>
      </c>
      <c r="D3759" s="1" t="s">
        <v>3750</v>
      </c>
      <c r="E3759" t="s">
        <v>7860</v>
      </c>
    </row>
    <row r="3760" spans="1:5" x14ac:dyDescent="0.35">
      <c r="A3760" t="str">
        <f>"2025-03-05"</f>
        <v>2025-03-05</v>
      </c>
      <c r="B3760" s="1" t="str">
        <f t="shared" si="58"/>
        <v>03/05/2025</v>
      </c>
      <c r="C3760" t="str">
        <f>"95.5405"</f>
        <v>95.5405</v>
      </c>
      <c r="D3760" s="1" t="s">
        <v>3751</v>
      </c>
      <c r="E3760" t="s">
        <v>7861</v>
      </c>
    </row>
    <row r="3761" spans="1:5" x14ac:dyDescent="0.35">
      <c r="A3761" t="str">
        <f>"2025-03-06"</f>
        <v>2025-03-06</v>
      </c>
      <c r="B3761" s="1" t="str">
        <f t="shared" si="58"/>
        <v>03/06/2025</v>
      </c>
      <c r="C3761" t="str">
        <f>"98.4086"</f>
        <v>98.4086</v>
      </c>
      <c r="D3761" s="1" t="s">
        <v>3752</v>
      </c>
      <c r="E3761" t="s">
        <v>7862</v>
      </c>
    </row>
    <row r="3762" spans="1:5" x14ac:dyDescent="0.35">
      <c r="A3762" t="str">
        <f>"2025-03-07"</f>
        <v>2025-03-07</v>
      </c>
      <c r="B3762" s="1" t="str">
        <f t="shared" si="58"/>
        <v>03/07/2025</v>
      </c>
      <c r="C3762" t="str">
        <f>"98.532"</f>
        <v>98.532</v>
      </c>
      <c r="D3762" s="1" t="s">
        <v>3753</v>
      </c>
      <c r="E3762" t="s">
        <v>7863</v>
      </c>
    </row>
    <row r="3763" spans="1:5" x14ac:dyDescent="0.35">
      <c r="A3763" t="str">
        <f>"2025-03-10"</f>
        <v>2025-03-10</v>
      </c>
      <c r="B3763" s="1" t="str">
        <f t="shared" si="58"/>
        <v>03/10/2025</v>
      </c>
      <c r="C3763" t="str">
        <f>"98.1931"</f>
        <v>98.1931</v>
      </c>
      <c r="D3763" s="1" t="s">
        <v>3754</v>
      </c>
      <c r="E3763" t="s">
        <v>7864</v>
      </c>
    </row>
    <row r="3764" spans="1:5" x14ac:dyDescent="0.35">
      <c r="A3764" t="str">
        <f>"2025-03-11"</f>
        <v>2025-03-11</v>
      </c>
      <c r="B3764" s="1" t="str">
        <f t="shared" si="58"/>
        <v>03/11/2025</v>
      </c>
      <c r="C3764" t="str">
        <f>"96.497"</f>
        <v>96.497</v>
      </c>
      <c r="D3764" s="1" t="s">
        <v>3755</v>
      </c>
      <c r="E3764" t="s">
        <v>7865</v>
      </c>
    </row>
    <row r="3765" spans="1:5" x14ac:dyDescent="0.35">
      <c r="A3765" t="str">
        <f>"2025-03-12"</f>
        <v>2025-03-12</v>
      </c>
      <c r="B3765" s="1" t="str">
        <f t="shared" si="58"/>
        <v>03/12/2025</v>
      </c>
      <c r="C3765" t="str">
        <f>"96.4395"</f>
        <v>96.4395</v>
      </c>
      <c r="D3765" s="1" t="s">
        <v>3756</v>
      </c>
      <c r="E3765" t="s">
        <v>7866</v>
      </c>
    </row>
    <row r="3766" spans="1:5" x14ac:dyDescent="0.35">
      <c r="A3766" t="str">
        <f>"2025-03-13"</f>
        <v>2025-03-13</v>
      </c>
      <c r="B3766" s="1" t="str">
        <f t="shared" si="58"/>
        <v>03/13/2025</v>
      </c>
      <c r="C3766" t="str">
        <f>"96.1994"</f>
        <v>96.1994</v>
      </c>
      <c r="D3766" s="1" t="s">
        <v>3757</v>
      </c>
      <c r="E3766" t="s">
        <v>7867</v>
      </c>
    </row>
    <row r="3767" spans="1:5" x14ac:dyDescent="0.35">
      <c r="A3767" t="str">
        <f>"2025-03-14"</f>
        <v>2025-03-14</v>
      </c>
      <c r="B3767" s="1" t="str">
        <f t="shared" si="58"/>
        <v>03/14/2025</v>
      </c>
      <c r="C3767" t="str">
        <f>"95.4312"</f>
        <v>95.4312</v>
      </c>
      <c r="D3767" s="1" t="s">
        <v>3758</v>
      </c>
      <c r="E3767" t="s">
        <v>7868</v>
      </c>
    </row>
    <row r="3768" spans="1:5" x14ac:dyDescent="0.35">
      <c r="A3768" t="str">
        <f>"2025-03-17"</f>
        <v>2025-03-17</v>
      </c>
      <c r="B3768" s="1" t="str">
        <f t="shared" si="58"/>
        <v>03/17/2025</v>
      </c>
      <c r="C3768" t="str">
        <f>"94.5124"</f>
        <v>94.5124</v>
      </c>
      <c r="D3768" s="1" t="s">
        <v>3759</v>
      </c>
      <c r="E3768" t="s">
        <v>7869</v>
      </c>
    </row>
    <row r="3769" spans="1:5" x14ac:dyDescent="0.35">
      <c r="A3769" t="str">
        <f>"2025-03-18"</f>
        <v>2025-03-18</v>
      </c>
      <c r="B3769" s="1" t="str">
        <f t="shared" si="58"/>
        <v>03/18/2025</v>
      </c>
      <c r="C3769" t="str">
        <f>"91.4794"</f>
        <v>91.4794</v>
      </c>
      <c r="D3769" s="1" t="s">
        <v>3760</v>
      </c>
      <c r="E3769" t="s">
        <v>7870</v>
      </c>
    </row>
    <row r="3770" spans="1:5" x14ac:dyDescent="0.35">
      <c r="A3770" t="str">
        <f>"2025-03-19"</f>
        <v>2025-03-19</v>
      </c>
      <c r="B3770" s="1" t="str">
        <f t="shared" si="58"/>
        <v>03/19/2025</v>
      </c>
      <c r="C3770" t="str">
        <f>"84.1075"</f>
        <v>84.1075</v>
      </c>
      <c r="D3770" s="1" t="s">
        <v>3761</v>
      </c>
      <c r="E3770" t="s">
        <v>7871</v>
      </c>
    </row>
    <row r="3771" spans="1:5" x14ac:dyDescent="0.35">
      <c r="A3771" t="str">
        <f>"2025-03-20"</f>
        <v>2025-03-20</v>
      </c>
      <c r="B3771" s="1" t="str">
        <f t="shared" si="58"/>
        <v>03/20/2025</v>
      </c>
      <c r="C3771" t="str">
        <f>"82.9432"</f>
        <v>82.9432</v>
      </c>
      <c r="D3771" s="1" t="s">
        <v>3762</v>
      </c>
      <c r="E3771" t="s">
        <v>7872</v>
      </c>
    </row>
    <row r="3772" spans="1:5" x14ac:dyDescent="0.35">
      <c r="A3772" t="str">
        <f>"2025-03-21"</f>
        <v>2025-03-21</v>
      </c>
      <c r="B3772" s="1" t="str">
        <f t="shared" si="58"/>
        <v>03/21/2025</v>
      </c>
      <c r="C3772" t="str">
        <f>"77.6037"</f>
        <v>77.6037</v>
      </c>
      <c r="D3772" s="1" t="s">
        <v>3763</v>
      </c>
      <c r="E3772" t="s">
        <v>7873</v>
      </c>
    </row>
    <row r="3773" spans="1:5" x14ac:dyDescent="0.35">
      <c r="A3773" t="str">
        <f>"2025-03-24"</f>
        <v>2025-03-24</v>
      </c>
      <c r="B3773" s="1" t="str">
        <f t="shared" si="58"/>
        <v>03/24/2025</v>
      </c>
      <c r="C3773" t="str">
        <f>"82.3609"</f>
        <v>82.3609</v>
      </c>
      <c r="D3773" s="1" t="s">
        <v>3764</v>
      </c>
      <c r="E3773" t="s">
        <v>7874</v>
      </c>
    </row>
    <row r="3774" spans="1:5" x14ac:dyDescent="0.35">
      <c r="A3774" t="str">
        <f>"2025-03-25"</f>
        <v>2025-03-25</v>
      </c>
      <c r="B3774" s="1" t="str">
        <f t="shared" si="58"/>
        <v>03/25/2025</v>
      </c>
      <c r="C3774" t="str">
        <f>"84.7961"</f>
        <v>84.7961</v>
      </c>
      <c r="D3774" s="1" t="s">
        <v>3765</v>
      </c>
      <c r="E3774" t="s">
        <v>7875</v>
      </c>
    </row>
    <row r="3775" spans="1:5" x14ac:dyDescent="0.35">
      <c r="A3775" t="str">
        <f>"2025-03-26"</f>
        <v>2025-03-26</v>
      </c>
      <c r="B3775" s="1" t="str">
        <f t="shared" si="58"/>
        <v>03/26/2025</v>
      </c>
      <c r="C3775" t="str">
        <f>"83.9551"</f>
        <v>83.9551</v>
      </c>
      <c r="D3775" s="1" t="s">
        <v>3766</v>
      </c>
      <c r="E3775" t="s">
        <v>7876</v>
      </c>
    </row>
    <row r="3776" spans="1:5" x14ac:dyDescent="0.35">
      <c r="A3776" t="str">
        <f>"2025-03-27"</f>
        <v>2025-03-27</v>
      </c>
      <c r="B3776" s="1" t="str">
        <f t="shared" si="58"/>
        <v>03/27/2025</v>
      </c>
      <c r="C3776" t="str">
        <f>"82.4667"</f>
        <v>82.4667</v>
      </c>
      <c r="D3776" s="1" t="s">
        <v>3767</v>
      </c>
      <c r="E3776" t="s">
        <v>7877</v>
      </c>
    </row>
    <row r="3777" spans="1:5" x14ac:dyDescent="0.35">
      <c r="A3777" t="str">
        <f>"2025-03-28"</f>
        <v>2025-03-28</v>
      </c>
      <c r="B3777" s="1" t="str">
        <f t="shared" si="58"/>
        <v>03/28/2025</v>
      </c>
      <c r="C3777" t="str">
        <f>"82.4674"</f>
        <v>82.4674</v>
      </c>
      <c r="D3777" s="1" t="s">
        <v>3768</v>
      </c>
      <c r="E3777" t="s">
        <v>7878</v>
      </c>
    </row>
    <row r="3778" spans="1:5" x14ac:dyDescent="0.35">
      <c r="A3778" t="str">
        <f>"2025-04-02"</f>
        <v>2025-04-02</v>
      </c>
      <c r="B3778" s="1" t="str">
        <f t="shared" si="58"/>
        <v>04/02/2025</v>
      </c>
      <c r="C3778" t="str">
        <f>"79.5905"</f>
        <v>79.5905</v>
      </c>
      <c r="D3778" s="1" t="s">
        <v>3769</v>
      </c>
      <c r="E3778" t="s">
        <v>7879</v>
      </c>
    </row>
    <row r="3779" spans="1:5" x14ac:dyDescent="0.35">
      <c r="A3779" t="str">
        <f>"2025-04-03"</f>
        <v>2025-04-03</v>
      </c>
      <c r="B3779" s="1" t="str">
        <f t="shared" ref="B3779:B3842" si="59">LEFT(RIGHT(A3779,5),2)&amp;"/"&amp;RIGHT(A3779,2)&amp;"/"&amp;LEFT(A3779,4)</f>
        <v>04/03/2025</v>
      </c>
      <c r="C3779" t="str">
        <f>"80.4621"</f>
        <v>80.4621</v>
      </c>
      <c r="D3779" s="1" t="s">
        <v>3770</v>
      </c>
      <c r="E3779" t="s">
        <v>7880</v>
      </c>
    </row>
    <row r="3780" spans="1:5" x14ac:dyDescent="0.35">
      <c r="A3780" t="str">
        <f>"2025-04-04"</f>
        <v>2025-04-04</v>
      </c>
      <c r="B3780" s="1" t="str">
        <f t="shared" si="59"/>
        <v>04/04/2025</v>
      </c>
      <c r="C3780" t="str">
        <f>"82.8036"</f>
        <v>82.8036</v>
      </c>
      <c r="D3780" s="1" t="s">
        <v>3771</v>
      </c>
      <c r="E3780" t="s">
        <v>7881</v>
      </c>
    </row>
    <row r="3781" spans="1:5" x14ac:dyDescent="0.35">
      <c r="A3781" t="str">
        <f>"2025-04-07"</f>
        <v>2025-04-07</v>
      </c>
      <c r="B3781" s="1" t="str">
        <f t="shared" si="59"/>
        <v>04/07/2025</v>
      </c>
      <c r="C3781" t="str">
        <f>"85.9733"</f>
        <v>85.9733</v>
      </c>
      <c r="D3781" s="1" t="s">
        <v>3772</v>
      </c>
      <c r="E3781" t="s">
        <v>7882</v>
      </c>
    </row>
    <row r="3782" spans="1:5" x14ac:dyDescent="0.35">
      <c r="A3782" t="str">
        <f>"2025-04-08"</f>
        <v>2025-04-08</v>
      </c>
      <c r="B3782" s="1" t="str">
        <f t="shared" si="59"/>
        <v>04/08/2025</v>
      </c>
      <c r="C3782" t="str">
        <f>"84.9868"</f>
        <v>84.9868</v>
      </c>
      <c r="D3782" s="1" t="s">
        <v>3773</v>
      </c>
      <c r="E3782" t="s">
        <v>7883</v>
      </c>
    </row>
    <row r="3783" spans="1:5" x14ac:dyDescent="0.35">
      <c r="A3783" t="str">
        <f>"2025-04-09"</f>
        <v>2025-04-09</v>
      </c>
      <c r="B3783" s="1" t="str">
        <f t="shared" si="59"/>
        <v>04/09/2025</v>
      </c>
      <c r="C3783" t="str">
        <f>"81.9278"</f>
        <v>81.9278</v>
      </c>
      <c r="D3783" s="1" t="s">
        <v>3774</v>
      </c>
      <c r="E3783" t="s">
        <v>7884</v>
      </c>
    </row>
    <row r="3784" spans="1:5" x14ac:dyDescent="0.35">
      <c r="A3784" t="str">
        <f>"2025-04-10"</f>
        <v>2025-04-10</v>
      </c>
      <c r="B3784" s="1" t="str">
        <f t="shared" si="59"/>
        <v>04/10/2025</v>
      </c>
      <c r="C3784" t="str">
        <f>"79.4592"</f>
        <v>79.4592</v>
      </c>
      <c r="D3784" s="1" t="s">
        <v>3775</v>
      </c>
      <c r="E3784" t="s">
        <v>7885</v>
      </c>
    </row>
    <row r="3785" spans="1:5" x14ac:dyDescent="0.35">
      <c r="A3785" t="str">
        <f>"2025-04-11"</f>
        <v>2025-04-11</v>
      </c>
      <c r="B3785" s="1" t="str">
        <f t="shared" si="59"/>
        <v>04/11/2025</v>
      </c>
      <c r="C3785" t="str">
        <f>"78.6735"</f>
        <v>78.6735</v>
      </c>
      <c r="D3785" s="1" t="s">
        <v>3776</v>
      </c>
      <c r="E3785" t="s">
        <v>7886</v>
      </c>
    </row>
    <row r="3786" spans="1:5" x14ac:dyDescent="0.35">
      <c r="A3786" t="str">
        <f>"2025-04-14"</f>
        <v>2025-04-14</v>
      </c>
      <c r="B3786" s="1" t="str">
        <f t="shared" si="59"/>
        <v>04/14/2025</v>
      </c>
      <c r="C3786" t="str">
        <f>"80.0361"</f>
        <v>80.0361</v>
      </c>
      <c r="D3786" s="1" t="s">
        <v>3777</v>
      </c>
      <c r="E3786" t="s">
        <v>7887</v>
      </c>
    </row>
    <row r="3787" spans="1:5" x14ac:dyDescent="0.35">
      <c r="A3787" t="str">
        <f>"2025-04-15"</f>
        <v>2025-04-15</v>
      </c>
      <c r="B3787" s="1" t="str">
        <f t="shared" si="59"/>
        <v>04/15/2025</v>
      </c>
      <c r="C3787" t="str">
        <f>"81.2936"</f>
        <v>81.2936</v>
      </c>
      <c r="D3787" s="1" t="s">
        <v>3778</v>
      </c>
      <c r="E3787" t="s">
        <v>7888</v>
      </c>
    </row>
    <row r="3788" spans="1:5" x14ac:dyDescent="0.35">
      <c r="A3788" t="str">
        <f>"2025-04-16"</f>
        <v>2025-04-16</v>
      </c>
      <c r="B3788" s="1" t="str">
        <f t="shared" si="59"/>
        <v>04/16/2025</v>
      </c>
      <c r="C3788" t="str">
        <f>"78.3232"</f>
        <v>78.3232</v>
      </c>
      <c r="D3788" s="1" t="s">
        <v>3779</v>
      </c>
      <c r="E3788" t="s">
        <v>7889</v>
      </c>
    </row>
    <row r="3789" spans="1:5" x14ac:dyDescent="0.35">
      <c r="A3789" t="str">
        <f>"2025-04-17"</f>
        <v>2025-04-17</v>
      </c>
      <c r="B3789" s="1" t="str">
        <f t="shared" si="59"/>
        <v>04/17/2025</v>
      </c>
      <c r="C3789" t="str">
        <f>"79.7272"</f>
        <v>79.7272</v>
      </c>
      <c r="D3789" s="1" t="s">
        <v>3780</v>
      </c>
      <c r="E3789" t="s">
        <v>7890</v>
      </c>
    </row>
    <row r="3790" spans="1:5" x14ac:dyDescent="0.35">
      <c r="A3790" t="str">
        <f>"2025-04-22"</f>
        <v>2025-04-22</v>
      </c>
      <c r="B3790" s="1" t="str">
        <f t="shared" si="59"/>
        <v>04/22/2025</v>
      </c>
      <c r="C3790" t="str">
        <f>"76.5434"</f>
        <v>76.5434</v>
      </c>
      <c r="D3790" s="1" t="s">
        <v>3781</v>
      </c>
      <c r="E3790" t="s">
        <v>7891</v>
      </c>
    </row>
    <row r="3791" spans="1:5" x14ac:dyDescent="0.35">
      <c r="A3791" t="str">
        <f>"2025-04-24"</f>
        <v>2025-04-24</v>
      </c>
      <c r="B3791" s="1" t="str">
        <f t="shared" si="59"/>
        <v>04/24/2025</v>
      </c>
      <c r="C3791" t="str">
        <f>"78.388"</f>
        <v>78.388</v>
      </c>
      <c r="D3791" s="1" t="s">
        <v>3782</v>
      </c>
      <c r="E3791" t="s">
        <v>7892</v>
      </c>
    </row>
    <row r="3792" spans="1:5" x14ac:dyDescent="0.35">
      <c r="A3792" t="str">
        <f>"2025-04-25"</f>
        <v>2025-04-25</v>
      </c>
      <c r="B3792" s="1" t="str">
        <f t="shared" si="59"/>
        <v>04/25/2025</v>
      </c>
      <c r="C3792" t="str">
        <f>"78.3795"</f>
        <v>78.3795</v>
      </c>
      <c r="D3792" s="1" t="s">
        <v>3783</v>
      </c>
      <c r="E3792" t="s">
        <v>7893</v>
      </c>
    </row>
    <row r="3793" spans="1:5" x14ac:dyDescent="0.35">
      <c r="A3793" t="str">
        <f>"2025-04-28"</f>
        <v>2025-04-28</v>
      </c>
      <c r="B3793" s="1" t="str">
        <f t="shared" si="59"/>
        <v>04/28/2025</v>
      </c>
      <c r="C3793" t="str">
        <f>"75.9686"</f>
        <v>75.9686</v>
      </c>
      <c r="D3793" s="1" t="s">
        <v>3784</v>
      </c>
      <c r="E3793" t="s">
        <v>7894</v>
      </c>
    </row>
    <row r="3794" spans="1:5" x14ac:dyDescent="0.35">
      <c r="A3794" t="str">
        <f>"2025-04-29"</f>
        <v>2025-04-29</v>
      </c>
      <c r="B3794" s="1" t="str">
        <f t="shared" si="59"/>
        <v>04/29/2025</v>
      </c>
      <c r="C3794" t="str">
        <f>"72.5903"</f>
        <v>72.5903</v>
      </c>
      <c r="D3794" s="1" t="s">
        <v>3785</v>
      </c>
      <c r="E3794" t="s">
        <v>7895</v>
      </c>
    </row>
    <row r="3795" spans="1:5" x14ac:dyDescent="0.35">
      <c r="A3795" t="str">
        <f>"2025-04-30"</f>
        <v>2025-04-30</v>
      </c>
      <c r="B3795" s="1" t="str">
        <f t="shared" si="59"/>
        <v>04/30/2025</v>
      </c>
      <c r="C3795" t="str">
        <f>"69.4839"</f>
        <v>69.4839</v>
      </c>
      <c r="D3795" s="1" t="s">
        <v>3786</v>
      </c>
      <c r="E3795" t="s">
        <v>7896</v>
      </c>
    </row>
    <row r="3796" spans="1:5" x14ac:dyDescent="0.35">
      <c r="A3796" t="str">
        <f>"2025-05-02"</f>
        <v>2025-05-02</v>
      </c>
      <c r="B3796" s="1" t="str">
        <f t="shared" si="59"/>
        <v>05/02/2025</v>
      </c>
      <c r="C3796" t="str">
        <f>"73.0683"</f>
        <v>73.0683</v>
      </c>
      <c r="D3796" s="1" t="s">
        <v>3787</v>
      </c>
      <c r="E3796" t="s">
        <v>7897</v>
      </c>
    </row>
    <row r="3797" spans="1:5" x14ac:dyDescent="0.35">
      <c r="A3797" t="str">
        <f>"2025-05-05"</f>
        <v>2025-05-05</v>
      </c>
      <c r="B3797" s="1" t="str">
        <f t="shared" si="59"/>
        <v>05/05/2025</v>
      </c>
      <c r="C3797" t="str">
        <f>"71.596"</f>
        <v>71.596</v>
      </c>
      <c r="D3797" s="1" t="s">
        <v>3788</v>
      </c>
      <c r="E3797" t="s">
        <v>7898</v>
      </c>
    </row>
    <row r="3798" spans="1:5" x14ac:dyDescent="0.35">
      <c r="A3798" t="str">
        <f>"2025-05-06"</f>
        <v>2025-05-06</v>
      </c>
      <c r="B3798" s="1" t="str">
        <f t="shared" si="59"/>
        <v>05/06/2025</v>
      </c>
      <c r="C3798" t="str">
        <f>"68.8941"</f>
        <v>68.8941</v>
      </c>
      <c r="D3798" s="1" t="s">
        <v>3789</v>
      </c>
      <c r="E3798" t="s">
        <v>7899</v>
      </c>
    </row>
    <row r="3799" spans="1:5" x14ac:dyDescent="0.35">
      <c r="A3799" t="str">
        <f>"2025-05-07"</f>
        <v>2025-05-07</v>
      </c>
      <c r="B3799" s="1" t="str">
        <f t="shared" si="59"/>
        <v>05/07/2025</v>
      </c>
      <c r="C3799" t="str">
        <f>"66.3698"</f>
        <v>66.3698</v>
      </c>
      <c r="D3799" s="1" t="s">
        <v>3790</v>
      </c>
      <c r="E3799" t="s">
        <v>7900</v>
      </c>
    </row>
    <row r="3800" spans="1:5" x14ac:dyDescent="0.35">
      <c r="A3800" t="str">
        <f>"2025-05-08"</f>
        <v>2025-05-08</v>
      </c>
      <c r="B3800" s="1" t="str">
        <f t="shared" si="59"/>
        <v>05/08/2025</v>
      </c>
      <c r="C3800" t="str">
        <f>"69.5832"</f>
        <v>69.5832</v>
      </c>
      <c r="D3800" s="1" t="s">
        <v>3791</v>
      </c>
      <c r="E3800" t="s">
        <v>7901</v>
      </c>
    </row>
    <row r="3801" spans="1:5" x14ac:dyDescent="0.35">
      <c r="A3801" t="str">
        <f>"2025-05-09"</f>
        <v>2025-05-09</v>
      </c>
      <c r="B3801" s="1" t="str">
        <f t="shared" si="59"/>
        <v>05/09/2025</v>
      </c>
      <c r="C3801" t="str">
        <f>"70.7983"</f>
        <v>70.7983</v>
      </c>
      <c r="D3801" s="1" t="s">
        <v>3792</v>
      </c>
      <c r="E3801" t="s">
        <v>4321</v>
      </c>
    </row>
    <row r="3802" spans="1:5" x14ac:dyDescent="0.35">
      <c r="A3802" t="str">
        <f>"2025-05-12"</f>
        <v>2025-05-12</v>
      </c>
      <c r="B3802" s="1" t="str">
        <f t="shared" si="59"/>
        <v>05/12/2025</v>
      </c>
      <c r="C3802" t="str">
        <f>"77.1707"</f>
        <v>77.1707</v>
      </c>
      <c r="D3802" s="1" t="s">
        <v>3793</v>
      </c>
      <c r="E3802" t="s">
        <v>7902</v>
      </c>
    </row>
    <row r="3803" spans="1:5" x14ac:dyDescent="0.35">
      <c r="A3803" t="str">
        <f>"2025-05-13"</f>
        <v>2025-05-13</v>
      </c>
      <c r="B3803" s="1" t="str">
        <f t="shared" si="59"/>
        <v>05/13/2025</v>
      </c>
      <c r="C3803" t="str">
        <f>"75.3516"</f>
        <v>75.3516</v>
      </c>
      <c r="D3803" s="1" t="s">
        <v>3794</v>
      </c>
      <c r="E3803" t="s">
        <v>7903</v>
      </c>
    </row>
    <row r="3804" spans="1:5" x14ac:dyDescent="0.35">
      <c r="A3804" t="str">
        <f>"2025-05-14"</f>
        <v>2025-05-14</v>
      </c>
      <c r="B3804" s="1" t="str">
        <f t="shared" si="59"/>
        <v>05/14/2025</v>
      </c>
      <c r="C3804" t="str">
        <f>"75.4215"</f>
        <v>75.4215</v>
      </c>
      <c r="D3804" s="1" t="s">
        <v>3795</v>
      </c>
      <c r="E3804" t="s">
        <v>7904</v>
      </c>
    </row>
    <row r="3805" spans="1:5" x14ac:dyDescent="0.35">
      <c r="A3805" t="str">
        <f>"2025-05-15"</f>
        <v>2025-05-15</v>
      </c>
      <c r="B3805" s="1" t="str">
        <f t="shared" si="59"/>
        <v>05/15/2025</v>
      </c>
      <c r="C3805" t="str">
        <f>"73.1757"</f>
        <v>73.1757</v>
      </c>
      <c r="D3805" s="1" t="s">
        <v>3796</v>
      </c>
      <c r="E3805" t="s">
        <v>7905</v>
      </c>
    </row>
    <row r="3806" spans="1:5" x14ac:dyDescent="0.35">
      <c r="A3806" t="str">
        <f>"2025-05-16"</f>
        <v>2025-05-16</v>
      </c>
      <c r="B3806" s="1" t="str">
        <f t="shared" si="59"/>
        <v>05/16/2025</v>
      </c>
      <c r="C3806" t="str">
        <f>"73.7463"</f>
        <v>73.7463</v>
      </c>
      <c r="D3806" s="1" t="s">
        <v>3797</v>
      </c>
      <c r="E3806" t="s">
        <v>7906</v>
      </c>
    </row>
    <row r="3807" spans="1:5" x14ac:dyDescent="0.35">
      <c r="A3807" t="str">
        <f>"2025-05-20"</f>
        <v>2025-05-20</v>
      </c>
      <c r="B3807" s="1" t="str">
        <f t="shared" si="59"/>
        <v>05/20/2025</v>
      </c>
      <c r="C3807" t="str">
        <f>"69.9925"</f>
        <v>69.9925</v>
      </c>
      <c r="D3807" s="1" t="s">
        <v>3798</v>
      </c>
      <c r="E3807" t="s">
        <v>7907</v>
      </c>
    </row>
    <row r="3808" spans="1:5" x14ac:dyDescent="0.35">
      <c r="A3808" t="str">
        <f>"2025-05-21"</f>
        <v>2025-05-21</v>
      </c>
      <c r="B3808" s="1" t="str">
        <f t="shared" si="59"/>
        <v>05/21/2025</v>
      </c>
      <c r="C3808" t="str">
        <f>"67.7043"</f>
        <v>67.7043</v>
      </c>
      <c r="D3808" s="1" t="s">
        <v>3799</v>
      </c>
      <c r="E3808" t="s">
        <v>7908</v>
      </c>
    </row>
    <row r="3809" spans="1:5" x14ac:dyDescent="0.35">
      <c r="A3809" t="str">
        <f>"2025-05-22"</f>
        <v>2025-05-22</v>
      </c>
      <c r="B3809" s="1" t="str">
        <f t="shared" si="59"/>
        <v>05/22/2025</v>
      </c>
      <c r="C3809" t="str">
        <f>"69.1579"</f>
        <v>69.1579</v>
      </c>
      <c r="D3809" s="1" t="s">
        <v>3800</v>
      </c>
      <c r="E3809" t="s">
        <v>7909</v>
      </c>
    </row>
    <row r="3810" spans="1:5" x14ac:dyDescent="0.35">
      <c r="A3810" t="str">
        <f>"2025-05-23"</f>
        <v>2025-05-23</v>
      </c>
      <c r="B3810" s="1" t="str">
        <f t="shared" si="59"/>
        <v>05/23/2025</v>
      </c>
      <c r="C3810" t="str">
        <f>"66.2734"</f>
        <v>66.2734</v>
      </c>
      <c r="D3810" s="1" t="s">
        <v>3801</v>
      </c>
      <c r="E3810" t="s">
        <v>7910</v>
      </c>
    </row>
    <row r="3811" spans="1:5" x14ac:dyDescent="0.35">
      <c r="A3811" t="str">
        <f>"2025-05-27"</f>
        <v>2025-05-27</v>
      </c>
      <c r="B3811" s="1" t="str">
        <f t="shared" si="59"/>
        <v>05/27/2025</v>
      </c>
      <c r="C3811" t="str">
        <f>"66.489"</f>
        <v>66.489</v>
      </c>
      <c r="D3811" s="1" t="s">
        <v>3802</v>
      </c>
      <c r="E3811" t="s">
        <v>7911</v>
      </c>
    </row>
    <row r="3812" spans="1:5" x14ac:dyDescent="0.35">
      <c r="A3812" t="str">
        <f>"2025-05-28"</f>
        <v>2025-05-28</v>
      </c>
      <c r="B3812" s="1" t="str">
        <f t="shared" si="59"/>
        <v>05/28/2025</v>
      </c>
      <c r="C3812" t="str">
        <f>"66.8508"</f>
        <v>66.8508</v>
      </c>
      <c r="D3812" s="1" t="s">
        <v>3803</v>
      </c>
      <c r="E3812" t="s">
        <v>7912</v>
      </c>
    </row>
    <row r="3813" spans="1:5" x14ac:dyDescent="0.35">
      <c r="A3813" t="str">
        <f>"2025-05-29"</f>
        <v>2025-05-29</v>
      </c>
      <c r="B3813" s="1" t="str">
        <f t="shared" si="59"/>
        <v>05/29/2025</v>
      </c>
      <c r="C3813" t="str">
        <f>"66.7979"</f>
        <v>66.7979</v>
      </c>
      <c r="D3813" s="1" t="s">
        <v>3804</v>
      </c>
      <c r="E3813" t="s">
        <v>7913</v>
      </c>
    </row>
    <row r="3814" spans="1:5" x14ac:dyDescent="0.35">
      <c r="A3814" t="str">
        <f>"2025-05-30"</f>
        <v>2025-05-30</v>
      </c>
      <c r="B3814" s="1" t="str">
        <f t="shared" si="59"/>
        <v>05/30/2025</v>
      </c>
      <c r="C3814" t="str">
        <f>"65.9081"</f>
        <v>65.9081</v>
      </c>
      <c r="D3814" s="1" t="s">
        <v>3805</v>
      </c>
      <c r="E3814" t="s">
        <v>7914</v>
      </c>
    </row>
    <row r="3815" spans="1:5" x14ac:dyDescent="0.35">
      <c r="A3815" t="str">
        <f>"2025-06-02"</f>
        <v>2025-06-02</v>
      </c>
      <c r="B3815" s="1" t="str">
        <f t="shared" si="59"/>
        <v>06/02/2025</v>
      </c>
      <c r="C3815" t="str">
        <f>"64.823"</f>
        <v>64.823</v>
      </c>
      <c r="D3815" s="1" t="s">
        <v>3806</v>
      </c>
      <c r="E3815" t="s">
        <v>7915</v>
      </c>
    </row>
    <row r="3816" spans="1:5" x14ac:dyDescent="0.35">
      <c r="A3816" t="str">
        <f>"2025-06-03"</f>
        <v>2025-06-03</v>
      </c>
      <c r="B3816" s="1" t="str">
        <f t="shared" si="59"/>
        <v>06/03/2025</v>
      </c>
      <c r="C3816" t="str">
        <f>"67.2969"</f>
        <v>67.2969</v>
      </c>
      <c r="D3816" s="1" t="s">
        <v>3807</v>
      </c>
      <c r="E3816" t="s">
        <v>7916</v>
      </c>
    </row>
    <row r="3817" spans="1:5" x14ac:dyDescent="0.35">
      <c r="A3817" t="str">
        <f>"2025-06-04"</f>
        <v>2025-06-04</v>
      </c>
      <c r="B3817" s="1" t="str">
        <f t="shared" si="59"/>
        <v>06/04/2025</v>
      </c>
      <c r="C3817" t="str">
        <f>"67.5987"</f>
        <v>67.5987</v>
      </c>
      <c r="D3817" s="1" t="s">
        <v>3808</v>
      </c>
      <c r="E3817" t="s">
        <v>7917</v>
      </c>
    </row>
    <row r="3818" spans="1:5" x14ac:dyDescent="0.35">
      <c r="A3818" t="str">
        <f>"2025-06-05"</f>
        <v>2025-06-05</v>
      </c>
      <c r="B3818" s="1" t="str">
        <f t="shared" si="59"/>
        <v>06/05/2025</v>
      </c>
      <c r="C3818" t="str">
        <f>"67.7329"</f>
        <v>67.7329</v>
      </c>
      <c r="D3818" s="1" t="s">
        <v>3809</v>
      </c>
      <c r="E3818" t="s">
        <v>6381</v>
      </c>
    </row>
    <row r="3819" spans="1:5" x14ac:dyDescent="0.35">
      <c r="A3819" t="str">
        <f>"2025-06-10"</f>
        <v>2025-06-10</v>
      </c>
      <c r="B3819" s="1" t="str">
        <f t="shared" si="59"/>
        <v>06/10/2025</v>
      </c>
      <c r="C3819" t="str">
        <f>"69.3527"</f>
        <v>69.3527</v>
      </c>
      <c r="D3819" s="1" t="s">
        <v>3810</v>
      </c>
      <c r="E3819" t="s">
        <v>7918</v>
      </c>
    </row>
    <row r="3820" spans="1:5" x14ac:dyDescent="0.35">
      <c r="A3820" t="str">
        <f>"2025-06-11"</f>
        <v>2025-06-11</v>
      </c>
      <c r="B3820" s="1" t="str">
        <f t="shared" si="59"/>
        <v>06/11/2025</v>
      </c>
      <c r="C3820" t="str">
        <f>"69.4081"</f>
        <v>69.4081</v>
      </c>
      <c r="D3820" s="1" t="s">
        <v>3811</v>
      </c>
      <c r="E3820" t="s">
        <v>7919</v>
      </c>
    </row>
    <row r="3821" spans="1:5" x14ac:dyDescent="0.35">
      <c r="A3821" t="str">
        <f>"2025-06-12"</f>
        <v>2025-06-12</v>
      </c>
      <c r="B3821" s="1" t="str">
        <f t="shared" si="59"/>
        <v>06/12/2025</v>
      </c>
      <c r="C3821" t="str">
        <f>"65.5371"</f>
        <v>65.5371</v>
      </c>
      <c r="D3821" s="1" t="s">
        <v>3812</v>
      </c>
      <c r="E3821" t="s">
        <v>7920</v>
      </c>
    </row>
    <row r="3822" spans="1:5" x14ac:dyDescent="0.35">
      <c r="A3822" t="str">
        <f>"2025-06-13"</f>
        <v>2025-06-13</v>
      </c>
      <c r="B3822" s="1" t="str">
        <f t="shared" si="59"/>
        <v>06/13/2025</v>
      </c>
      <c r="C3822" t="str">
        <f>"60.6887"</f>
        <v>60.6887</v>
      </c>
      <c r="D3822" s="1" t="s">
        <v>3813</v>
      </c>
      <c r="E3822" t="s">
        <v>7921</v>
      </c>
    </row>
    <row r="3823" spans="1:5" x14ac:dyDescent="0.35">
      <c r="A3823" t="str">
        <f>"2025-06-16"</f>
        <v>2025-06-16</v>
      </c>
      <c r="B3823" s="1" t="str">
        <f t="shared" si="59"/>
        <v>06/16/2025</v>
      </c>
      <c r="C3823" t="str">
        <f>"61.7025"</f>
        <v>61.7025</v>
      </c>
      <c r="D3823" s="1" t="s">
        <v>3814</v>
      </c>
      <c r="E3823" t="s">
        <v>7922</v>
      </c>
    </row>
    <row r="3824" spans="1:5" x14ac:dyDescent="0.35">
      <c r="A3824" t="str">
        <f>"2025-06-17"</f>
        <v>2025-06-17</v>
      </c>
      <c r="B3824" s="1" t="str">
        <f t="shared" si="59"/>
        <v>06/17/2025</v>
      </c>
      <c r="C3824" t="str">
        <f>"61.0341"</f>
        <v>61.0341</v>
      </c>
      <c r="D3824" s="1" t="s">
        <v>3815</v>
      </c>
      <c r="E3824" t="s">
        <v>7923</v>
      </c>
    </row>
    <row r="3825" spans="1:5" x14ac:dyDescent="0.35">
      <c r="A3825" t="str">
        <f>"2025-06-18"</f>
        <v>2025-06-18</v>
      </c>
      <c r="B3825" s="1" t="str">
        <f t="shared" si="59"/>
        <v>06/18/2025</v>
      </c>
      <c r="C3825" t="str">
        <f>"59.726"</f>
        <v>59.726</v>
      </c>
      <c r="D3825" s="1" t="s">
        <v>3816</v>
      </c>
      <c r="E3825" t="s">
        <v>7924</v>
      </c>
    </row>
    <row r="3826" spans="1:5" x14ac:dyDescent="0.35">
      <c r="A3826" t="str">
        <f>"2025-06-20"</f>
        <v>2025-06-20</v>
      </c>
      <c r="B3826" s="1" t="str">
        <f t="shared" si="59"/>
        <v>06/20/2025</v>
      </c>
      <c r="C3826" t="str">
        <f>"59.778"</f>
        <v>59.778</v>
      </c>
      <c r="D3826" s="1" t="s">
        <v>3817</v>
      </c>
      <c r="E3826" t="s">
        <v>7925</v>
      </c>
    </row>
    <row r="3827" spans="1:5" x14ac:dyDescent="0.35">
      <c r="A3827" t="str">
        <f>"2025-06-23"</f>
        <v>2025-06-23</v>
      </c>
      <c r="B3827" s="1" t="str">
        <f t="shared" si="59"/>
        <v>06/23/2025</v>
      </c>
      <c r="C3827" t="str">
        <f>"58.6535"</f>
        <v>58.6535</v>
      </c>
      <c r="D3827" s="1" t="s">
        <v>3818</v>
      </c>
      <c r="E3827" t="s">
        <v>7926</v>
      </c>
    </row>
    <row r="3828" spans="1:5" x14ac:dyDescent="0.35">
      <c r="A3828" t="str">
        <f>"2025-06-24"</f>
        <v>2025-06-24</v>
      </c>
      <c r="B3828" s="1" t="str">
        <f t="shared" si="59"/>
        <v>06/24/2025</v>
      </c>
      <c r="C3828" t="str">
        <f>"64.876"</f>
        <v>64.876</v>
      </c>
      <c r="D3828" s="1" t="s">
        <v>3819</v>
      </c>
      <c r="E3828" t="s">
        <v>7927</v>
      </c>
    </row>
    <row r="3829" spans="1:5" x14ac:dyDescent="0.35">
      <c r="A3829" t="str">
        <f>"2025-06-25"</f>
        <v>2025-06-25</v>
      </c>
      <c r="B3829" s="1" t="str">
        <f t="shared" si="59"/>
        <v>06/25/2025</v>
      </c>
      <c r="C3829" t="str">
        <f>"64.0545"</f>
        <v>64.0545</v>
      </c>
      <c r="D3829" s="1" t="s">
        <v>3820</v>
      </c>
      <c r="E3829" t="s">
        <v>7928</v>
      </c>
    </row>
    <row r="3830" spans="1:5" x14ac:dyDescent="0.35">
      <c r="A3830" t="str">
        <f>"2025-06-26"</f>
        <v>2025-06-26</v>
      </c>
      <c r="B3830" s="1" t="str">
        <f t="shared" si="59"/>
        <v>06/26/2025</v>
      </c>
      <c r="C3830" t="str">
        <f>"62.2491"</f>
        <v>62.2491</v>
      </c>
      <c r="D3830" s="1" t="s">
        <v>3821</v>
      </c>
      <c r="E3830" t="s">
        <v>7929</v>
      </c>
    </row>
    <row r="3831" spans="1:5" x14ac:dyDescent="0.35">
      <c r="A3831" t="str">
        <f>"2025-06-27"</f>
        <v>2025-06-27</v>
      </c>
      <c r="B3831" s="1" t="str">
        <f t="shared" si="59"/>
        <v>06/27/2025</v>
      </c>
      <c r="C3831" t="str">
        <f>"63.83"</f>
        <v>63.83</v>
      </c>
      <c r="D3831" s="1" t="s">
        <v>3822</v>
      </c>
      <c r="E3831" t="s">
        <v>7930</v>
      </c>
    </row>
    <row r="3832" spans="1:5" x14ac:dyDescent="0.35">
      <c r="A3832" t="str">
        <f>"2025-06-30"</f>
        <v>2025-06-30</v>
      </c>
      <c r="B3832" s="1" t="str">
        <f t="shared" si="59"/>
        <v>06/30/2025</v>
      </c>
      <c r="C3832" t="str">
        <f>"67.0989"</f>
        <v>67.0989</v>
      </c>
      <c r="D3832" s="1" t="s">
        <v>3823</v>
      </c>
      <c r="E3832" t="s">
        <v>7931</v>
      </c>
    </row>
    <row r="3833" spans="1:5" x14ac:dyDescent="0.35">
      <c r="A3833" t="str">
        <f>"2025-07-01"</f>
        <v>2025-07-01</v>
      </c>
      <c r="B3833" s="1" t="str">
        <f t="shared" si="59"/>
        <v>07/01/2025</v>
      </c>
      <c r="C3833" t="str">
        <f>"67.9931"</f>
        <v>67.9931</v>
      </c>
      <c r="D3833" s="1" t="s">
        <v>3824</v>
      </c>
      <c r="E3833" t="s">
        <v>7932</v>
      </c>
    </row>
    <row r="3834" spans="1:5" x14ac:dyDescent="0.35">
      <c r="A3834" t="str">
        <f>"2025-07-02"</f>
        <v>2025-07-02</v>
      </c>
      <c r="B3834" s="1" t="str">
        <f t="shared" si="59"/>
        <v>07/02/2025</v>
      </c>
      <c r="C3834" t="str">
        <f>"67.8595"</f>
        <v>67.8595</v>
      </c>
      <c r="D3834" s="1" t="s">
        <v>3825</v>
      </c>
      <c r="E3834" t="s">
        <v>7933</v>
      </c>
    </row>
    <row r="3835" spans="1:5" x14ac:dyDescent="0.35">
      <c r="A3835" t="str">
        <f>"2025-07-03"</f>
        <v>2025-07-03</v>
      </c>
      <c r="B3835" s="1" t="str">
        <f t="shared" si="59"/>
        <v>07/03/2025</v>
      </c>
      <c r="C3835" t="str">
        <f>"68.1979"</f>
        <v>68.1979</v>
      </c>
      <c r="D3835" s="1" t="s">
        <v>3826</v>
      </c>
      <c r="E3835" t="s">
        <v>7934</v>
      </c>
    </row>
    <row r="3836" spans="1:5" x14ac:dyDescent="0.35">
      <c r="A3836" t="str">
        <f>"2025-07-04"</f>
        <v>2025-07-04</v>
      </c>
      <c r="B3836" s="1" t="str">
        <f t="shared" si="59"/>
        <v>07/04/2025</v>
      </c>
      <c r="C3836" t="str">
        <f>"68.6164"</f>
        <v>68.6164</v>
      </c>
      <c r="D3836" s="1" t="s">
        <v>3827</v>
      </c>
      <c r="E3836" t="s">
        <v>7935</v>
      </c>
    </row>
    <row r="3837" spans="1:5" x14ac:dyDescent="0.35">
      <c r="A3837" t="str">
        <f>"2025-07-07"</f>
        <v>2025-07-07</v>
      </c>
      <c r="B3837" s="1" t="str">
        <f t="shared" si="59"/>
        <v>07/07/2025</v>
      </c>
      <c r="C3837" t="str">
        <f>"67.172"</f>
        <v>67.172</v>
      </c>
      <c r="D3837" s="1" t="s">
        <v>3828</v>
      </c>
      <c r="E3837" t="s">
        <v>7936</v>
      </c>
    </row>
    <row r="3838" spans="1:5" x14ac:dyDescent="0.35">
      <c r="A3838" t="str">
        <f>"2025-07-08"</f>
        <v>2025-07-08</v>
      </c>
      <c r="B3838" s="1" t="str">
        <f t="shared" si="59"/>
        <v>07/08/2025</v>
      </c>
      <c r="C3838" t="str">
        <f>"65.9498"</f>
        <v>65.9498</v>
      </c>
      <c r="D3838" s="1" t="s">
        <v>3829</v>
      </c>
      <c r="E3838" t="s">
        <v>7937</v>
      </c>
    </row>
    <row r="3839" spans="1:5" x14ac:dyDescent="0.35">
      <c r="A3839" t="str">
        <f>"2025-07-09"</f>
        <v>2025-07-09</v>
      </c>
      <c r="B3839" s="1" t="str">
        <f t="shared" si="59"/>
        <v>07/09/2025</v>
      </c>
      <c r="C3839" t="str">
        <f>"67.2813"</f>
        <v>67.2813</v>
      </c>
      <c r="D3839" s="1" t="s">
        <v>3830</v>
      </c>
      <c r="E3839" t="s">
        <v>7938</v>
      </c>
    </row>
    <row r="3840" spans="1:5" x14ac:dyDescent="0.35">
      <c r="A3840" t="str">
        <f>"2025-07-10"</f>
        <v>2025-07-10</v>
      </c>
      <c r="B3840" s="1" t="str">
        <f t="shared" si="59"/>
        <v>07/10/2025</v>
      </c>
      <c r="C3840" t="str">
        <f>"68.1306"</f>
        <v>68.1306</v>
      </c>
      <c r="D3840" s="1" t="s">
        <v>3831</v>
      </c>
      <c r="E3840" t="s">
        <v>7939</v>
      </c>
    </row>
    <row r="3841" spans="1:5" x14ac:dyDescent="0.35">
      <c r="A3841" t="str">
        <f>"2025-07-11"</f>
        <v>2025-07-11</v>
      </c>
      <c r="B3841" s="1" t="str">
        <f t="shared" si="59"/>
        <v>07/11/2025</v>
      </c>
      <c r="C3841" t="str">
        <f>"67.6193"</f>
        <v>67.6193</v>
      </c>
      <c r="D3841" s="1" t="s">
        <v>3832</v>
      </c>
      <c r="E3841" t="s">
        <v>7940</v>
      </c>
    </row>
    <row r="3842" spans="1:5" x14ac:dyDescent="0.35">
      <c r="A3842" t="str">
        <f>"2025-07-14"</f>
        <v>2025-07-14</v>
      </c>
      <c r="B3842" s="1" t="str">
        <f t="shared" si="59"/>
        <v>07/14/2025</v>
      </c>
      <c r="C3842" t="str">
        <f>"67.1886"</f>
        <v>67.1886</v>
      </c>
      <c r="D3842" s="1" t="s">
        <v>3833</v>
      </c>
      <c r="E3842" t="s">
        <v>7941</v>
      </c>
    </row>
    <row r="3843" spans="1:5" x14ac:dyDescent="0.35">
      <c r="A3843" t="str">
        <f>"2025-07-16"</f>
        <v>2025-07-16</v>
      </c>
      <c r="B3843" s="1" t="str">
        <f t="shared" ref="B3843:B3906" si="60">LEFT(RIGHT(A3843,5),2)&amp;"/"&amp;RIGHT(A3843,2)&amp;"/"&amp;LEFT(A3843,4)</f>
        <v>07/16/2025</v>
      </c>
      <c r="C3843" t="str">
        <f>"65.686"</f>
        <v>65.686</v>
      </c>
      <c r="D3843" s="1" t="s">
        <v>3834</v>
      </c>
      <c r="E3843" t="s">
        <v>7942</v>
      </c>
    </row>
    <row r="3844" spans="1:5" x14ac:dyDescent="0.35">
      <c r="A3844" t="str">
        <f>"2025-07-17"</f>
        <v>2025-07-17</v>
      </c>
      <c r="B3844" s="1" t="str">
        <f t="shared" si="60"/>
        <v>07/17/2025</v>
      </c>
      <c r="C3844" t="str">
        <f>"66.9357"</f>
        <v>66.9357</v>
      </c>
      <c r="D3844" s="1" t="s">
        <v>3835</v>
      </c>
      <c r="E3844" t="s">
        <v>7943</v>
      </c>
    </row>
    <row r="3845" spans="1:5" x14ac:dyDescent="0.35">
      <c r="A3845" t="str">
        <f>"2025-07-18"</f>
        <v>2025-07-18</v>
      </c>
      <c r="B3845" s="1" t="str">
        <f t="shared" si="60"/>
        <v>07/18/2025</v>
      </c>
      <c r="C3845" t="str">
        <f>"66.4631"</f>
        <v>66.4631</v>
      </c>
      <c r="D3845" s="1" t="s">
        <v>3836</v>
      </c>
      <c r="E3845" t="s">
        <v>7944</v>
      </c>
    </row>
    <row r="3846" spans="1:5" x14ac:dyDescent="0.35">
      <c r="A3846" t="str">
        <f>"2025-07-21"</f>
        <v>2025-07-21</v>
      </c>
      <c r="B3846" s="1" t="str">
        <f t="shared" si="60"/>
        <v>07/21/2025</v>
      </c>
      <c r="C3846" t="str">
        <f>"66.5446"</f>
        <v>66.5446</v>
      </c>
      <c r="D3846" s="1" t="s">
        <v>3837</v>
      </c>
      <c r="E3846" t="s">
        <v>7945</v>
      </c>
    </row>
    <row r="3847" spans="1:5" x14ac:dyDescent="0.35">
      <c r="A3847" t="str">
        <f>"2025-07-22"</f>
        <v>2025-07-22</v>
      </c>
      <c r="B3847" s="1" t="str">
        <f t="shared" si="60"/>
        <v>07/22/2025</v>
      </c>
      <c r="C3847" t="str">
        <f>"66.5342"</f>
        <v>66.5342</v>
      </c>
      <c r="D3847" s="1" t="s">
        <v>3838</v>
      </c>
      <c r="E3847" t="s">
        <v>7946</v>
      </c>
    </row>
    <row r="3848" spans="1:5" x14ac:dyDescent="0.35">
      <c r="A3848" t="str">
        <f>"2025-07-23"</f>
        <v>2025-07-23</v>
      </c>
      <c r="B3848" s="1" t="str">
        <f t="shared" si="60"/>
        <v>07/23/2025</v>
      </c>
      <c r="C3848" t="str">
        <f>"66.7457"</f>
        <v>66.7457</v>
      </c>
      <c r="D3848" s="1" t="s">
        <v>3839</v>
      </c>
      <c r="E3848" t="s">
        <v>7947</v>
      </c>
    </row>
    <row r="3849" spans="1:5" x14ac:dyDescent="0.35">
      <c r="A3849" t="str">
        <f>"2025-07-24"</f>
        <v>2025-07-24</v>
      </c>
      <c r="B3849" s="1" t="str">
        <f t="shared" si="60"/>
        <v>07/24/2025</v>
      </c>
      <c r="C3849" t="str">
        <f>"67.5168"</f>
        <v>67.5168</v>
      </c>
      <c r="D3849" s="1" t="s">
        <v>3840</v>
      </c>
      <c r="E3849" t="s">
        <v>7948</v>
      </c>
    </row>
    <row r="3850" spans="1:5" x14ac:dyDescent="0.35">
      <c r="A3850" t="str">
        <f>"2025-07-25"</f>
        <v>2025-07-25</v>
      </c>
      <c r="B3850" s="1" t="str">
        <f t="shared" si="60"/>
        <v>07/25/2025</v>
      </c>
      <c r="C3850" t="str">
        <f>"67.4327"</f>
        <v>67.4327</v>
      </c>
      <c r="D3850" s="1" t="s">
        <v>3841</v>
      </c>
      <c r="E3850" t="s">
        <v>7949</v>
      </c>
    </row>
    <row r="3851" spans="1:5" x14ac:dyDescent="0.35">
      <c r="A3851" t="str">
        <f>"2025-07-28"</f>
        <v>2025-07-28</v>
      </c>
      <c r="B3851" s="1" t="str">
        <f t="shared" si="60"/>
        <v>07/28/2025</v>
      </c>
      <c r="C3851" t="str">
        <f>"67.2953"</f>
        <v>67.2953</v>
      </c>
      <c r="D3851" s="1" t="s">
        <v>3842</v>
      </c>
      <c r="E3851" t="s">
        <v>7950</v>
      </c>
    </row>
    <row r="3852" spans="1:5" x14ac:dyDescent="0.35">
      <c r="A3852" t="str">
        <f>"2025-07-29"</f>
        <v>2025-07-29</v>
      </c>
      <c r="B3852" s="1" t="str">
        <f t="shared" si="60"/>
        <v>07/29/2025</v>
      </c>
      <c r="C3852" t="str">
        <f>"65.8167"</f>
        <v>65.8167</v>
      </c>
      <c r="D3852" s="1" t="s">
        <v>3843</v>
      </c>
      <c r="E3852" t="s">
        <v>7951</v>
      </c>
    </row>
    <row r="3853" spans="1:5" x14ac:dyDescent="0.35">
      <c r="A3853" t="str">
        <f>"2025-07-30"</f>
        <v>2025-07-30</v>
      </c>
      <c r="B3853" s="1" t="str">
        <f t="shared" si="60"/>
        <v>07/30/2025</v>
      </c>
      <c r="C3853" t="str">
        <f>"66.8162"</f>
        <v>66.8162</v>
      </c>
      <c r="D3853" s="1" t="s">
        <v>3844</v>
      </c>
      <c r="E3853" t="s">
        <v>7952</v>
      </c>
    </row>
    <row r="3854" spans="1:5" x14ac:dyDescent="0.35">
      <c r="A3854" t="str">
        <f>"2025-07-31"</f>
        <v>2025-07-31</v>
      </c>
      <c r="B3854" s="1" t="str">
        <f t="shared" si="60"/>
        <v>07/31/2025</v>
      </c>
      <c r="C3854" t="str">
        <f>"67.0188"</f>
        <v>67.0188</v>
      </c>
      <c r="D3854" s="1" t="s">
        <v>3845</v>
      </c>
      <c r="E3854" t="s">
        <v>7953</v>
      </c>
    </row>
    <row r="3855" spans="1:5" x14ac:dyDescent="0.35">
      <c r="A3855" t="str">
        <f>"2025-08-01"</f>
        <v>2025-08-01</v>
      </c>
      <c r="B3855" s="1" t="str">
        <f t="shared" si="60"/>
        <v>08/01/2025</v>
      </c>
      <c r="C3855" t="str">
        <f>"65.9762"</f>
        <v>65.9762</v>
      </c>
      <c r="D3855" s="1" t="s">
        <v>3846</v>
      </c>
      <c r="E3855" t="s">
        <v>7954</v>
      </c>
    </row>
    <row r="3856" spans="1:5" x14ac:dyDescent="0.35">
      <c r="A3856" t="str">
        <f>"2025-08-04"</f>
        <v>2025-08-04</v>
      </c>
      <c r="B3856" s="1" t="str">
        <f t="shared" si="60"/>
        <v>08/04/2025</v>
      </c>
      <c r="C3856" t="str">
        <f>"66.733"</f>
        <v>66.733</v>
      </c>
      <c r="D3856" s="1" t="s">
        <v>3847</v>
      </c>
      <c r="E3856" t="s">
        <v>7955</v>
      </c>
    </row>
    <row r="3857" spans="1:5" x14ac:dyDescent="0.35">
      <c r="A3857" t="str">
        <f>"2025-08-05"</f>
        <v>2025-08-05</v>
      </c>
      <c r="B3857" s="1" t="str">
        <f t="shared" si="60"/>
        <v>08/05/2025</v>
      </c>
      <c r="C3857" t="str">
        <f>"66.8159"</f>
        <v>66.8159</v>
      </c>
      <c r="D3857" s="1" t="s">
        <v>3848</v>
      </c>
      <c r="E3857" t="s">
        <v>7956</v>
      </c>
    </row>
    <row r="3858" spans="1:5" x14ac:dyDescent="0.35">
      <c r="A3858" t="str">
        <f>"2025-08-06"</f>
        <v>2025-08-06</v>
      </c>
      <c r="B3858" s="1" t="str">
        <f t="shared" si="60"/>
        <v>08/06/2025</v>
      </c>
      <c r="C3858" t="str">
        <f>"69.8046"</f>
        <v>69.8046</v>
      </c>
      <c r="D3858" s="1" t="s">
        <v>3849</v>
      </c>
      <c r="E3858" t="s">
        <v>7957</v>
      </c>
    </row>
    <row r="3859" spans="1:5" x14ac:dyDescent="0.35">
      <c r="A3859" t="str">
        <f>"2025-08-07"</f>
        <v>2025-08-07</v>
      </c>
      <c r="B3859" s="1" t="str">
        <f t="shared" si="60"/>
        <v>08/07/2025</v>
      </c>
      <c r="C3859" t="str">
        <f>"69.5168"</f>
        <v>69.5168</v>
      </c>
      <c r="D3859" s="1" t="s">
        <v>3850</v>
      </c>
      <c r="E3859" t="s">
        <v>7958</v>
      </c>
    </row>
    <row r="3860" spans="1:5" x14ac:dyDescent="0.35">
      <c r="A3860" t="str">
        <f>"2025-08-08"</f>
        <v>2025-08-08</v>
      </c>
      <c r="B3860" s="1" t="str">
        <f t="shared" si="60"/>
        <v>08/08/2025</v>
      </c>
      <c r="C3860" t="str">
        <f>"69.9061"</f>
        <v>69.9061</v>
      </c>
      <c r="D3860" s="1" t="s">
        <v>3851</v>
      </c>
      <c r="E3860" t="s">
        <v>7959</v>
      </c>
    </row>
    <row r="3861" spans="1:5" x14ac:dyDescent="0.35">
      <c r="A3861" t="str">
        <f>"2025-08-11"</f>
        <v>2025-08-11</v>
      </c>
      <c r="B3861" s="1" t="str">
        <f t="shared" si="60"/>
        <v>08/11/2025</v>
      </c>
      <c r="C3861" t="str">
        <f>"71.8799"</f>
        <v>71.8799</v>
      </c>
      <c r="D3861" s="1" t="s">
        <v>3852</v>
      </c>
      <c r="E3861" t="s">
        <v>7960</v>
      </c>
    </row>
    <row r="3862" spans="1:5" x14ac:dyDescent="0.35">
      <c r="A3862" t="str">
        <f>"2025-08-12"</f>
        <v>2025-08-12</v>
      </c>
      <c r="B3862" s="1" t="str">
        <f t="shared" si="60"/>
        <v>08/12/2025</v>
      </c>
      <c r="C3862" t="str">
        <f>"72.8942"</f>
        <v>72.8942</v>
      </c>
      <c r="D3862" s="1" t="s">
        <v>3853</v>
      </c>
      <c r="E3862" t="s">
        <v>7961</v>
      </c>
    </row>
    <row r="3863" spans="1:5" x14ac:dyDescent="0.35">
      <c r="A3863" t="str">
        <f>"2025-08-13"</f>
        <v>2025-08-13</v>
      </c>
      <c r="B3863" s="1" t="str">
        <f t="shared" si="60"/>
        <v>08/13/2025</v>
      </c>
      <c r="C3863" t="str">
        <f>"73.6779"</f>
        <v>73.6779</v>
      </c>
      <c r="D3863" s="1" t="s">
        <v>3854</v>
      </c>
      <c r="E3863" t="s">
        <v>7962</v>
      </c>
    </row>
    <row r="3864" spans="1:5" x14ac:dyDescent="0.35">
      <c r="A3864" t="str">
        <f>"2025-08-14"</f>
        <v>2025-08-14</v>
      </c>
      <c r="B3864" s="1" t="str">
        <f t="shared" si="60"/>
        <v>08/14/2025</v>
      </c>
      <c r="C3864" t="str">
        <f>"74.5483"</f>
        <v>74.5483</v>
      </c>
      <c r="D3864" s="1" t="s">
        <v>3855</v>
      </c>
      <c r="E3864" t="s">
        <v>7963</v>
      </c>
    </row>
    <row r="3865" spans="1:5" x14ac:dyDescent="0.35">
      <c r="A3865" t="str">
        <f>"2025-08-15"</f>
        <v>2025-08-15</v>
      </c>
      <c r="B3865" s="1" t="str">
        <f t="shared" si="60"/>
        <v>08/15/2025</v>
      </c>
      <c r="C3865" t="str">
        <f>"75.5531"</f>
        <v>75.5531</v>
      </c>
      <c r="D3865" s="1" t="s">
        <v>3856</v>
      </c>
      <c r="E3865" t="s">
        <v>7964</v>
      </c>
    </row>
    <row r="3866" spans="1:5" x14ac:dyDescent="0.35">
      <c r="A3866" t="str">
        <f>"2025-08-18"</f>
        <v>2025-08-18</v>
      </c>
      <c r="B3866" s="1" t="str">
        <f t="shared" si="60"/>
        <v>08/18/2025</v>
      </c>
      <c r="C3866" t="str">
        <f>"76.2392"</f>
        <v>76.2392</v>
      </c>
      <c r="D3866" s="1" t="s">
        <v>3857</v>
      </c>
      <c r="E3866" t="s">
        <v>7965</v>
      </c>
    </row>
    <row r="3867" spans="1:5" x14ac:dyDescent="0.35">
      <c r="A3867" t="str">
        <f>"2025-08-19"</f>
        <v>2025-08-19</v>
      </c>
      <c r="B3867" s="1" t="str">
        <f t="shared" si="60"/>
        <v>08/19/2025</v>
      </c>
      <c r="C3867" t="str">
        <f>"77.7231"</f>
        <v>77.7231</v>
      </c>
      <c r="D3867" s="1" t="s">
        <v>3858</v>
      </c>
      <c r="E3867" t="s">
        <v>7966</v>
      </c>
    </row>
    <row r="3868" spans="1:5" x14ac:dyDescent="0.35">
      <c r="A3868" t="str">
        <f>"2025-08-20"</f>
        <v>2025-08-20</v>
      </c>
      <c r="B3868" s="1" t="str">
        <f t="shared" si="60"/>
        <v>08/20/2025</v>
      </c>
      <c r="C3868" t="str">
        <f>"77.1081"</f>
        <v>77.1081</v>
      </c>
      <c r="D3868" s="1" t="s">
        <v>3859</v>
      </c>
      <c r="E3868" t="s">
        <v>7967</v>
      </c>
    </row>
    <row r="3869" spans="1:5" x14ac:dyDescent="0.35">
      <c r="A3869" t="str">
        <f>"2025-08-21"</f>
        <v>2025-08-21</v>
      </c>
      <c r="B3869" s="1" t="str">
        <f t="shared" si="60"/>
        <v>08/21/2025</v>
      </c>
      <c r="C3869" t="str">
        <f>"76.7799"</f>
        <v>76.7799</v>
      </c>
      <c r="D3869" s="1" t="s">
        <v>3860</v>
      </c>
      <c r="E3869" t="s">
        <v>7968</v>
      </c>
    </row>
    <row r="3870" spans="1:5" x14ac:dyDescent="0.35">
      <c r="A3870" t="str">
        <f>"2025-08-22"</f>
        <v>2025-08-22</v>
      </c>
      <c r="B3870" s="1" t="str">
        <f t="shared" si="60"/>
        <v>08/22/2025</v>
      </c>
      <c r="C3870" t="str">
        <f>"75.8616"</f>
        <v>75.8616</v>
      </c>
      <c r="D3870" s="1" t="s">
        <v>3861</v>
      </c>
      <c r="E3870" t="s">
        <v>7969</v>
      </c>
    </row>
    <row r="3871" spans="1:5" x14ac:dyDescent="0.35">
      <c r="A3871" t="str">
        <f>"2025-08-25"</f>
        <v>2025-08-25</v>
      </c>
      <c r="B3871" s="1" t="str">
        <f t="shared" si="60"/>
        <v>08/25/2025</v>
      </c>
      <c r="C3871" t="str">
        <f>"76.1315"</f>
        <v>76.1315</v>
      </c>
      <c r="D3871" s="1" t="s">
        <v>3862</v>
      </c>
      <c r="E3871" t="s">
        <v>7970</v>
      </c>
    </row>
    <row r="3872" spans="1:5" x14ac:dyDescent="0.35">
      <c r="A3872" t="str">
        <f>"2025-08-26"</f>
        <v>2025-08-26</v>
      </c>
      <c r="B3872" s="1" t="str">
        <f t="shared" si="60"/>
        <v>08/26/2025</v>
      </c>
      <c r="C3872" t="str">
        <f>"76.8944"</f>
        <v>76.8944</v>
      </c>
      <c r="D3872" s="1" t="s">
        <v>3863</v>
      </c>
      <c r="E3872" t="s">
        <v>7971</v>
      </c>
    </row>
    <row r="3873" spans="1:5" x14ac:dyDescent="0.35">
      <c r="A3873" t="str">
        <f>"2025-08-27"</f>
        <v>2025-08-27</v>
      </c>
      <c r="B3873" s="1" t="str">
        <f t="shared" si="60"/>
        <v>08/27/2025</v>
      </c>
      <c r="C3873" t="str">
        <f>"75.4122"</f>
        <v>75.4122</v>
      </c>
      <c r="D3873" s="1" t="s">
        <v>3864</v>
      </c>
      <c r="E3873" t="s">
        <v>7972</v>
      </c>
    </row>
    <row r="3874" spans="1:5" x14ac:dyDescent="0.35">
      <c r="A3874" t="str">
        <f>"2025-08-28"</f>
        <v>2025-08-28</v>
      </c>
      <c r="B3874" s="1" t="str">
        <f t="shared" si="60"/>
        <v>08/28/2025</v>
      </c>
      <c r="C3874" t="str">
        <f>"75.0642"</f>
        <v>75.0642</v>
      </c>
      <c r="D3874" s="1" t="s">
        <v>3865</v>
      </c>
      <c r="E3874" t="s">
        <v>7973</v>
      </c>
    </row>
    <row r="3875" spans="1:5" x14ac:dyDescent="0.35">
      <c r="A3875" t="str">
        <f>"2025-08-29"</f>
        <v>2025-08-29</v>
      </c>
      <c r="B3875" s="1" t="str">
        <f t="shared" si="60"/>
        <v>08/29/2025</v>
      </c>
      <c r="C3875" t="str">
        <f>"72.9109"</f>
        <v>72.9109</v>
      </c>
      <c r="D3875" s="1" t="s">
        <v>3866</v>
      </c>
      <c r="E3875" t="s">
        <v>7974</v>
      </c>
    </row>
    <row r="3876" spans="1:5" x14ac:dyDescent="0.35">
      <c r="A3876" t="str">
        <f>"2025-09-02"</f>
        <v>2025-09-02</v>
      </c>
      <c r="B3876" s="1" t="str">
        <f t="shared" si="60"/>
        <v>09/02/2025</v>
      </c>
      <c r="C3876" t="str">
        <f>"69.7543"</f>
        <v>69.7543</v>
      </c>
      <c r="D3876" s="1" t="s">
        <v>3867</v>
      </c>
      <c r="E3876" t="s">
        <v>7975</v>
      </c>
    </row>
    <row r="3877" spans="1:5" x14ac:dyDescent="0.35">
      <c r="A3877" t="str">
        <f>"2025-09-03"</f>
        <v>2025-09-03</v>
      </c>
      <c r="B3877" s="1" t="str">
        <f t="shared" si="60"/>
        <v>09/03/2025</v>
      </c>
      <c r="C3877" t="str">
        <f>"69.233"</f>
        <v>69.233</v>
      </c>
      <c r="D3877" s="1" t="s">
        <v>3868</v>
      </c>
      <c r="E3877" t="s">
        <v>7976</v>
      </c>
    </row>
    <row r="3878" spans="1:5" x14ac:dyDescent="0.35">
      <c r="A3878" t="str">
        <f>"2025-09-04"</f>
        <v>2025-09-04</v>
      </c>
      <c r="B3878" s="1" t="str">
        <f t="shared" si="60"/>
        <v>09/04/2025</v>
      </c>
      <c r="C3878" t="str">
        <f>"68.3473"</f>
        <v>68.3473</v>
      </c>
      <c r="D3878" s="1" t="s">
        <v>3869</v>
      </c>
      <c r="E3878" t="s">
        <v>7977</v>
      </c>
    </row>
    <row r="3879" spans="1:5" x14ac:dyDescent="0.35">
      <c r="A3879" t="str">
        <f>"2025-09-05"</f>
        <v>2025-09-05</v>
      </c>
      <c r="B3879" s="1" t="str">
        <f t="shared" si="60"/>
        <v>09/05/2025</v>
      </c>
      <c r="C3879" t="str">
        <f>"66.6792"</f>
        <v>66.6792</v>
      </c>
      <c r="D3879" s="1" t="s">
        <v>3870</v>
      </c>
      <c r="E3879" t="s">
        <v>7978</v>
      </c>
    </row>
    <row r="3880" spans="1:5" x14ac:dyDescent="0.35">
      <c r="A3880" t="str">
        <f>"2025-09-08"</f>
        <v>2025-09-08</v>
      </c>
      <c r="B3880" s="1" t="str">
        <f t="shared" si="60"/>
        <v>09/08/2025</v>
      </c>
      <c r="C3880" t="str">
        <f>"64.0339"</f>
        <v>64.0339</v>
      </c>
      <c r="D3880" s="1" t="s">
        <v>3871</v>
      </c>
      <c r="E3880" t="s">
        <v>7979</v>
      </c>
    </row>
    <row r="3881" spans="1:5" x14ac:dyDescent="0.35">
      <c r="A3881" t="str">
        <f>"2025-09-09"</f>
        <v>2025-09-09</v>
      </c>
      <c r="B3881" s="1" t="str">
        <f t="shared" si="60"/>
        <v>09/09/2025</v>
      </c>
      <c r="C3881" t="str">
        <f>"65.5371"</f>
        <v>65.5371</v>
      </c>
      <c r="D3881" s="1" t="s">
        <v>3872</v>
      </c>
      <c r="E3881" t="s">
        <v>7920</v>
      </c>
    </row>
    <row r="3882" spans="1:5" x14ac:dyDescent="0.35">
      <c r="A3882" t="str">
        <f>"2025-09-10"</f>
        <v>2025-09-10</v>
      </c>
      <c r="B3882" s="1" t="str">
        <f t="shared" si="60"/>
        <v>09/10/2025</v>
      </c>
      <c r="C3882" t="str">
        <f>"66.7279"</f>
        <v>66.7279</v>
      </c>
      <c r="D3882" s="1" t="s">
        <v>3873</v>
      </c>
      <c r="E3882" t="s">
        <v>7980</v>
      </c>
    </row>
    <row r="3883" spans="1:5" x14ac:dyDescent="0.35">
      <c r="A3883" t="str">
        <f>"2025-09-11"</f>
        <v>2025-09-11</v>
      </c>
      <c r="B3883" s="1" t="str">
        <f t="shared" si="60"/>
        <v>09/11/2025</v>
      </c>
      <c r="C3883" t="str">
        <f>"65.4747"</f>
        <v>65.4747</v>
      </c>
      <c r="D3883" s="1" t="s">
        <v>3874</v>
      </c>
      <c r="E3883" t="s">
        <v>7981</v>
      </c>
    </row>
    <row r="3884" spans="1:5" x14ac:dyDescent="0.35">
      <c r="A3884" t="str">
        <f>"2025-09-12"</f>
        <v>2025-09-12</v>
      </c>
      <c r="B3884" s="1" t="str">
        <f t="shared" si="60"/>
        <v>09/12/2025</v>
      </c>
      <c r="C3884" t="str">
        <f>"64.7318"</f>
        <v>64.7318</v>
      </c>
      <c r="D3884" s="1" t="s">
        <v>3875</v>
      </c>
      <c r="E3884" t="s">
        <v>7982</v>
      </c>
    </row>
    <row r="3885" spans="1:5" x14ac:dyDescent="0.35">
      <c r="A3885" t="str">
        <f>"2025-09-15"</f>
        <v>2025-09-15</v>
      </c>
      <c r="B3885" s="1" t="str">
        <f t="shared" si="60"/>
        <v>09/15/2025</v>
      </c>
      <c r="C3885" t="str">
        <f>"67.8878"</f>
        <v>67.8878</v>
      </c>
      <c r="D3885" s="1" t="s">
        <v>3876</v>
      </c>
      <c r="E3885" t="s">
        <v>7983</v>
      </c>
    </row>
    <row r="3886" spans="1:5" x14ac:dyDescent="0.35">
      <c r="A3886" t="str">
        <f>"2025-09-16"</f>
        <v>2025-09-16</v>
      </c>
      <c r="B3886" s="1" t="str">
        <f t="shared" si="60"/>
        <v>09/16/2025</v>
      </c>
      <c r="C3886" t="str">
        <f>"66.7466"</f>
        <v>66.7466</v>
      </c>
      <c r="D3886" s="1" t="s">
        <v>3877</v>
      </c>
      <c r="E3886" t="s">
        <v>7984</v>
      </c>
    </row>
    <row r="3887" spans="1:5" x14ac:dyDescent="0.35">
      <c r="A3887" t="str">
        <f>"2025-09-17"</f>
        <v>2025-09-17</v>
      </c>
      <c r="B3887" s="1" t="str">
        <f t="shared" si="60"/>
        <v>09/17/2025</v>
      </c>
      <c r="C3887" t="str">
        <f>"65.7511"</f>
        <v>65.7511</v>
      </c>
      <c r="D3887" s="1" t="s">
        <v>3878</v>
      </c>
      <c r="E3887" t="s">
        <v>7985</v>
      </c>
    </row>
    <row r="3888" spans="1:5" x14ac:dyDescent="0.35">
      <c r="A3888" t="str">
        <f>"2025-09-18"</f>
        <v>2025-09-18</v>
      </c>
      <c r="B3888" s="1" t="str">
        <f t="shared" si="60"/>
        <v>09/18/2025</v>
      </c>
      <c r="C3888" t="str">
        <f>"65.6736"</f>
        <v>65.6736</v>
      </c>
      <c r="D3888" s="1" t="s">
        <v>3879</v>
      </c>
      <c r="E3888" t="s">
        <v>7986</v>
      </c>
    </row>
    <row r="3889" spans="1:5" x14ac:dyDescent="0.35">
      <c r="A3889" t="str">
        <f>"2025-09-19"</f>
        <v>2025-09-19</v>
      </c>
      <c r="B3889" s="1" t="str">
        <f t="shared" si="60"/>
        <v>09/19/2025</v>
      </c>
      <c r="C3889" t="str">
        <f>"65.4343"</f>
        <v>65.4343</v>
      </c>
      <c r="D3889" s="1" t="s">
        <v>3880</v>
      </c>
      <c r="E3889" t="s">
        <v>7987</v>
      </c>
    </row>
    <row r="3890" spans="1:5" x14ac:dyDescent="0.35">
      <c r="A3890" t="str">
        <f>"2025-09-22"</f>
        <v>2025-09-22</v>
      </c>
      <c r="B3890" s="1" t="str">
        <f t="shared" si="60"/>
        <v>09/22/2025</v>
      </c>
      <c r="C3890" t="str">
        <f>"65.4622"</f>
        <v>65.4622</v>
      </c>
      <c r="D3890" s="1" t="s">
        <v>3881</v>
      </c>
      <c r="E3890" t="s">
        <v>7988</v>
      </c>
    </row>
    <row r="3891" spans="1:5" x14ac:dyDescent="0.35">
      <c r="A3891" t="str">
        <f>"2025-09-23"</f>
        <v>2025-09-23</v>
      </c>
      <c r="B3891" s="1" t="str">
        <f t="shared" si="60"/>
        <v>09/23/2025</v>
      </c>
      <c r="C3891" t="str">
        <f>"64.5479"</f>
        <v>64.5479</v>
      </c>
      <c r="D3891" s="1" t="s">
        <v>3882</v>
      </c>
      <c r="E3891" t="s">
        <v>7989</v>
      </c>
    </row>
    <row r="3892" spans="1:5" x14ac:dyDescent="0.35">
      <c r="A3892" t="str">
        <f>"2025-09-24"</f>
        <v>2025-09-24</v>
      </c>
      <c r="B3892" s="1" t="str">
        <f t="shared" si="60"/>
        <v>09/24/2025</v>
      </c>
      <c r="C3892" t="str">
        <f>"65.1935"</f>
        <v>65.1935</v>
      </c>
      <c r="D3892" s="1" t="s">
        <v>3883</v>
      </c>
      <c r="E3892" t="s">
        <v>7990</v>
      </c>
    </row>
    <row r="3893" spans="1:5" x14ac:dyDescent="0.35">
      <c r="A3893" t="str">
        <f>"2025-09-25"</f>
        <v>2025-09-25</v>
      </c>
      <c r="B3893" s="1" t="str">
        <f t="shared" si="60"/>
        <v>09/25/2025</v>
      </c>
      <c r="C3893" t="str">
        <f>"65.8829"</f>
        <v>65.8829</v>
      </c>
      <c r="D3893" s="1" t="s">
        <v>3884</v>
      </c>
      <c r="E3893" t="s">
        <v>7991</v>
      </c>
    </row>
    <row r="3894" spans="1:5" x14ac:dyDescent="0.35">
      <c r="A3894" t="str">
        <f>"2025-09-26"</f>
        <v>2025-09-26</v>
      </c>
      <c r="B3894" s="1" t="str">
        <f t="shared" si="60"/>
        <v>09/26/2025</v>
      </c>
      <c r="C3894" t="str">
        <f>"63.3798"</f>
        <v>63.3798</v>
      </c>
      <c r="D3894" s="1" t="s">
        <v>3885</v>
      </c>
      <c r="E3894" t="s">
        <v>7992</v>
      </c>
    </row>
    <row r="3895" spans="1:5" x14ac:dyDescent="0.35">
      <c r="A3895" t="str">
        <f>"2025-09-29"</f>
        <v>2025-09-29</v>
      </c>
      <c r="B3895" s="1" t="str">
        <f t="shared" si="60"/>
        <v>09/29/2025</v>
      </c>
      <c r="C3895" t="str">
        <f>"62.5299"</f>
        <v>62.5299</v>
      </c>
      <c r="D3895" s="1" t="s">
        <v>3886</v>
      </c>
      <c r="E3895" t="s">
        <v>7993</v>
      </c>
    </row>
    <row r="3896" spans="1:5" x14ac:dyDescent="0.35">
      <c r="A3896" t="str">
        <f>"2025-09-30"</f>
        <v>2025-09-30</v>
      </c>
      <c r="B3896" s="1" t="str">
        <f t="shared" si="60"/>
        <v>09/30/2025</v>
      </c>
      <c r="C3896" t="str">
        <f>"61.3549"</f>
        <v>61.3549</v>
      </c>
      <c r="D3896" s="1" t="s">
        <v>3887</v>
      </c>
      <c r="E3896" t="s">
        <v>7994</v>
      </c>
    </row>
    <row r="3897" spans="1:5" x14ac:dyDescent="0.35">
      <c r="A3897" t="str">
        <f>"2025-10-01"</f>
        <v>2025-10-01</v>
      </c>
      <c r="B3897" s="1" t="str">
        <f t="shared" si="60"/>
        <v>10/01/2025</v>
      </c>
      <c r="C3897" t="str">
        <f>"61.0674"</f>
        <v>61.0674</v>
      </c>
      <c r="D3897" s="1" t="s">
        <v>3888</v>
      </c>
      <c r="E3897" t="s">
        <v>7995</v>
      </c>
    </row>
    <row r="3898" spans="1:5" x14ac:dyDescent="0.35">
      <c r="A3898" t="str">
        <f>"2025-10-02"</f>
        <v>2025-10-02</v>
      </c>
      <c r="B3898" s="1" t="str">
        <f t="shared" si="60"/>
        <v>10/02/2025</v>
      </c>
      <c r="C3898" t="str">
        <f>"61.3466"</f>
        <v>61.3466</v>
      </c>
      <c r="D3898" s="1" t="s">
        <v>3889</v>
      </c>
      <c r="E3898" t="s">
        <v>7996</v>
      </c>
    </row>
    <row r="3899" spans="1:5" x14ac:dyDescent="0.35">
      <c r="A3899" t="str">
        <f>"2025-10-03"</f>
        <v>2025-10-03</v>
      </c>
      <c r="B3899" s="1" t="str">
        <f t="shared" si="60"/>
        <v>10/03/2025</v>
      </c>
      <c r="C3899" t="str">
        <f>"59.8575"</f>
        <v>59.8575</v>
      </c>
      <c r="D3899" s="1" t="s">
        <v>3890</v>
      </c>
      <c r="E3899" t="s">
        <v>7997</v>
      </c>
    </row>
    <row r="3900" spans="1:5" x14ac:dyDescent="0.35">
      <c r="A3900" t="str">
        <f>"2025-10-06"</f>
        <v>2025-10-06</v>
      </c>
      <c r="B3900" s="1" t="str">
        <f t="shared" si="60"/>
        <v>10/06/2025</v>
      </c>
      <c r="C3900" t="str">
        <f>"57.7264"</f>
        <v>57.7264</v>
      </c>
      <c r="D3900" s="1" t="s">
        <v>3891</v>
      </c>
      <c r="E3900" t="s">
        <v>7998</v>
      </c>
    </row>
    <row r="3901" spans="1:5" x14ac:dyDescent="0.35">
      <c r="A3901" t="str">
        <f>"2025-10-07"</f>
        <v>2025-10-07</v>
      </c>
      <c r="B3901" s="1" t="str">
        <f t="shared" si="60"/>
        <v>10/07/2025</v>
      </c>
      <c r="C3901" t="str">
        <f>"58.8444"</f>
        <v>58.8444</v>
      </c>
      <c r="D3901" s="1" t="s">
        <v>3892</v>
      </c>
      <c r="E3901" t="s">
        <v>7999</v>
      </c>
    </row>
    <row r="3902" spans="1:5" x14ac:dyDescent="0.35">
      <c r="A3902" t="str">
        <f>"2025-10-08"</f>
        <v>2025-10-08</v>
      </c>
      <c r="B3902" s="1" t="str">
        <f t="shared" si="60"/>
        <v>10/08/2025</v>
      </c>
      <c r="C3902" t="str">
        <f>"57.2095"</f>
        <v>57.2095</v>
      </c>
      <c r="D3902" s="1" t="s">
        <v>3893</v>
      </c>
      <c r="E3902" t="s">
        <v>8000</v>
      </c>
    </row>
    <row r="3903" spans="1:5" x14ac:dyDescent="0.35">
      <c r="A3903" t="str">
        <f>"2025-10-09"</f>
        <v>2025-10-09</v>
      </c>
      <c r="B3903" s="1" t="str">
        <f t="shared" si="60"/>
        <v>10/09/2025</v>
      </c>
      <c r="C3903" t="str">
        <f>"59.0218"</f>
        <v>59.0218</v>
      </c>
      <c r="D3903" s="1" t="s">
        <v>3894</v>
      </c>
      <c r="E3903" t="s">
        <v>8001</v>
      </c>
    </row>
    <row r="3904" spans="1:5" x14ac:dyDescent="0.35">
      <c r="A3904" t="str">
        <f>"2025-10-10"</f>
        <v>2025-10-10</v>
      </c>
      <c r="B3904" s="1" t="str">
        <f t="shared" si="60"/>
        <v>10/10/2025</v>
      </c>
      <c r="C3904" t="str">
        <f>"58.6878"</f>
        <v>58.6878</v>
      </c>
      <c r="D3904" s="1" t="s">
        <v>3895</v>
      </c>
      <c r="E3904" t="s">
        <v>8002</v>
      </c>
    </row>
    <row r="3905" spans="1:5" x14ac:dyDescent="0.35">
      <c r="A3905" t="str">
        <f>"2025-10-13"</f>
        <v>2025-10-13</v>
      </c>
      <c r="B3905" s="1" t="str">
        <f t="shared" si="60"/>
        <v>10/13/2025</v>
      </c>
      <c r="C3905" t="str">
        <f>"55.9452"</f>
        <v>55.9452</v>
      </c>
      <c r="D3905" s="1" t="s">
        <v>3896</v>
      </c>
      <c r="E3905" t="s">
        <v>8003</v>
      </c>
    </row>
    <row r="3906" spans="1:5" x14ac:dyDescent="0.35">
      <c r="A3906" t="str">
        <f>"2025-10-14"</f>
        <v>2025-10-14</v>
      </c>
      <c r="B3906" s="1" t="str">
        <f t="shared" si="60"/>
        <v>10/14/2025</v>
      </c>
      <c r="C3906" t="str">
        <f>"54.281"</f>
        <v>54.281</v>
      </c>
      <c r="D3906" s="1" t="s">
        <v>3897</v>
      </c>
      <c r="E3906" t="s">
        <v>8004</v>
      </c>
    </row>
    <row r="3907" spans="1:5" x14ac:dyDescent="0.35">
      <c r="A3907" t="str">
        <f>"2025-10-15"</f>
        <v>2025-10-15</v>
      </c>
      <c r="B3907" s="1" t="str">
        <f t="shared" ref="B3907:B3970" si="61">LEFT(RIGHT(A3907,5),2)&amp;"/"&amp;RIGHT(A3907,2)&amp;"/"&amp;LEFT(A3907,4)</f>
        <v>10/15/2025</v>
      </c>
      <c r="C3907" t="str">
        <f>"53.5532"</f>
        <v>53.5532</v>
      </c>
      <c r="D3907" s="1" t="s">
        <v>3898</v>
      </c>
      <c r="E3907" t="s">
        <v>8005</v>
      </c>
    </row>
    <row r="3908" spans="1:5" x14ac:dyDescent="0.35">
      <c r="A3908" t="str">
        <f>"2025-10-16"</f>
        <v>2025-10-16</v>
      </c>
      <c r="B3908" s="1" t="str">
        <f t="shared" si="61"/>
        <v>10/16/2025</v>
      </c>
      <c r="C3908" t="str">
        <f>"51.396"</f>
        <v>51.396</v>
      </c>
      <c r="D3908" s="1" t="s">
        <v>3899</v>
      </c>
      <c r="E3908" t="s">
        <v>8006</v>
      </c>
    </row>
    <row r="3909" spans="1:5" x14ac:dyDescent="0.35">
      <c r="A3909" t="str">
        <f>"2025-10-17"</f>
        <v>2025-10-17</v>
      </c>
      <c r="B3909" s="1" t="str">
        <f t="shared" si="61"/>
        <v>10/17/2025</v>
      </c>
      <c r="C3909" t="str">
        <f>"51.7384"</f>
        <v>51.7384</v>
      </c>
      <c r="D3909" s="1" t="s">
        <v>3900</v>
      </c>
      <c r="E3909" t="s">
        <v>8007</v>
      </c>
    </row>
    <row r="3910" spans="1:5" x14ac:dyDescent="0.35">
      <c r="A3910" t="str">
        <f>"2025-10-20"</f>
        <v>2025-10-20</v>
      </c>
      <c r="B3910" s="1" t="str">
        <f t="shared" si="61"/>
        <v>10/20/2025</v>
      </c>
      <c r="C3910" t="str">
        <f>"50.9334"</f>
        <v>50.9334</v>
      </c>
      <c r="D3910" s="1" t="s">
        <v>3901</v>
      </c>
      <c r="E3910" t="s">
        <v>8008</v>
      </c>
    </row>
    <row r="3911" spans="1:5" x14ac:dyDescent="0.35">
      <c r="A3911" t="str">
        <f>"2025-10-21"</f>
        <v>2025-10-21</v>
      </c>
      <c r="B3911" s="1" t="str">
        <f t="shared" si="61"/>
        <v>10/21/2025</v>
      </c>
      <c r="C3911" t="str">
        <f>"53.4444"</f>
        <v>53.4444</v>
      </c>
      <c r="D3911" s="1" t="s">
        <v>3902</v>
      </c>
      <c r="E3911" t="s">
        <v>8009</v>
      </c>
    </row>
    <row r="3912" spans="1:5" x14ac:dyDescent="0.35">
      <c r="A3912" t="str">
        <f>"2025-10-22"</f>
        <v>2025-10-22</v>
      </c>
      <c r="B3912" s="1" t="str">
        <f t="shared" si="61"/>
        <v>10/22/2025</v>
      </c>
      <c r="C3912" t="str">
        <f>"52.7749"</f>
        <v>52.7749</v>
      </c>
      <c r="D3912" s="1" t="s">
        <v>3903</v>
      </c>
      <c r="E3912" t="s">
        <v>8010</v>
      </c>
    </row>
    <row r="3913" spans="1:5" x14ac:dyDescent="0.35">
      <c r="A3913" t="str">
        <f>"2025-10-23"</f>
        <v>2025-10-23</v>
      </c>
      <c r="B3913" s="1" t="str">
        <f t="shared" si="61"/>
        <v>10/23/2025</v>
      </c>
      <c r="C3913" t="str">
        <f>"51.0538"</f>
        <v>51.0538</v>
      </c>
      <c r="D3913" s="1" t="s">
        <v>3904</v>
      </c>
      <c r="E3913" t="s">
        <v>8011</v>
      </c>
    </row>
    <row r="3914" spans="1:5" x14ac:dyDescent="0.35">
      <c r="A3914" t="str">
        <f>"2025-10-24"</f>
        <v>2025-10-24</v>
      </c>
      <c r="B3914" s="1" t="str">
        <f t="shared" si="61"/>
        <v>10/24/2025</v>
      </c>
      <c r="C3914" t="str">
        <f>"53.3662"</f>
        <v>53.3662</v>
      </c>
      <c r="D3914" s="1" t="s">
        <v>3905</v>
      </c>
      <c r="E3914" t="s">
        <v>8012</v>
      </c>
    </row>
    <row r="3915" spans="1:5" x14ac:dyDescent="0.35">
      <c r="A3915" t="str">
        <f>"2025-10-27"</f>
        <v>2025-10-27</v>
      </c>
      <c r="B3915" s="1" t="str">
        <f t="shared" si="61"/>
        <v>10/27/2025</v>
      </c>
      <c r="C3915" t="str">
        <f>"54.6005"</f>
        <v>54.6005</v>
      </c>
      <c r="D3915" s="1" t="s">
        <v>3906</v>
      </c>
      <c r="E3915" t="s">
        <v>8013</v>
      </c>
    </row>
    <row r="3916" spans="1:5" x14ac:dyDescent="0.35">
      <c r="A3916" t="str">
        <f>"2025-10-28"</f>
        <v>2025-10-28</v>
      </c>
      <c r="B3916" s="1" t="str">
        <f t="shared" si="61"/>
        <v>10/28/2025</v>
      </c>
      <c r="C3916" t="str">
        <f>"54.5743"</f>
        <v>54.5743</v>
      </c>
      <c r="D3916" s="1" t="s">
        <v>3907</v>
      </c>
      <c r="E3916" t="s">
        <v>8014</v>
      </c>
    </row>
    <row r="3917" spans="1:5" x14ac:dyDescent="0.35">
      <c r="A3917" t="str">
        <f>"2025-10-30"</f>
        <v>2025-10-30</v>
      </c>
      <c r="B3917" s="1" t="str">
        <f t="shared" si="61"/>
        <v>10/30/2025</v>
      </c>
      <c r="C3917" t="str">
        <f>"53.8043"</f>
        <v>53.8043</v>
      </c>
      <c r="D3917" s="1" t="s">
        <v>3908</v>
      </c>
      <c r="E3917" t="s">
        <v>8015</v>
      </c>
    </row>
    <row r="3918" spans="1:5" x14ac:dyDescent="0.35">
      <c r="A3918" t="str">
        <f>"2025-10-31"</f>
        <v>2025-10-31</v>
      </c>
      <c r="B3918" s="1" t="str">
        <f t="shared" si="61"/>
        <v>10/31/2025</v>
      </c>
      <c r="C3918" t="str">
        <f>"54.1749"</f>
        <v>54.1749</v>
      </c>
      <c r="D3918" s="1" t="s">
        <v>3909</v>
      </c>
      <c r="E3918" t="s">
        <v>8016</v>
      </c>
    </row>
    <row r="3919" spans="1:5" x14ac:dyDescent="0.35">
      <c r="A3919" t="str">
        <f>"2025-11-03"</f>
        <v>2025-11-03</v>
      </c>
      <c r="B3919" s="1" t="str">
        <f t="shared" si="61"/>
        <v>11/03/2025</v>
      </c>
      <c r="C3919" t="str">
        <f>"54.3757"</f>
        <v>54.3757</v>
      </c>
      <c r="D3919" s="1" t="s">
        <v>3910</v>
      </c>
      <c r="E3919" t="s">
        <v>8017</v>
      </c>
    </row>
    <row r="3920" spans="1:5" x14ac:dyDescent="0.35">
      <c r="A3920" t="str">
        <f>"2025-11-04"</f>
        <v>2025-11-04</v>
      </c>
      <c r="B3920" s="1" t="str">
        <f t="shared" si="61"/>
        <v>11/04/2025</v>
      </c>
      <c r="C3920" t="str">
        <f>"54.1247"</f>
        <v>54.1247</v>
      </c>
      <c r="D3920" s="1" t="s">
        <v>3911</v>
      </c>
      <c r="E3920" t="s">
        <v>8018</v>
      </c>
    </row>
    <row r="3921" spans="1:5" x14ac:dyDescent="0.35">
      <c r="A3921" t="str">
        <f>"2025-11-05"</f>
        <v>2025-11-05</v>
      </c>
      <c r="B3921" s="1" t="str">
        <f t="shared" si="61"/>
        <v>11/05/2025</v>
      </c>
      <c r="C3921" t="str">
        <f>"53.864"</f>
        <v>53.864</v>
      </c>
      <c r="D3921" s="1" t="s">
        <v>3912</v>
      </c>
      <c r="E3921" t="s">
        <v>8019</v>
      </c>
    </row>
    <row r="3922" spans="1:5" x14ac:dyDescent="0.35">
      <c r="A3922" t="str">
        <f>"2025-11-06"</f>
        <v>2025-11-06</v>
      </c>
      <c r="B3922" s="1" t="str">
        <f t="shared" si="61"/>
        <v>11/06/2025</v>
      </c>
      <c r="C3922" t="str">
        <f>"54.2832"</f>
        <v>54.2832</v>
      </c>
      <c r="D3922" s="1" t="s">
        <v>3913</v>
      </c>
      <c r="E3922" t="s">
        <v>8020</v>
      </c>
    </row>
    <row r="3923" spans="1:5" x14ac:dyDescent="0.35">
      <c r="A3923" t="str">
        <f>"2025-11-07"</f>
        <v>2025-11-07</v>
      </c>
      <c r="B3923" s="1" t="str">
        <f t="shared" si="61"/>
        <v>11/07/2025</v>
      </c>
      <c r="C3923" t="str">
        <f>"53.3966"</f>
        <v>53.3966</v>
      </c>
      <c r="D3923" s="1" t="s">
        <v>3914</v>
      </c>
      <c r="E3923" t="s">
        <v>8021</v>
      </c>
    </row>
    <row r="3924" spans="1:5" x14ac:dyDescent="0.35">
      <c r="A3924" t="str">
        <f>"2025-11-10"</f>
        <v>2025-11-10</v>
      </c>
      <c r="B3924" s="1" t="str">
        <f t="shared" si="61"/>
        <v>11/10/2025</v>
      </c>
      <c r="C3924" t="str">
        <f>"49.8412"</f>
        <v>49.8412</v>
      </c>
      <c r="D3924" s="1" t="s">
        <v>3915</v>
      </c>
      <c r="E3924" t="s">
        <v>8022</v>
      </c>
    </row>
    <row r="3925" spans="1:5" x14ac:dyDescent="0.35">
      <c r="A3925" t="str">
        <f>"2025-11-11"</f>
        <v>2025-11-11</v>
      </c>
      <c r="B3925" s="1" t="str">
        <f t="shared" si="61"/>
        <v>11/11/2025</v>
      </c>
      <c r="C3925" t="str">
        <f>"48.9559"</f>
        <v>48.9559</v>
      </c>
      <c r="D3925" s="1" t="s">
        <v>3916</v>
      </c>
      <c r="E3925" t="s">
        <v>8023</v>
      </c>
    </row>
    <row r="3926" spans="1:5" x14ac:dyDescent="0.35">
      <c r="A3926" t="str">
        <f>"2025-11-12"</f>
        <v>2025-11-12</v>
      </c>
      <c r="B3926" s="1" t="str">
        <f t="shared" si="61"/>
        <v>11/12/2025</v>
      </c>
      <c r="C3926" t="str">
        <f>"46.9394"</f>
        <v>46.9394</v>
      </c>
      <c r="D3926" s="1" t="s">
        <v>3917</v>
      </c>
      <c r="E3926" t="s">
        <v>8024</v>
      </c>
    </row>
    <row r="3927" spans="1:5" x14ac:dyDescent="0.35">
      <c r="A3927" t="str">
        <f>"2025-11-13"</f>
        <v>2025-11-13</v>
      </c>
      <c r="B3927" s="1" t="str">
        <f t="shared" si="61"/>
        <v>11/13/2025</v>
      </c>
      <c r="C3927" t="str">
        <f>"47.6514"</f>
        <v>47.6514</v>
      </c>
      <c r="D3927" s="1" t="s">
        <v>3918</v>
      </c>
      <c r="E3927" t="s">
        <v>8025</v>
      </c>
    </row>
    <row r="3928" spans="1:5" x14ac:dyDescent="0.35">
      <c r="A3928" t="str">
        <f>"2025-11-14"</f>
        <v>2025-11-14</v>
      </c>
      <c r="B3928" s="1" t="str">
        <f t="shared" si="61"/>
        <v>11/14/2025</v>
      </c>
      <c r="C3928" t="str">
        <f>"48.4066"</f>
        <v>48.4066</v>
      </c>
      <c r="D3928" s="1" t="s">
        <v>3919</v>
      </c>
      <c r="E3928" t="s">
        <v>8026</v>
      </c>
    </row>
    <row r="3929" spans="1:5" x14ac:dyDescent="0.35">
      <c r="A3929" t="str">
        <f>"2025-11-17"</f>
        <v>2025-11-17</v>
      </c>
      <c r="B3929" s="1" t="str">
        <f t="shared" si="61"/>
        <v>11/17/2025</v>
      </c>
      <c r="C3929" t="str">
        <f>"48.5151"</f>
        <v>48.5151</v>
      </c>
      <c r="D3929" s="1" t="s">
        <v>3920</v>
      </c>
      <c r="E3929" t="s">
        <v>8027</v>
      </c>
    </row>
    <row r="3930" spans="1:5" x14ac:dyDescent="0.35">
      <c r="A3930" t="str">
        <f>"2025-11-18"</f>
        <v>2025-11-18</v>
      </c>
      <c r="B3930" s="1" t="str">
        <f t="shared" si="61"/>
        <v>11/18/2025</v>
      </c>
      <c r="C3930" t="str">
        <f>"48.4102"</f>
        <v>48.4102</v>
      </c>
      <c r="D3930" s="1" t="s">
        <v>3921</v>
      </c>
      <c r="E3930" t="s">
        <v>8028</v>
      </c>
    </row>
    <row r="3931" spans="1:5" x14ac:dyDescent="0.35">
      <c r="A3931" t="str">
        <f>"2025-11-19"</f>
        <v>2025-11-19</v>
      </c>
      <c r="B3931" s="1" t="str">
        <f t="shared" si="61"/>
        <v>11/19/2025</v>
      </c>
      <c r="C3931" t="str">
        <f>"50.0081"</f>
        <v>50.0081</v>
      </c>
      <c r="D3931" s="1" t="s">
        <v>3922</v>
      </c>
      <c r="E3931" t="s">
        <v>8029</v>
      </c>
    </row>
    <row r="3932" spans="1:5" x14ac:dyDescent="0.35">
      <c r="A3932" t="str">
        <f>"2025-11-20"</f>
        <v>2025-11-20</v>
      </c>
      <c r="B3932" s="1" t="str">
        <f t="shared" si="61"/>
        <v>11/20/2025</v>
      </c>
      <c r="C3932" t="str">
        <f>"50.0241"</f>
        <v>50.0241</v>
      </c>
      <c r="D3932" s="1" t="s">
        <v>3923</v>
      </c>
      <c r="E3932" t="s">
        <v>8030</v>
      </c>
    </row>
    <row r="3933" spans="1:5" x14ac:dyDescent="0.35">
      <c r="A3933" t="str">
        <f>"2025-11-21"</f>
        <v>2025-11-21</v>
      </c>
      <c r="B3933" s="1" t="str">
        <f t="shared" si="61"/>
        <v>11/21/2025</v>
      </c>
      <c r="C3933" t="str">
        <f>"49.0796"</f>
        <v>49.0796</v>
      </c>
      <c r="D3933" s="1" t="s">
        <v>3924</v>
      </c>
      <c r="E3933" t="s">
        <v>8031</v>
      </c>
    </row>
    <row r="3934" spans="1:5" x14ac:dyDescent="0.35">
      <c r="A3934" t="str">
        <f>"2025-11-24"</f>
        <v>2025-11-24</v>
      </c>
      <c r="B3934" s="1" t="str">
        <f t="shared" si="61"/>
        <v>11/24/2025</v>
      </c>
      <c r="C3934" t="str">
        <f>"48.4538"</f>
        <v>48.4538</v>
      </c>
      <c r="D3934" s="1" t="s">
        <v>3925</v>
      </c>
      <c r="E3934" t="s">
        <v>8032</v>
      </c>
    </row>
    <row r="3935" spans="1:5" x14ac:dyDescent="0.35">
      <c r="A3935" t="str">
        <f>"2025-11-25"</f>
        <v>2025-11-25</v>
      </c>
      <c r="B3935" s="1" t="str">
        <f t="shared" si="61"/>
        <v>11/25/2025</v>
      </c>
      <c r="C3935" t="str">
        <f>"48.3785"</f>
        <v>48.3785</v>
      </c>
      <c r="D3935" s="1" t="s">
        <v>3926</v>
      </c>
      <c r="E3935" t="s">
        <v>8033</v>
      </c>
    </row>
    <row r="3936" spans="1:5" x14ac:dyDescent="0.35">
      <c r="A3936" t="str">
        <f>"2025-11-26"</f>
        <v>2025-11-26</v>
      </c>
      <c r="B3936" s="1" t="str">
        <f t="shared" si="61"/>
        <v>11/26/2025</v>
      </c>
      <c r="C3936" t="str">
        <f>"48.23"</f>
        <v>48.23</v>
      </c>
      <c r="D3936" s="1" t="s">
        <v>3927</v>
      </c>
      <c r="E3936" t="s">
        <v>8034</v>
      </c>
    </row>
    <row r="3937" spans="1:5" x14ac:dyDescent="0.35">
      <c r="A3937" t="str">
        <f>"2025-11-28"</f>
        <v>2025-11-28</v>
      </c>
      <c r="B3937" s="1" t="str">
        <f t="shared" si="61"/>
        <v>11/28/2025</v>
      </c>
      <c r="C3937" t="str">
        <f>"47.3369"</f>
        <v>47.3369</v>
      </c>
      <c r="D3937" s="1" t="s">
        <v>3928</v>
      </c>
      <c r="E3937" t="s">
        <v>8035</v>
      </c>
    </row>
    <row r="3938" spans="1:5" x14ac:dyDescent="0.35">
      <c r="A3938" t="str">
        <f>"2025-12-01"</f>
        <v>2025-12-01</v>
      </c>
      <c r="B3938" s="1" t="str">
        <f t="shared" si="61"/>
        <v>12/01/2025</v>
      </c>
      <c r="C3938" t="str">
        <f>"47.7676"</f>
        <v>47.7676</v>
      </c>
      <c r="D3938" s="1" t="s">
        <v>3929</v>
      </c>
      <c r="E3938" t="s">
        <v>8036</v>
      </c>
    </row>
    <row r="3939" spans="1:5" x14ac:dyDescent="0.35">
      <c r="A3939" t="str">
        <f>"2025-12-02"</f>
        <v>2025-12-02</v>
      </c>
      <c r="B3939" s="1" t="str">
        <f t="shared" si="61"/>
        <v>12/02/2025</v>
      </c>
      <c r="C3939" t="str">
        <f>"48.8654"</f>
        <v>48.8654</v>
      </c>
      <c r="D3939" s="1" t="s">
        <v>3930</v>
      </c>
      <c r="E3939" t="s">
        <v>8037</v>
      </c>
    </row>
    <row r="3940" spans="1:5" x14ac:dyDescent="0.35">
      <c r="A3940" t="str">
        <f>"2025-12-03"</f>
        <v>2025-12-03</v>
      </c>
      <c r="B3940" s="1" t="str">
        <f t="shared" si="61"/>
        <v>12/03/2025</v>
      </c>
      <c r="C3940" t="str">
        <f>"48.0677"</f>
        <v>48.0677</v>
      </c>
      <c r="D3940" s="1" t="s">
        <v>3931</v>
      </c>
      <c r="E3940" t="s">
        <v>8038</v>
      </c>
    </row>
    <row r="3941" spans="1:5" x14ac:dyDescent="0.35">
      <c r="A3941" t="str">
        <f>"2025-12-04"</f>
        <v>2025-12-04</v>
      </c>
      <c r="B3941" s="1" t="str">
        <f t="shared" si="61"/>
        <v>12/04/2025</v>
      </c>
      <c r="C3941" t="str">
        <f>"46.9741"</f>
        <v>46.9741</v>
      </c>
      <c r="D3941" s="1" t="s">
        <v>3932</v>
      </c>
      <c r="E3941" t="s">
        <v>8039</v>
      </c>
    </row>
    <row r="3942" spans="1:5" x14ac:dyDescent="0.35">
      <c r="A3942" t="str">
        <f>"2025-12-05"</f>
        <v>2025-12-05</v>
      </c>
      <c r="B3942" s="1" t="str">
        <f t="shared" si="61"/>
        <v>12/05/2025</v>
      </c>
      <c r="C3942" t="str">
        <f>"46.9466"</f>
        <v>46.9466</v>
      </c>
      <c r="D3942" s="1" t="s">
        <v>3933</v>
      </c>
      <c r="E3942" t="s">
        <v>8040</v>
      </c>
    </row>
    <row r="3943" spans="1:5" x14ac:dyDescent="0.35">
      <c r="A3943" t="str">
        <f>"2025-12-08"</f>
        <v>2025-12-08</v>
      </c>
      <c r="B3943" s="1" t="str">
        <f t="shared" si="61"/>
        <v>12/08/2025</v>
      </c>
      <c r="C3943" t="str">
        <f>"47.5676"</f>
        <v>47.5676</v>
      </c>
      <c r="D3943" s="1" t="s">
        <v>3934</v>
      </c>
      <c r="E3943" t="s">
        <v>8041</v>
      </c>
    </row>
    <row r="3944" spans="1:5" x14ac:dyDescent="0.35">
      <c r="A3944" t="str">
        <f>"2025-12-09"</f>
        <v>2025-12-09</v>
      </c>
      <c r="B3944" s="1" t="str">
        <f t="shared" si="61"/>
        <v>12/09/2025</v>
      </c>
      <c r="C3944" t="str">
        <f>"47.1735"</f>
        <v>47.1735</v>
      </c>
      <c r="D3944" s="1" t="s">
        <v>3935</v>
      </c>
      <c r="E3944" t="s">
        <v>8042</v>
      </c>
    </row>
    <row r="3945" spans="1:5" x14ac:dyDescent="0.35">
      <c r="A3945" t="str">
        <f>"2025-12-10"</f>
        <v>2025-12-10</v>
      </c>
      <c r="B3945" s="1" t="str">
        <f t="shared" si="61"/>
        <v>12/10/2025</v>
      </c>
      <c r="C3945" t="str">
        <f>"47.1201"</f>
        <v>47.1201</v>
      </c>
      <c r="D3945" s="1" t="s">
        <v>3936</v>
      </c>
      <c r="E3945" t="s">
        <v>8043</v>
      </c>
    </row>
    <row r="3946" spans="1:5" x14ac:dyDescent="0.35">
      <c r="A3946" t="str">
        <f>"2025-12-11"</f>
        <v>2025-12-11</v>
      </c>
      <c r="B3946" s="1" t="str">
        <f t="shared" si="61"/>
        <v>12/11/2025</v>
      </c>
      <c r="C3946" t="str">
        <f>"45.9027"</f>
        <v>45.9027</v>
      </c>
      <c r="D3946" s="1" t="s">
        <v>3937</v>
      </c>
      <c r="E3946" t="s">
        <v>8044</v>
      </c>
    </row>
    <row r="3947" spans="1:5" x14ac:dyDescent="0.35">
      <c r="A3947" t="str">
        <f>"2025-12-12"</f>
        <v>2025-12-12</v>
      </c>
      <c r="B3947" s="1" t="str">
        <f t="shared" si="61"/>
        <v>12/12/2025</v>
      </c>
      <c r="C3947" t="str">
        <f>"46.1912"</f>
        <v>46.1912</v>
      </c>
      <c r="D3947" s="1" t="s">
        <v>3938</v>
      </c>
      <c r="E3947" t="s">
        <v>8045</v>
      </c>
    </row>
    <row r="3948" spans="1:5" x14ac:dyDescent="0.35">
      <c r="A3948" t="str">
        <f>"2025-12-15"</f>
        <v>2025-12-15</v>
      </c>
      <c r="B3948" s="1" t="str">
        <f t="shared" si="61"/>
        <v>12/15/2025</v>
      </c>
      <c r="C3948" t="str">
        <f>"46.405"</f>
        <v>46.405</v>
      </c>
      <c r="D3948" s="1" t="s">
        <v>3939</v>
      </c>
      <c r="E3948" t="s">
        <v>8046</v>
      </c>
    </row>
    <row r="3949" spans="1:5" x14ac:dyDescent="0.35">
      <c r="A3949" t="str">
        <f>"2025-12-16"</f>
        <v>2025-12-16</v>
      </c>
      <c r="B3949" s="1" t="str">
        <f t="shared" si="61"/>
        <v>12/16/2025</v>
      </c>
      <c r="C3949" t="str">
        <f>"46.2467"</f>
        <v>46.2467</v>
      </c>
      <c r="D3949" s="1" t="s">
        <v>3940</v>
      </c>
      <c r="E3949" t="s">
        <v>8047</v>
      </c>
    </row>
    <row r="3950" spans="1:5" x14ac:dyDescent="0.35">
      <c r="A3950" t="str">
        <f>"2025-12-17"</f>
        <v>2025-12-17</v>
      </c>
      <c r="B3950" s="1" t="str">
        <f t="shared" si="61"/>
        <v>12/17/2025</v>
      </c>
      <c r="C3950" t="str">
        <f>"45.9003"</f>
        <v>45.9003</v>
      </c>
      <c r="D3950" s="1" t="s">
        <v>3941</v>
      </c>
      <c r="E3950" t="s">
        <v>8048</v>
      </c>
    </row>
    <row r="3951" spans="1:5" x14ac:dyDescent="0.35">
      <c r="A3951" t="str">
        <f>"2025-12-18"</f>
        <v>2025-12-18</v>
      </c>
      <c r="B3951" s="1" t="str">
        <f t="shared" si="61"/>
        <v>12/18/2025</v>
      </c>
      <c r="C3951" t="str">
        <f>"46.0451"</f>
        <v>46.0451</v>
      </c>
      <c r="D3951" s="1" t="s">
        <v>3942</v>
      </c>
      <c r="E3951" t="s">
        <v>8049</v>
      </c>
    </row>
    <row r="3952" spans="1:5" x14ac:dyDescent="0.35">
      <c r="A3952" t="str">
        <f>"2025-12-19"</f>
        <v>2025-12-19</v>
      </c>
      <c r="B3952" s="1" t="str">
        <f t="shared" si="61"/>
        <v>12/19/2025</v>
      </c>
      <c r="C3952" t="str">
        <f>"46.2126"</f>
        <v>46.2126</v>
      </c>
      <c r="D3952" s="1" t="s">
        <v>3943</v>
      </c>
      <c r="E3952" t="s">
        <v>8050</v>
      </c>
    </row>
    <row r="3953" spans="1:5" x14ac:dyDescent="0.35">
      <c r="A3953" t="str">
        <f>"2025-12-22"</f>
        <v>2025-12-22</v>
      </c>
      <c r="B3953" s="1" t="str">
        <f t="shared" si="61"/>
        <v>12/22/2025</v>
      </c>
      <c r="C3953" t="str">
        <f>"44.4664"</f>
        <v>44.4664</v>
      </c>
      <c r="D3953" s="1" t="s">
        <v>3944</v>
      </c>
      <c r="E3953" t="s">
        <v>8051</v>
      </c>
    </row>
    <row r="3954" spans="1:5" x14ac:dyDescent="0.35">
      <c r="A3954" t="str">
        <f>"2025-12-23"</f>
        <v>2025-12-23</v>
      </c>
      <c r="B3954" s="1" t="str">
        <f t="shared" si="61"/>
        <v>12/23/2025</v>
      </c>
      <c r="C3954" t="str">
        <f>"43.8352"</f>
        <v>43.8352</v>
      </c>
      <c r="D3954" s="1" t="s">
        <v>3945</v>
      </c>
      <c r="E3954" t="s">
        <v>8052</v>
      </c>
    </row>
    <row r="3955" spans="1:5" x14ac:dyDescent="0.35">
      <c r="A3955" t="str">
        <f>"2025-12-24"</f>
        <v>2025-12-24</v>
      </c>
      <c r="B3955" s="1" t="str">
        <f t="shared" si="61"/>
        <v>12/24/2025</v>
      </c>
      <c r="C3955" t="str">
        <f>"43.9453"</f>
        <v>43.9453</v>
      </c>
      <c r="D3955" s="1" t="s">
        <v>3946</v>
      </c>
      <c r="E3955" t="s">
        <v>8053</v>
      </c>
    </row>
    <row r="3956" spans="1:5" x14ac:dyDescent="0.35">
      <c r="A3956" t="str">
        <f>"2025-12-26"</f>
        <v>2025-12-26</v>
      </c>
      <c r="B3956" s="1" t="str">
        <f t="shared" si="61"/>
        <v>12/26/2025</v>
      </c>
      <c r="C3956" t="str">
        <f>"42.9473"</f>
        <v>42.9473</v>
      </c>
      <c r="D3956" s="1" t="s">
        <v>3947</v>
      </c>
      <c r="E3956" t="s">
        <v>8054</v>
      </c>
    </row>
    <row r="3957" spans="1:5" x14ac:dyDescent="0.35">
      <c r="A3957" t="str">
        <f>"2025-12-29"</f>
        <v>2025-12-29</v>
      </c>
      <c r="B3957" s="1" t="str">
        <f t="shared" si="61"/>
        <v>12/29/2025</v>
      </c>
      <c r="C3957" t="str">
        <f>"44.3343"</f>
        <v>44.3343</v>
      </c>
      <c r="D3957" s="1" t="s">
        <v>3948</v>
      </c>
      <c r="E3957" t="s">
        <v>8055</v>
      </c>
    </row>
    <row r="3958" spans="1:5" x14ac:dyDescent="0.35">
      <c r="A3958" t="str">
        <f>"2025-12-30"</f>
        <v>2025-12-30</v>
      </c>
      <c r="B3958" s="1" t="str">
        <f t="shared" si="61"/>
        <v>12/30/2025</v>
      </c>
      <c r="C3958" t="str">
        <f>"44.3842"</f>
        <v>44.3842</v>
      </c>
      <c r="D3958" s="1" t="s">
        <v>3949</v>
      </c>
      <c r="E3958" t="s">
        <v>8056</v>
      </c>
    </row>
    <row r="3959" spans="1:5" x14ac:dyDescent="0.35">
      <c r="A3959" t="str">
        <f>"2025-12-31"</f>
        <v>2025-12-31</v>
      </c>
      <c r="B3959" s="1" t="str">
        <f t="shared" si="61"/>
        <v>12/31/2025</v>
      </c>
      <c r="C3959" t="str">
        <f>"44.9494"</f>
        <v>44.9494</v>
      </c>
      <c r="D3959" s="1" t="s">
        <v>3950</v>
      </c>
      <c r="E3959" t="s">
        <v>8057</v>
      </c>
    </row>
    <row r="3960" spans="1:5" x14ac:dyDescent="0.35">
      <c r="A3960" t="str">
        <f>"2026-01-02"</f>
        <v>2026-01-02</v>
      </c>
      <c r="B3960" s="1" t="str">
        <f t="shared" si="61"/>
        <v>01/02/2026</v>
      </c>
      <c r="C3960" t="str">
        <f>"45.9862"</f>
        <v>45.9862</v>
      </c>
      <c r="D3960" s="1" t="s">
        <v>3951</v>
      </c>
      <c r="E3960" t="s">
        <v>8058</v>
      </c>
    </row>
    <row r="3961" spans="1:5" x14ac:dyDescent="0.35">
      <c r="A3961" t="str">
        <f>"2026-01-05"</f>
        <v>2026-01-05</v>
      </c>
      <c r="B3961" s="1" t="str">
        <f t="shared" si="61"/>
        <v>01/05/2026</v>
      </c>
      <c r="C3961" t="str">
        <f>"45.2691"</f>
        <v>45.2691</v>
      </c>
      <c r="D3961" s="1" t="s">
        <v>3952</v>
      </c>
      <c r="E3961" t="s">
        <v>8059</v>
      </c>
    </row>
    <row r="3962" spans="1:5" x14ac:dyDescent="0.35">
      <c r="A3962" t="str">
        <f>"2026-01-06"</f>
        <v>2026-01-06</v>
      </c>
      <c r="B3962" s="1" t="str">
        <f t="shared" si="61"/>
        <v>01/06/2026</v>
      </c>
      <c r="C3962" t="str">
        <f>"46.5157"</f>
        <v>46.5157</v>
      </c>
      <c r="D3962" s="1" t="s">
        <v>3953</v>
      </c>
      <c r="E3962" t="s">
        <v>8060</v>
      </c>
    </row>
    <row r="3963" spans="1:5" x14ac:dyDescent="0.35">
      <c r="A3963" t="str">
        <f>"2026-01-07"</f>
        <v>2026-01-07</v>
      </c>
      <c r="B3963" s="1" t="str">
        <f t="shared" si="61"/>
        <v>01/07/2026</v>
      </c>
      <c r="C3963" t="str">
        <f>"47.2236"</f>
        <v>47.2236</v>
      </c>
      <c r="D3963" s="1" t="s">
        <v>3954</v>
      </c>
      <c r="E3963" t="s">
        <v>8061</v>
      </c>
    </row>
    <row r="3964" spans="1:5" x14ac:dyDescent="0.35">
      <c r="A3964" t="str">
        <f>"2026-01-08"</f>
        <v>2026-01-08</v>
      </c>
      <c r="B3964" s="1" t="str">
        <f t="shared" si="61"/>
        <v>01/08/2026</v>
      </c>
      <c r="C3964" t="str">
        <f>"47.8328"</f>
        <v>47.8328</v>
      </c>
      <c r="D3964" s="1" t="s">
        <v>3955</v>
      </c>
      <c r="E3964" t="s">
        <v>8062</v>
      </c>
    </row>
    <row r="3965" spans="1:5" x14ac:dyDescent="0.35">
      <c r="A3965" t="str">
        <f>"2026-01-09"</f>
        <v>2026-01-09</v>
      </c>
      <c r="B3965" s="1" t="str">
        <f t="shared" si="61"/>
        <v>01/09/2026</v>
      </c>
      <c r="C3965" t="str">
        <f>"46.8171"</f>
        <v>46.8171</v>
      </c>
      <c r="D3965" s="1" t="s">
        <v>3956</v>
      </c>
      <c r="E3965" t="s">
        <v>8063</v>
      </c>
    </row>
    <row r="3966" spans="1:5" x14ac:dyDescent="0.35">
      <c r="A3966" t="str">
        <f>"2026-01-12"</f>
        <v>2026-01-12</v>
      </c>
      <c r="B3966" s="1" t="str">
        <f t="shared" si="61"/>
        <v>01/12/2026</v>
      </c>
      <c r="C3966" t="str">
        <f>"45.6828"</f>
        <v>45.6828</v>
      </c>
      <c r="D3966" s="1" t="s">
        <v>3957</v>
      </c>
      <c r="E3966" t="s">
        <v>8064</v>
      </c>
    </row>
    <row r="3967" spans="1:5" x14ac:dyDescent="0.35">
      <c r="A3967" t="str">
        <f>"2026-01-13"</f>
        <v>2026-01-13</v>
      </c>
      <c r="B3967" s="1" t="str">
        <f t="shared" si="61"/>
        <v>01/13/2026</v>
      </c>
      <c r="C3967" t="str">
        <f>"45.0875"</f>
        <v>45.0875</v>
      </c>
      <c r="D3967" s="1" t="s">
        <v>3958</v>
      </c>
      <c r="E3967" t="s">
        <v>8065</v>
      </c>
    </row>
    <row r="3968" spans="1:5" x14ac:dyDescent="0.35">
      <c r="A3968" t="str">
        <f>"2026-01-14"</f>
        <v>2026-01-14</v>
      </c>
      <c r="B3968" s="1" t="str">
        <f t="shared" si="61"/>
        <v>01/14/2026</v>
      </c>
      <c r="C3968" t="str">
        <f>"43.6633"</f>
        <v>43.6633</v>
      </c>
      <c r="D3968" s="1" t="s">
        <v>3959</v>
      </c>
      <c r="E3968" t="s">
        <v>8066</v>
      </c>
    </row>
    <row r="3969" spans="1:5" x14ac:dyDescent="0.35">
      <c r="A3969" t="str">
        <f>"2026-01-15"</f>
        <v>2026-01-15</v>
      </c>
      <c r="B3969" s="1" t="str">
        <f t="shared" si="61"/>
        <v>01/15/2026</v>
      </c>
      <c r="C3969" t="str">
        <f>"44.911"</f>
        <v>44.911</v>
      </c>
      <c r="D3969" s="1" t="s">
        <v>3960</v>
      </c>
      <c r="E3969" t="s">
        <v>8067</v>
      </c>
    </row>
    <row r="3970" spans="1:5" x14ac:dyDescent="0.35">
      <c r="A3970" t="str">
        <f>"2026-01-16"</f>
        <v>2026-01-16</v>
      </c>
      <c r="B3970" s="1" t="str">
        <f t="shared" si="61"/>
        <v>01/16/2026</v>
      </c>
      <c r="C3970" t="str">
        <f>"45.7427"</f>
        <v>45.7427</v>
      </c>
      <c r="D3970" s="1" t="s">
        <v>3961</v>
      </c>
      <c r="E3970" t="s">
        <v>8068</v>
      </c>
    </row>
    <row r="3971" spans="1:5" x14ac:dyDescent="0.35">
      <c r="A3971" t="str">
        <f>"2026-01-20"</f>
        <v>2026-01-20</v>
      </c>
      <c r="B3971" s="1" t="str">
        <f t="shared" ref="B3971:B4034" si="62">LEFT(RIGHT(A3971,5),2)&amp;"/"&amp;RIGHT(A3971,2)&amp;"/"&amp;LEFT(A3971,4)</f>
        <v>01/20/2026</v>
      </c>
      <c r="C3971" t="str">
        <f>"44.0934"</f>
        <v>44.0934</v>
      </c>
      <c r="D3971" s="1" t="s">
        <v>3962</v>
      </c>
      <c r="E3971" t="s">
        <v>8069</v>
      </c>
    </row>
    <row r="3972" spans="1:5" x14ac:dyDescent="0.35">
      <c r="A3972" t="str">
        <f>"2026-01-21"</f>
        <v>2026-01-21</v>
      </c>
      <c r="B3972" s="1" t="str">
        <f t="shared" si="62"/>
        <v>01/21/2026</v>
      </c>
      <c r="C3972" t="str">
        <f>"44.1647"</f>
        <v>44.1647</v>
      </c>
      <c r="D3972" s="1" t="s">
        <v>3963</v>
      </c>
      <c r="E3972" t="s">
        <v>8070</v>
      </c>
    </row>
    <row r="3973" spans="1:5" x14ac:dyDescent="0.35">
      <c r="A3973" t="str">
        <f>"2026-01-22"</f>
        <v>2026-01-22</v>
      </c>
      <c r="B3973" s="1" t="str">
        <f t="shared" si="62"/>
        <v>01/22/2026</v>
      </c>
      <c r="C3973" t="str">
        <f>"43.7582"</f>
        <v>43.7582</v>
      </c>
      <c r="D3973" s="1" t="s">
        <v>3964</v>
      </c>
      <c r="E3973" t="s">
        <v>8071</v>
      </c>
    </row>
    <row r="3974" spans="1:5" x14ac:dyDescent="0.35">
      <c r="A3974" t="str">
        <f>"2026-01-23"</f>
        <v>2026-01-23</v>
      </c>
      <c r="B3974" s="1" t="str">
        <f t="shared" si="62"/>
        <v>01/23/2026</v>
      </c>
      <c r="C3974" t="str">
        <f>"43.41"</f>
        <v>43.41</v>
      </c>
      <c r="D3974" s="1" t="s">
        <v>3965</v>
      </c>
      <c r="E3974" t="s">
        <v>8072</v>
      </c>
    </row>
    <row r="3975" spans="1:5" x14ac:dyDescent="0.35">
      <c r="A3975" t="str">
        <f>"2026-01-26"</f>
        <v>2026-01-26</v>
      </c>
      <c r="B3975" s="1" t="str">
        <f t="shared" si="62"/>
        <v>01/26/2026</v>
      </c>
      <c r="C3975" t="str">
        <f>"42.233"</f>
        <v>42.233</v>
      </c>
      <c r="D3975" s="1" t="s">
        <v>3966</v>
      </c>
      <c r="E3975" t="s">
        <v>8073</v>
      </c>
    </row>
    <row r="3976" spans="1:5" x14ac:dyDescent="0.35">
      <c r="A3976" t="str">
        <f>"2026-01-27"</f>
        <v>2026-01-27</v>
      </c>
      <c r="B3976" s="1" t="str">
        <f t="shared" si="62"/>
        <v>01/27/2026</v>
      </c>
      <c r="C3976" t="str">
        <f>"41.5301"</f>
        <v>41.5301</v>
      </c>
      <c r="D3976" s="1" t="s">
        <v>3967</v>
      </c>
      <c r="E3976" t="s">
        <v>8074</v>
      </c>
    </row>
    <row r="3977" spans="1:5" x14ac:dyDescent="0.35">
      <c r="A3977" t="str">
        <f>"2026-01-28"</f>
        <v>2026-01-28</v>
      </c>
      <c r="B3977" s="1" t="str">
        <f t="shared" si="62"/>
        <v>01/28/2026</v>
      </c>
      <c r="C3977" t="str">
        <f>"40.2701"</f>
        <v>40.2701</v>
      </c>
      <c r="D3977" s="1" t="s">
        <v>3968</v>
      </c>
      <c r="E3977" t="s">
        <v>8075</v>
      </c>
    </row>
    <row r="3978" spans="1:5" x14ac:dyDescent="0.35">
      <c r="A3978" t="str">
        <f>"2026-01-29"</f>
        <v>2026-01-29</v>
      </c>
      <c r="B3978" s="1" t="str">
        <f t="shared" si="62"/>
        <v>01/29/2026</v>
      </c>
      <c r="C3978" t="str">
        <f>"40.7223"</f>
        <v>40.7223</v>
      </c>
      <c r="D3978" s="1" t="s">
        <v>3969</v>
      </c>
      <c r="E3978" t="s">
        <v>8076</v>
      </c>
    </row>
    <row r="3979" spans="1:5" x14ac:dyDescent="0.35">
      <c r="A3979" t="str">
        <f>"2026-01-30"</f>
        <v>2026-01-30</v>
      </c>
      <c r="B3979" s="1" t="str">
        <f t="shared" si="62"/>
        <v>01/30/2026</v>
      </c>
      <c r="C3979" t="str">
        <f>"46.1596"</f>
        <v>46.1596</v>
      </c>
      <c r="D3979" s="1" t="s">
        <v>3970</v>
      </c>
      <c r="E3979" t="s">
        <v>8077</v>
      </c>
    </row>
    <row r="3980" spans="1:5" x14ac:dyDescent="0.35">
      <c r="A3980" t="str">
        <f>"2026-02-02"</f>
        <v>2026-02-02</v>
      </c>
      <c r="B3980" s="1" t="str">
        <f t="shared" si="62"/>
        <v>02/02/2026</v>
      </c>
      <c r="C3980" t="str">
        <f>"47.314"</f>
        <v>47.314</v>
      </c>
      <c r="D3980" s="1" t="s">
        <v>3971</v>
      </c>
      <c r="E3980" t="s">
        <v>8078</v>
      </c>
    </row>
    <row r="3981" spans="1:5" x14ac:dyDescent="0.35">
      <c r="A3981" t="str">
        <f>"2026-02-03"</f>
        <v>2026-02-03</v>
      </c>
      <c r="B3981" s="1" t="str">
        <f t="shared" si="62"/>
        <v>02/03/2026</v>
      </c>
      <c r="C3981" t="str">
        <f>"46.5047"</f>
        <v>46.5047</v>
      </c>
      <c r="D3981" s="1" t="s">
        <v>3972</v>
      </c>
      <c r="E3981" t="s">
        <v>8079</v>
      </c>
    </row>
    <row r="3982" spans="1:5" x14ac:dyDescent="0.35">
      <c r="A3982" t="str">
        <f>"2026-02-04"</f>
        <v>2026-02-04</v>
      </c>
      <c r="B3982" s="1" t="str">
        <f t="shared" si="62"/>
        <v>02/04/2026</v>
      </c>
      <c r="C3982" t="str">
        <f>"46.5841"</f>
        <v>46.5841</v>
      </c>
      <c r="D3982" s="1" t="s">
        <v>3973</v>
      </c>
      <c r="E3982" t="s">
        <v>8080</v>
      </c>
    </row>
    <row r="3983" spans="1:5" x14ac:dyDescent="0.35">
      <c r="A3983" t="str">
        <f>"2026-02-05"</f>
        <v>2026-02-05</v>
      </c>
      <c r="B3983" s="1" t="str">
        <f t="shared" si="62"/>
        <v>02/05/2026</v>
      </c>
      <c r="C3983" t="str">
        <f>"46.604"</f>
        <v>46.604</v>
      </c>
      <c r="D3983" s="1" t="s">
        <v>3974</v>
      </c>
      <c r="E3983" t="s">
        <v>8081</v>
      </c>
    </row>
    <row r="3984" spans="1:5" x14ac:dyDescent="0.35">
      <c r="A3984" t="str">
        <f>"2026-02-06"</f>
        <v>2026-02-06</v>
      </c>
      <c r="B3984" s="1" t="str">
        <f t="shared" si="62"/>
        <v>02/06/2026</v>
      </c>
      <c r="C3984" t="str">
        <f>"46.4568"</f>
        <v>46.4568</v>
      </c>
      <c r="D3984" s="1" t="s">
        <v>3975</v>
      </c>
      <c r="E3984" t="s">
        <v>8082</v>
      </c>
    </row>
    <row r="3985" spans="1:5" x14ac:dyDescent="0.35">
      <c r="A3985" t="str">
        <f>"2026-02-09"</f>
        <v>2026-02-09</v>
      </c>
      <c r="B3985" s="1" t="str">
        <f t="shared" si="62"/>
        <v>02/09/2026</v>
      </c>
      <c r="C3985" t="str">
        <f>"46.6787"</f>
        <v>46.6787</v>
      </c>
      <c r="D3985" s="1" t="s">
        <v>3976</v>
      </c>
      <c r="E3985" t="s">
        <v>8083</v>
      </c>
    </row>
    <row r="3986" spans="1:5" x14ac:dyDescent="0.35">
      <c r="A3986" t="str">
        <f>"2026-02-10"</f>
        <v>2026-02-10</v>
      </c>
      <c r="B3986" s="1" t="str">
        <f t="shared" si="62"/>
        <v>02/10/2026</v>
      </c>
      <c r="C3986" t="str">
        <f>"47.4926"</f>
        <v>47.4926</v>
      </c>
      <c r="D3986" s="1" t="s">
        <v>3977</v>
      </c>
      <c r="E3986" t="s">
        <v>8084</v>
      </c>
    </row>
    <row r="3987" spans="1:5" x14ac:dyDescent="0.35">
      <c r="A3987" t="str">
        <f>"2026-02-11"</f>
        <v>2026-02-11</v>
      </c>
      <c r="B3987" s="1" t="str">
        <f t="shared" si="62"/>
        <v>02/11/2026</v>
      </c>
      <c r="C3987" t="str">
        <f>"46.5299"</f>
        <v>46.5299</v>
      </c>
      <c r="D3987" s="1" t="s">
        <v>3978</v>
      </c>
      <c r="E3987" t="s">
        <v>8085</v>
      </c>
    </row>
    <row r="3988" spans="1:5" x14ac:dyDescent="0.35">
      <c r="A3988" t="str">
        <f>"2026-02-12"</f>
        <v>2026-02-12</v>
      </c>
      <c r="B3988" s="1" t="str">
        <f t="shared" si="62"/>
        <v>02/12/2026</v>
      </c>
      <c r="C3988" t="str">
        <f>"48.7867"</f>
        <v>48.7867</v>
      </c>
      <c r="D3988" s="1" t="s">
        <v>3979</v>
      </c>
      <c r="E3988" t="s">
        <v>8086</v>
      </c>
    </row>
    <row r="3989" spans="1:5" x14ac:dyDescent="0.35">
      <c r="A3989" t="str">
        <f>"2026-02-13"</f>
        <v>2026-02-13</v>
      </c>
      <c r="B3989" s="1" t="str">
        <f t="shared" si="62"/>
        <v>02/13/2026</v>
      </c>
      <c r="C3989" t="str">
        <f>"49.2537"</f>
        <v>49.2537</v>
      </c>
      <c r="D3989" s="1" t="s">
        <v>3980</v>
      </c>
      <c r="E3989" t="s">
        <v>8087</v>
      </c>
    </row>
    <row r="3990" spans="1:5" x14ac:dyDescent="0.35">
      <c r="A3990" t="str">
        <f>"2026-02-17"</f>
        <v>2026-02-17</v>
      </c>
      <c r="B3990" s="1" t="str">
        <f t="shared" si="62"/>
        <v>02/17/2026</v>
      </c>
      <c r="C3990" t="str">
        <f>"50.2623"</f>
        <v>50.2623</v>
      </c>
      <c r="D3990" s="1" t="s">
        <v>3981</v>
      </c>
      <c r="E3990" t="s">
        <v>8088</v>
      </c>
    </row>
    <row r="3991" spans="1:5" x14ac:dyDescent="0.35">
      <c r="A3991" t="str">
        <f>"2026-02-18"</f>
        <v>2026-02-18</v>
      </c>
      <c r="B3991" s="1" t="str">
        <f t="shared" si="62"/>
        <v>02/18/2026</v>
      </c>
      <c r="C3991" t="str">
        <f>"46.816"</f>
        <v>46.816</v>
      </c>
      <c r="D3991" s="1" t="s">
        <v>3982</v>
      </c>
      <c r="E3991" t="s">
        <v>8089</v>
      </c>
    </row>
    <row r="3992" spans="1:5" x14ac:dyDescent="0.35">
      <c r="A3992" t="str">
        <f>"2026-02-19"</f>
        <v>2026-02-19</v>
      </c>
      <c r="B3992" s="1" t="str">
        <f t="shared" si="62"/>
        <v>02/19/2026</v>
      </c>
      <c r="C3992" t="str">
        <f>"44.6345"</f>
        <v>44.6345</v>
      </c>
      <c r="D3992" s="1" t="s">
        <v>3983</v>
      </c>
      <c r="E3992" t="s">
        <v>8090</v>
      </c>
    </row>
    <row r="3993" spans="1:5" x14ac:dyDescent="0.35">
      <c r="A3993" t="str">
        <f>"2026-02-20"</f>
        <v>2026-02-20</v>
      </c>
      <c r="B3993" s="1" t="str">
        <f t="shared" si="62"/>
        <v>02/20/2026</v>
      </c>
      <c r="C3993" t="str">
        <f>"44.9462"</f>
        <v>44.9462</v>
      </c>
      <c r="D3993" s="1" t="s">
        <v>3984</v>
      </c>
      <c r="E3993" t="s">
        <v>8091</v>
      </c>
    </row>
    <row r="3994" spans="1:5" x14ac:dyDescent="0.35">
      <c r="A3994" t="str">
        <f>"2026-02-23"</f>
        <v>2026-02-23</v>
      </c>
      <c r="B3994" s="1" t="str">
        <f t="shared" si="62"/>
        <v>02/23/2026</v>
      </c>
      <c r="C3994" t="str">
        <f>"43.0726"</f>
        <v>43.0726</v>
      </c>
      <c r="D3994" s="1" t="s">
        <v>3985</v>
      </c>
      <c r="E3994" t="s">
        <v>8092</v>
      </c>
    </row>
    <row r="3995" spans="1:5" x14ac:dyDescent="0.35">
      <c r="A3995" t="str">
        <f>"2026-02-24"</f>
        <v>2026-02-24</v>
      </c>
      <c r="B3995" s="1" t="str">
        <f t="shared" si="62"/>
        <v>02/24/2026</v>
      </c>
      <c r="C3995" t="str">
        <f>"42.4456"</f>
        <v>42.4456</v>
      </c>
      <c r="D3995" s="1" t="s">
        <v>3986</v>
      </c>
      <c r="E3995" t="s">
        <v>8093</v>
      </c>
    </row>
    <row r="3996" spans="1:5" x14ac:dyDescent="0.35">
      <c r="A3996" t="str">
        <f>"2026-02-25"</f>
        <v>2026-02-25</v>
      </c>
      <c r="B3996" s="1" t="str">
        <f t="shared" si="62"/>
        <v>02/25/2026</v>
      </c>
      <c r="C3996" t="str">
        <f>"41.8209"</f>
        <v>41.8209</v>
      </c>
      <c r="D3996" s="1" t="s">
        <v>3987</v>
      </c>
      <c r="E3996" t="s">
        <v>8094</v>
      </c>
    </row>
    <row r="3997" spans="1:5" x14ac:dyDescent="0.35">
      <c r="A3997" t="str">
        <f>"2026-02-26"</f>
        <v>2026-02-26</v>
      </c>
      <c r="B3997" s="1" t="str">
        <f t="shared" si="62"/>
        <v>02/26/2026</v>
      </c>
      <c r="C3997" t="str">
        <f>"42.669"</f>
        <v>42.669</v>
      </c>
      <c r="D3997" s="1" t="s">
        <v>3988</v>
      </c>
      <c r="E3997" t="s">
        <v>8095</v>
      </c>
    </row>
    <row r="3998" spans="1:5" x14ac:dyDescent="0.35">
      <c r="A3998" t="str">
        <f>"2026-02-27"</f>
        <v>2026-02-27</v>
      </c>
      <c r="B3998" s="1" t="str">
        <f t="shared" si="62"/>
        <v>02/27/2026</v>
      </c>
      <c r="C3998" t="str">
        <f>"41.6005"</f>
        <v>41.6005</v>
      </c>
      <c r="D3998" s="1" t="s">
        <v>3989</v>
      </c>
      <c r="E3998" t="s">
        <v>8096</v>
      </c>
    </row>
    <row r="3999" spans="1:5" x14ac:dyDescent="0.35">
      <c r="A3999" t="str">
        <f>"2026-03-02"</f>
        <v>2026-03-02</v>
      </c>
      <c r="B3999" s="1" t="str">
        <f t="shared" si="62"/>
        <v>03/02/2026</v>
      </c>
      <c r="C3999" t="str">
        <f>"38.6318"</f>
        <v>38.6318</v>
      </c>
      <c r="D3999" s="1" t="s">
        <v>3990</v>
      </c>
      <c r="E3999" t="s">
        <v>5893</v>
      </c>
    </row>
    <row r="4000" spans="1:5" x14ac:dyDescent="0.35">
      <c r="A4000" t="str">
        <f>"2026-03-03"</f>
        <v>2026-03-03</v>
      </c>
      <c r="B4000" s="1" t="str">
        <f t="shared" si="62"/>
        <v>03/03/2026</v>
      </c>
      <c r="C4000" t="str">
        <f>"39.7543"</f>
        <v>39.7543</v>
      </c>
      <c r="D4000" s="1" t="s">
        <v>3991</v>
      </c>
      <c r="E4000" t="s">
        <v>8097</v>
      </c>
    </row>
    <row r="4001" spans="1:5" x14ac:dyDescent="0.35">
      <c r="A4001" t="str">
        <f>"2026-03-04"</f>
        <v>2026-03-04</v>
      </c>
      <c r="B4001" s="1" t="str">
        <f t="shared" si="62"/>
        <v>03/04/2026</v>
      </c>
      <c r="C4001" t="str">
        <f>"39.7739"</f>
        <v>39.7739</v>
      </c>
      <c r="D4001" s="1" t="s">
        <v>3992</v>
      </c>
      <c r="E4001" t="s">
        <v>8098</v>
      </c>
    </row>
    <row r="4002" spans="1:5" x14ac:dyDescent="0.35">
      <c r="A4002" t="str">
        <f>"2026-03-05"</f>
        <v>2026-03-05</v>
      </c>
      <c r="B4002" s="1" t="str">
        <f t="shared" si="62"/>
        <v>03/05/2026</v>
      </c>
      <c r="C4002" t="str">
        <f>"39.7234"</f>
        <v>39.7234</v>
      </c>
      <c r="D4002" s="1" t="s">
        <v>3993</v>
      </c>
      <c r="E4002" t="s">
        <v>8099</v>
      </c>
    </row>
    <row r="4003" spans="1:5" x14ac:dyDescent="0.35">
      <c r="A4003" t="str">
        <f>"2026-03-06"</f>
        <v>2026-03-06</v>
      </c>
      <c r="B4003" s="1" t="str">
        <f t="shared" si="62"/>
        <v>03/06/2026</v>
      </c>
      <c r="C4003" t="str">
        <f>"37.9871"</f>
        <v>37.9871</v>
      </c>
      <c r="D4003" s="1" t="s">
        <v>3994</v>
      </c>
      <c r="E4003" t="s">
        <v>8100</v>
      </c>
    </row>
    <row r="4004" spans="1:5" x14ac:dyDescent="0.35">
      <c r="A4004" t="str">
        <f>"2026-03-09"</f>
        <v>2026-03-09</v>
      </c>
      <c r="B4004" s="1" t="str">
        <f t="shared" si="62"/>
        <v>03/09/2026</v>
      </c>
      <c r="C4004" t="str">
        <f>"39.0787"</f>
        <v>39.0787</v>
      </c>
      <c r="D4004" s="1" t="s">
        <v>3995</v>
      </c>
      <c r="E4004" t="s">
        <v>8101</v>
      </c>
    </row>
    <row r="4005" spans="1:5" x14ac:dyDescent="0.35">
      <c r="A4005" t="str">
        <f>"2026-03-10"</f>
        <v>2026-03-10</v>
      </c>
      <c r="B4005" s="1" t="str">
        <f t="shared" si="62"/>
        <v>03/10/2026</v>
      </c>
      <c r="C4005" t="str">
        <f>"40.0728"</f>
        <v>40.0728</v>
      </c>
      <c r="D4005" s="1" t="s">
        <v>3996</v>
      </c>
      <c r="E4005" t="s">
        <v>8102</v>
      </c>
    </row>
    <row r="4006" spans="1:5" x14ac:dyDescent="0.35">
      <c r="A4006" t="str">
        <f>"2026-03-11"</f>
        <v>2026-03-11</v>
      </c>
      <c r="B4006" s="1" t="str">
        <f t="shared" si="62"/>
        <v>03/11/2026</v>
      </c>
      <c r="C4006" t="str">
        <f>"40.2408"</f>
        <v>40.2408</v>
      </c>
      <c r="D4006" s="1" t="s">
        <v>3997</v>
      </c>
      <c r="E4006" t="s">
        <v>8103</v>
      </c>
    </row>
    <row r="4007" spans="1:5" x14ac:dyDescent="0.35">
      <c r="A4007" t="str">
        <f>"2026-03-12"</f>
        <v>2026-03-12</v>
      </c>
      <c r="B4007" s="1" t="str">
        <f t="shared" si="62"/>
        <v>03/12/2026</v>
      </c>
      <c r="C4007" t="str">
        <f>"40.3617"</f>
        <v>40.3617</v>
      </c>
      <c r="D4007" s="1" t="s">
        <v>3998</v>
      </c>
      <c r="E4007" t="s">
        <v>8104</v>
      </c>
    </row>
    <row r="4008" spans="1:5" x14ac:dyDescent="0.35">
      <c r="A4008" t="str">
        <f>"2026-03-13"</f>
        <v>2026-03-13</v>
      </c>
      <c r="B4008" s="1" t="str">
        <f t="shared" si="62"/>
        <v>03/13/2026</v>
      </c>
      <c r="C4008" t="str">
        <f>"40.7173"</f>
        <v>40.7173</v>
      </c>
      <c r="D4008" s="1" t="s">
        <v>3999</v>
      </c>
      <c r="E4008" t="s">
        <v>8105</v>
      </c>
    </row>
    <row r="4009" spans="1:5" x14ac:dyDescent="0.35">
      <c r="A4009" t="str">
        <f>"2026-03-16"</f>
        <v>2026-03-16</v>
      </c>
      <c r="B4009" s="1" t="str">
        <f t="shared" si="62"/>
        <v>03/16/2026</v>
      </c>
      <c r="C4009" t="str">
        <f>"40.8904"</f>
        <v>40.8904</v>
      </c>
      <c r="D4009" s="1" t="s">
        <v>4000</v>
      </c>
      <c r="E4009" t="s">
        <v>8106</v>
      </c>
    </row>
    <row r="4010" spans="1:5" x14ac:dyDescent="0.35">
      <c r="A4010" t="str">
        <f>"2026-03-17"</f>
        <v>2026-03-17</v>
      </c>
      <c r="B4010" s="1" t="str">
        <f t="shared" si="62"/>
        <v>03/17/2026</v>
      </c>
      <c r="C4010" t="str">
        <f>"41.4903"</f>
        <v>41.4903</v>
      </c>
      <c r="D4010" s="1" t="s">
        <v>4001</v>
      </c>
      <c r="E4010" t="s">
        <v>8107</v>
      </c>
    </row>
    <row r="4011" spans="1:5" x14ac:dyDescent="0.35">
      <c r="A4011" t="str">
        <f>"2026-03-18"</f>
        <v>2026-03-18</v>
      </c>
      <c r="B4011" s="1" t="str">
        <f t="shared" si="62"/>
        <v>03/18/2026</v>
      </c>
      <c r="C4011" t="str">
        <f>"41.8269"</f>
        <v>41.8269</v>
      </c>
      <c r="D4011" s="1" t="s">
        <v>4002</v>
      </c>
      <c r="E4011" t="s">
        <v>8108</v>
      </c>
    </row>
    <row r="4012" spans="1:5" x14ac:dyDescent="0.35">
      <c r="A4012" t="str">
        <f>"2026-03-19"</f>
        <v>2026-03-19</v>
      </c>
      <c r="B4012" s="1" t="str">
        <f t="shared" si="62"/>
        <v>03/19/2026</v>
      </c>
      <c r="C4012" t="str">
        <f>"44.1615"</f>
        <v>44.1615</v>
      </c>
      <c r="D4012" s="1" t="s">
        <v>4003</v>
      </c>
      <c r="E4012" t="s">
        <v>8109</v>
      </c>
    </row>
    <row r="4013" spans="1:5" x14ac:dyDescent="0.35">
      <c r="A4013" t="str">
        <f>"2026-03-23"</f>
        <v>2026-03-23</v>
      </c>
      <c r="B4013" s="1" t="str">
        <f t="shared" si="62"/>
        <v>03/23/2026</v>
      </c>
      <c r="C4013" t="str">
        <f>"47.1169"</f>
        <v>47.1169</v>
      </c>
      <c r="D4013" s="1" t="s">
        <v>4004</v>
      </c>
      <c r="E4013" t="s">
        <v>8110</v>
      </c>
    </row>
    <row r="4014" spans="1:5" x14ac:dyDescent="0.35">
      <c r="A4014" t="str">
        <f>"2026-03-24"</f>
        <v>2026-03-24</v>
      </c>
      <c r="B4014" s="1" t="str">
        <f t="shared" si="62"/>
        <v>03/24/2026</v>
      </c>
      <c r="C4014" t="str">
        <f>"46.402"</f>
        <v>46.402</v>
      </c>
      <c r="D4014" s="1" t="s">
        <v>4005</v>
      </c>
      <c r="E4014" t="s">
        <v>8111</v>
      </c>
    </row>
    <row r="4015" spans="1:5" x14ac:dyDescent="0.35">
      <c r="A4015" t="str">
        <f>"2026-03-25"</f>
        <v>2026-03-25</v>
      </c>
      <c r="B4015" s="1" t="str">
        <f t="shared" si="62"/>
        <v>03/25/2026</v>
      </c>
      <c r="C4015" t="str">
        <f>"45.406"</f>
        <v>45.406</v>
      </c>
      <c r="D4015" s="1" t="s">
        <v>4006</v>
      </c>
      <c r="E4015" t="s">
        <v>8112</v>
      </c>
    </row>
    <row r="4016" spans="1:5" x14ac:dyDescent="0.35">
      <c r="A4016" t="str">
        <f>"2026-03-26"</f>
        <v>2026-03-26</v>
      </c>
      <c r="B4016" s="1" t="str">
        <f t="shared" si="62"/>
        <v>03/26/2026</v>
      </c>
      <c r="C4016" t="str">
        <f>"47.0382"</f>
        <v>47.0382</v>
      </c>
      <c r="D4016" s="1" t="s">
        <v>4007</v>
      </c>
      <c r="E4016" t="s">
        <v>8113</v>
      </c>
    </row>
    <row r="4017" spans="1:5" x14ac:dyDescent="0.35">
      <c r="A4017" t="str">
        <f>"2026-03-27"</f>
        <v>2026-03-27</v>
      </c>
      <c r="B4017" s="1" t="str">
        <f t="shared" si="62"/>
        <v>03/27/2026</v>
      </c>
      <c r="C4017" t="str">
        <f>"45.7921"</f>
        <v>45.7921</v>
      </c>
      <c r="D4017" s="1" t="s">
        <v>4008</v>
      </c>
      <c r="E4017" t="s">
        <v>8114</v>
      </c>
    </row>
    <row r="4018" spans="1:5" x14ac:dyDescent="0.35">
      <c r="A4018" t="str">
        <f>"2026-03-30"</f>
        <v>2026-03-30</v>
      </c>
      <c r="B4018" s="1" t="str">
        <f t="shared" si="62"/>
        <v>03/30/2026</v>
      </c>
      <c r="C4018" t="str">
        <f>"44.647"</f>
        <v>44.647</v>
      </c>
      <c r="D4018" s="1" t="s">
        <v>4009</v>
      </c>
      <c r="E4018" t="s">
        <v>8115</v>
      </c>
    </row>
    <row r="4019" spans="1:5" x14ac:dyDescent="0.35">
      <c r="A4019" t="str">
        <f>"2026-03-31"</f>
        <v>2026-03-31</v>
      </c>
      <c r="B4019" s="1" t="str">
        <f t="shared" si="62"/>
        <v>03/31/2026</v>
      </c>
      <c r="C4019" t="str">
        <f>"44.2784"</f>
        <v>44.2784</v>
      </c>
      <c r="D4019" s="1" t="s">
        <v>4010</v>
      </c>
      <c r="E4019" t="s">
        <v>8116</v>
      </c>
    </row>
    <row r="4020" spans="1:5" x14ac:dyDescent="0.35">
      <c r="A4020" t="str">
        <f>"2026-04-01"</f>
        <v>2026-04-01</v>
      </c>
      <c r="B4020" s="1" t="str">
        <f t="shared" si="62"/>
        <v>04/01/2026</v>
      </c>
      <c r="C4020" t="str">
        <f>"43.59"</f>
        <v>43.59</v>
      </c>
      <c r="D4020" s="1" t="s">
        <v>4011</v>
      </c>
      <c r="E4020" t="s">
        <v>8117</v>
      </c>
    </row>
    <row r="4021" spans="1:5" x14ac:dyDescent="0.35">
      <c r="A4021" t="str">
        <f>"2026-04-02"</f>
        <v>2026-04-02</v>
      </c>
      <c r="B4021" s="1" t="str">
        <f t="shared" si="62"/>
        <v>04/02/2026</v>
      </c>
      <c r="C4021" t="str">
        <f>"45.0555"</f>
        <v>45.0555</v>
      </c>
      <c r="D4021" s="1" t="s">
        <v>4012</v>
      </c>
      <c r="E4021" t="s">
        <v>8118</v>
      </c>
    </row>
    <row r="4022" spans="1:5" x14ac:dyDescent="0.35">
      <c r="A4022" t="str">
        <f>"2026-04-06"</f>
        <v>2026-04-06</v>
      </c>
      <c r="B4022" s="1" t="str">
        <f t="shared" si="62"/>
        <v>04/06/2026</v>
      </c>
      <c r="C4022" t="str">
        <f>"44.5311"</f>
        <v>44.5311</v>
      </c>
      <c r="D4022" s="1" t="s">
        <v>4013</v>
      </c>
      <c r="E4022" t="s">
        <v>8119</v>
      </c>
    </row>
    <row r="4023" spans="1:5" x14ac:dyDescent="0.35">
      <c r="A4023" t="str">
        <f>"2026-04-07"</f>
        <v>2026-04-07</v>
      </c>
      <c r="B4023" s="1" t="str">
        <f t="shared" si="62"/>
        <v>04/07/2026</v>
      </c>
      <c r="C4023" t="str">
        <f>"43.7212"</f>
        <v>43.7212</v>
      </c>
      <c r="D4023" s="1" t="s">
        <v>4014</v>
      </c>
      <c r="E4023" t="s">
        <v>8120</v>
      </c>
    </row>
    <row r="4024" spans="1:5" x14ac:dyDescent="0.35">
      <c r="A4024" t="str">
        <f>"2026-04-08"</f>
        <v>2026-04-08</v>
      </c>
      <c r="B4024" s="1" t="str">
        <f t="shared" si="62"/>
        <v>04/08/2026</v>
      </c>
      <c r="C4024" t="str">
        <f>"46.5799"</f>
        <v>46.5799</v>
      </c>
      <c r="D4024" s="1" t="s">
        <v>4015</v>
      </c>
      <c r="E4024" t="s">
        <v>8121</v>
      </c>
    </row>
    <row r="4025" spans="1:5" x14ac:dyDescent="0.35">
      <c r="A4025" t="str">
        <f>"2026-04-09"</f>
        <v>2026-04-09</v>
      </c>
      <c r="B4025" s="1" t="str">
        <f t="shared" si="62"/>
        <v>04/09/2026</v>
      </c>
      <c r="C4025" t="str">
        <f>"46.6159"</f>
        <v>46.6159</v>
      </c>
      <c r="D4025" s="1" t="s">
        <v>4016</v>
      </c>
      <c r="E4025" t="s">
        <v>8122</v>
      </c>
    </row>
    <row r="4026" spans="1:5" x14ac:dyDescent="0.35">
      <c r="A4026" t="str">
        <f>"2026-04-10"</f>
        <v>2026-04-10</v>
      </c>
      <c r="B4026" s="1" t="str">
        <f t="shared" si="62"/>
        <v>04/10/2026</v>
      </c>
      <c r="C4026" t="str">
        <f>"47.3001"</f>
        <v>47.3001</v>
      </c>
      <c r="D4026" s="1" t="s">
        <v>4017</v>
      </c>
      <c r="E4026" t="s">
        <v>8123</v>
      </c>
    </row>
    <row r="4027" spans="1:5" x14ac:dyDescent="0.35">
      <c r="A4027" t="str">
        <f>"2026-04-13"</f>
        <v>2026-04-13</v>
      </c>
      <c r="B4027" s="1" t="str">
        <f t="shared" si="62"/>
        <v>04/13/2026</v>
      </c>
      <c r="C4027" t="str">
        <f>"46.4755"</f>
        <v>46.4755</v>
      </c>
      <c r="D4027" s="1" t="s">
        <v>4018</v>
      </c>
      <c r="E4027" t="s">
        <v>8124</v>
      </c>
    </row>
    <row r="4028" spans="1:5" x14ac:dyDescent="0.35">
      <c r="A4028" t="str">
        <f>"2026-04-14"</f>
        <v>2026-04-14</v>
      </c>
      <c r="B4028" s="1" t="str">
        <f t="shared" si="62"/>
        <v>04/14/2026</v>
      </c>
      <c r="C4028" t="str">
        <f>"46.7219"</f>
        <v>46.7219</v>
      </c>
      <c r="D4028" s="1" t="s">
        <v>4019</v>
      </c>
      <c r="E4028" t="s">
        <v>8125</v>
      </c>
    </row>
    <row r="4029" spans="1:5" x14ac:dyDescent="0.35">
      <c r="A4029" t="str">
        <f>"2026-04-15"</f>
        <v>2026-04-15</v>
      </c>
      <c r="B4029" s="1" t="str">
        <f t="shared" si="62"/>
        <v>04/15/2026</v>
      </c>
      <c r="C4029" t="str">
        <f>"46.247"</f>
        <v>46.247</v>
      </c>
      <c r="D4029" s="1" t="s">
        <v>4020</v>
      </c>
      <c r="E4029" t="s">
        <v>8126</v>
      </c>
    </row>
    <row r="4030" spans="1:5" x14ac:dyDescent="0.35">
      <c r="A4030" t="str">
        <f>"2026-04-16"</f>
        <v>2026-04-16</v>
      </c>
      <c r="B4030" s="1" t="str">
        <f t="shared" si="62"/>
        <v>04/16/2026</v>
      </c>
      <c r="C4030" t="str">
        <f>"46.1015"</f>
        <v>46.1015</v>
      </c>
      <c r="D4030" s="1" t="s">
        <v>4021</v>
      </c>
      <c r="E4030" t="s">
        <v>8127</v>
      </c>
    </row>
    <row r="4031" spans="1:5" x14ac:dyDescent="0.35">
      <c r="A4031" t="str">
        <f>"2026-04-17"</f>
        <v>2026-04-17</v>
      </c>
      <c r="B4031" s="1" t="str">
        <f t="shared" si="62"/>
        <v>04/17/2026</v>
      </c>
      <c r="C4031" t="str">
        <f>"46.9716"</f>
        <v>46.9716</v>
      </c>
      <c r="D4031" s="1" t="s">
        <v>4022</v>
      </c>
      <c r="E4031" t="s">
        <v>8128</v>
      </c>
    </row>
    <row r="4032" spans="1:5" x14ac:dyDescent="0.35">
      <c r="A4032" t="str">
        <f>"2026-04-20"</f>
        <v>2026-04-20</v>
      </c>
      <c r="B4032" s="1" t="str">
        <f t="shared" si="62"/>
        <v>04/20/2026</v>
      </c>
      <c r="C4032" t="str">
        <f>"47.3558"</f>
        <v>47.3558</v>
      </c>
      <c r="D4032" s="1" t="s">
        <v>4023</v>
      </c>
      <c r="E4032" t="s">
        <v>8129</v>
      </c>
    </row>
    <row r="4033" spans="1:5" x14ac:dyDescent="0.35">
      <c r="A4033" t="str">
        <f>"2026-04-21"</f>
        <v>2026-04-21</v>
      </c>
      <c r="B4033" s="1" t="str">
        <f t="shared" si="62"/>
        <v>04/21/2026</v>
      </c>
      <c r="C4033" t="str">
        <f>"48.2282"</f>
        <v>48.2282</v>
      </c>
      <c r="D4033" s="1" t="s">
        <v>4024</v>
      </c>
      <c r="E4033" t="s">
        <v>8130</v>
      </c>
    </row>
    <row r="4034" spans="1:5" x14ac:dyDescent="0.35">
      <c r="A4034" t="str">
        <f>"2026-04-22"</f>
        <v>2026-04-22</v>
      </c>
      <c r="B4034" s="1" t="str">
        <f t="shared" si="62"/>
        <v>04/22/2026</v>
      </c>
      <c r="C4034" t="str">
        <f>"47.3327"</f>
        <v>47.3327</v>
      </c>
      <c r="D4034" s="1" t="s">
        <v>4025</v>
      </c>
      <c r="E4034" t="s">
        <v>8131</v>
      </c>
    </row>
    <row r="4035" spans="1:5" x14ac:dyDescent="0.35">
      <c r="A4035" t="str">
        <f>"2026-04-24"</f>
        <v>2026-04-24</v>
      </c>
      <c r="B4035" s="1" t="str">
        <f t="shared" ref="B4035:B4098" si="63">LEFT(RIGHT(A4035,5),2)&amp;"/"&amp;RIGHT(A4035,2)&amp;"/"&amp;LEFT(A4035,4)</f>
        <v>04/24/2026</v>
      </c>
      <c r="C4035" t="str">
        <f>"47.5949"</f>
        <v>47.5949</v>
      </c>
      <c r="D4035" s="1" t="s">
        <v>4026</v>
      </c>
      <c r="E4035" t="s">
        <v>8132</v>
      </c>
    </row>
    <row r="4036" spans="1:5" x14ac:dyDescent="0.35">
      <c r="A4036" t="str">
        <f>"2026-04-27"</f>
        <v>2026-04-27</v>
      </c>
      <c r="B4036" s="1" t="str">
        <f t="shared" si="63"/>
        <v>04/27/2026</v>
      </c>
      <c r="C4036" t="str">
        <f>"47.3677"</f>
        <v>47.3677</v>
      </c>
      <c r="D4036" s="1" t="s">
        <v>4027</v>
      </c>
      <c r="E4036" t="s">
        <v>8133</v>
      </c>
    </row>
    <row r="4037" spans="1:5" x14ac:dyDescent="0.35">
      <c r="A4037" t="str">
        <f>"2026-04-28"</f>
        <v>2026-04-28</v>
      </c>
      <c r="B4037" s="1" t="str">
        <f t="shared" si="63"/>
        <v>04/28/2026</v>
      </c>
      <c r="C4037" t="str">
        <f>"47.5005"</f>
        <v>47.5005</v>
      </c>
      <c r="D4037" s="1" t="s">
        <v>4028</v>
      </c>
      <c r="E4037" t="s">
        <v>8134</v>
      </c>
    </row>
    <row r="4038" spans="1:5" x14ac:dyDescent="0.35">
      <c r="A4038" t="str">
        <f>"2026-04-29"</f>
        <v>2026-04-29</v>
      </c>
      <c r="B4038" s="1" t="str">
        <f t="shared" si="63"/>
        <v>04/29/2026</v>
      </c>
      <c r="C4038" t="str">
        <f>"47.7616"</f>
        <v>47.7616</v>
      </c>
      <c r="D4038" s="1" t="s">
        <v>4029</v>
      </c>
      <c r="E4038" t="s">
        <v>8135</v>
      </c>
    </row>
    <row r="4039" spans="1:5" x14ac:dyDescent="0.35">
      <c r="A4039" t="str">
        <f>"2026-04-30"</f>
        <v>2026-04-30</v>
      </c>
      <c r="B4039" s="1" t="str">
        <f t="shared" si="63"/>
        <v>04/30/2026</v>
      </c>
      <c r="C4039" t="str">
        <f>"45.9999"</f>
        <v>45.9999</v>
      </c>
      <c r="D4039" s="1" t="s">
        <v>4030</v>
      </c>
      <c r="E4039" t="s">
        <v>8136</v>
      </c>
    </row>
    <row r="4040" spans="1:5" x14ac:dyDescent="0.35">
      <c r="A4040" t="str">
        <f>"2026-05-04"</f>
        <v>2026-05-04</v>
      </c>
      <c r="B4040" s="1" t="str">
        <f t="shared" si="63"/>
        <v>05/04/2026</v>
      </c>
      <c r="C4040" t="str">
        <f>"45.8065"</f>
        <v>45.8065</v>
      </c>
      <c r="D4040" s="1" t="s">
        <v>4031</v>
      </c>
      <c r="E4040" t="s">
        <v>8137</v>
      </c>
    </row>
    <row r="4041" spans="1:5" x14ac:dyDescent="0.35">
      <c r="A4041" t="str">
        <f>"2026-05-05"</f>
        <v>2026-05-05</v>
      </c>
      <c r="B4041" s="1" t="str">
        <f t="shared" si="63"/>
        <v>05/05/2026</v>
      </c>
      <c r="C4041" t="str">
        <f>"45.45"</f>
        <v>45.45</v>
      </c>
      <c r="D4041" s="1" t="s">
        <v>4032</v>
      </c>
      <c r="E4041" t="s">
        <v>8138</v>
      </c>
    </row>
    <row r="4042" spans="1:5" x14ac:dyDescent="0.35">
      <c r="A4042" t="str">
        <f>"2026-05-06"</f>
        <v>2026-05-06</v>
      </c>
      <c r="B4042" s="1" t="str">
        <f t="shared" si="63"/>
        <v>05/06/2026</v>
      </c>
      <c r="C4042" t="str">
        <f>"45.4963"</f>
        <v>45.4963</v>
      </c>
      <c r="D4042" s="1" t="s">
        <v>4033</v>
      </c>
      <c r="E4042" t="s">
        <v>8139</v>
      </c>
    </row>
    <row r="4043" spans="1:5" x14ac:dyDescent="0.35">
      <c r="A4043" t="str">
        <f>"2026-05-07"</f>
        <v>2026-05-07</v>
      </c>
      <c r="B4043" s="1" t="str">
        <f t="shared" si="63"/>
        <v>05/07/2026</v>
      </c>
      <c r="C4043" t="str">
        <f>"45.7271"</f>
        <v>45.7271</v>
      </c>
      <c r="D4043" s="1" t="s">
        <v>4034</v>
      </c>
      <c r="E4043" t="s">
        <v>8140</v>
      </c>
    </row>
    <row r="4044" spans="1:5" x14ac:dyDescent="0.35">
      <c r="A4044" t="str">
        <f>"2026-05-08"</f>
        <v>2026-05-08</v>
      </c>
      <c r="B4044" s="1" t="str">
        <f t="shared" si="63"/>
        <v>05/08/2026</v>
      </c>
      <c r="C4044" t="str">
        <f>"45.3132"</f>
        <v>45.3132</v>
      </c>
      <c r="D4044" s="1" t="s">
        <v>4035</v>
      </c>
      <c r="E4044" t="s">
        <v>8141</v>
      </c>
    </row>
    <row r="4045" spans="1:5" x14ac:dyDescent="0.35">
      <c r="A4045" t="str">
        <f>"2026-05-11"</f>
        <v>2026-05-11</v>
      </c>
      <c r="B4045" s="1" t="str">
        <f t="shared" si="63"/>
        <v>05/11/2026</v>
      </c>
      <c r="C4045" t="str">
        <f>"44.8374"</f>
        <v>44.8374</v>
      </c>
      <c r="D4045" s="1" t="s">
        <v>4036</v>
      </c>
      <c r="E4045" t="s">
        <v>8142</v>
      </c>
    </row>
    <row r="4046" spans="1:5" x14ac:dyDescent="0.35">
      <c r="A4046" t="str">
        <f>"2026-05-12"</f>
        <v>2026-05-12</v>
      </c>
      <c r="B4046" s="1" t="str">
        <f t="shared" si="63"/>
        <v>05/12/2026</v>
      </c>
      <c r="C4046" t="str">
        <f>"44.7958"</f>
        <v>44.7958</v>
      </c>
      <c r="D4046" s="1" t="s">
        <v>4037</v>
      </c>
      <c r="E4046" t="s">
        <v>8143</v>
      </c>
    </row>
    <row r="4047" spans="1:5" x14ac:dyDescent="0.35">
      <c r="A4047" t="str">
        <f>"2026-05-13"</f>
        <v>2026-05-13</v>
      </c>
      <c r="B4047" s="1" t="str">
        <f t="shared" si="63"/>
        <v>05/13/2026</v>
      </c>
      <c r="C4047" t="str">
        <f>"44.3343"</f>
        <v>44.3343</v>
      </c>
      <c r="D4047" s="1" t="s">
        <v>4038</v>
      </c>
      <c r="E4047" t="s">
        <v>8055</v>
      </c>
    </row>
    <row r="4048" spans="1:5" x14ac:dyDescent="0.35">
      <c r="A4048" t="str">
        <f>"2026-05-14"</f>
        <v>2026-05-14</v>
      </c>
      <c r="B4048" s="1" t="str">
        <f t="shared" si="63"/>
        <v>05/14/2026</v>
      </c>
      <c r="C4048" t="str">
        <f>"44.7465"</f>
        <v>44.7465</v>
      </c>
      <c r="D4048" s="1" t="s">
        <v>4039</v>
      </c>
      <c r="E4048" t="s">
        <v>8144</v>
      </c>
    </row>
    <row r="4049" spans="1:5" x14ac:dyDescent="0.35">
      <c r="A4049" t="str">
        <f>"2026-05-15"</f>
        <v>2026-05-15</v>
      </c>
      <c r="B4049" s="1" t="str">
        <f t="shared" si="63"/>
        <v>05/15/2026</v>
      </c>
      <c r="C4049" t="str">
        <f>"44.9732"</f>
        <v>44.9732</v>
      </c>
      <c r="D4049" s="1" t="s">
        <v>4040</v>
      </c>
      <c r="E4049" t="s">
        <v>8145</v>
      </c>
    </row>
    <row r="4050" spans="1:5" x14ac:dyDescent="0.35">
      <c r="A4050" t="str">
        <f>"2026-05-18"</f>
        <v>2026-05-18</v>
      </c>
      <c r="B4050" s="1" t="str">
        <f t="shared" si="63"/>
        <v>05/18/2026</v>
      </c>
      <c r="C4050" t="str">
        <f>"44.2289"</f>
        <v>44.2289</v>
      </c>
      <c r="D4050" s="1" t="s">
        <v>4041</v>
      </c>
      <c r="E4050" t="s">
        <v>8146</v>
      </c>
    </row>
    <row r="4051" spans="1:5" x14ac:dyDescent="0.35">
      <c r="A4051" t="str">
        <f>"2026-05-20"</f>
        <v>2026-05-20</v>
      </c>
      <c r="B4051" s="1" t="str">
        <f t="shared" si="63"/>
        <v>05/20/2026</v>
      </c>
      <c r="C4051" t="str">
        <f>"44.4215"</f>
        <v>44.4215</v>
      </c>
      <c r="D4051" s="1" t="s">
        <v>4042</v>
      </c>
      <c r="E4051" t="s">
        <v>8147</v>
      </c>
    </row>
    <row r="4052" spans="1:5" x14ac:dyDescent="0.35">
      <c r="A4052" t="str">
        <f>"2026-05-21"</f>
        <v>2026-05-21</v>
      </c>
      <c r="B4052" s="1" t="str">
        <f t="shared" si="63"/>
        <v>05/21/2026</v>
      </c>
      <c r="C4052" t="str">
        <f>"41.1757"</f>
        <v>41.1757</v>
      </c>
      <c r="D4052" s="1" t="s">
        <v>4043</v>
      </c>
      <c r="E4052" t="s">
        <v>8148</v>
      </c>
    </row>
    <row r="4053" spans="1:5" x14ac:dyDescent="0.35">
      <c r="A4053" t="str">
        <f>"2026-05-22"</f>
        <v>2026-05-22</v>
      </c>
      <c r="B4053" s="1" t="str">
        <f t="shared" si="63"/>
        <v>05/22/2026</v>
      </c>
      <c r="C4053" t="str">
        <f>"43.3431"</f>
        <v>43.3431</v>
      </c>
      <c r="D4053" s="1" t="s">
        <v>4044</v>
      </c>
      <c r="E4053" t="s">
        <v>8149</v>
      </c>
    </row>
    <row r="4054" spans="1:5" x14ac:dyDescent="0.35">
      <c r="A4054" t="str">
        <f>"2026-05-26"</f>
        <v>2026-05-26</v>
      </c>
      <c r="B4054" s="1" t="str">
        <f t="shared" si="63"/>
        <v>05/26/2026</v>
      </c>
      <c r="C4054" t="str">
        <f>"44.6848"</f>
        <v>44.6848</v>
      </c>
      <c r="D4054" s="1" t="s">
        <v>4045</v>
      </c>
      <c r="E4054" t="s">
        <v>8150</v>
      </c>
    </row>
    <row r="4055" spans="1:5" x14ac:dyDescent="0.35">
      <c r="A4055" t="str">
        <f>"2026-05-27"</f>
        <v>2026-05-27</v>
      </c>
      <c r="B4055" s="1" t="str">
        <f t="shared" si="63"/>
        <v>05/27/2026</v>
      </c>
      <c r="C4055" t="str">
        <f>"45.22"</f>
        <v>45.22</v>
      </c>
      <c r="D4055" s="1" t="s">
        <v>4046</v>
      </c>
      <c r="E4055" t="s">
        <v>8151</v>
      </c>
    </row>
    <row r="4056" spans="1:5" x14ac:dyDescent="0.35">
      <c r="A4056" t="str">
        <f>"2026-05-28"</f>
        <v>2026-05-28</v>
      </c>
      <c r="B4056" s="1" t="str">
        <f t="shared" si="63"/>
        <v>05/28/2026</v>
      </c>
      <c r="C4056" t="str">
        <f>"44.7003"</f>
        <v>44.7003</v>
      </c>
      <c r="D4056" s="1" t="s">
        <v>4047</v>
      </c>
      <c r="E4056" t="s">
        <v>8152</v>
      </c>
    </row>
    <row r="4057" spans="1:5" x14ac:dyDescent="0.35">
      <c r="A4057" t="str">
        <f>"2026-05-29"</f>
        <v>2026-05-29</v>
      </c>
      <c r="B4057" s="1" t="str">
        <f t="shared" si="63"/>
        <v>05/29/2026</v>
      </c>
      <c r="C4057" t="str">
        <f>"44.1014"</f>
        <v>44.1014</v>
      </c>
      <c r="D4057" s="1" t="s">
        <v>4048</v>
      </c>
      <c r="E4057" t="s">
        <v>8153</v>
      </c>
    </row>
    <row r="4058" spans="1:5" x14ac:dyDescent="0.35">
      <c r="A4058" t="str">
        <f>"2026-06-01"</f>
        <v>2026-06-01</v>
      </c>
      <c r="B4058" s="1" t="str">
        <f t="shared" si="63"/>
        <v>06/01/2026</v>
      </c>
      <c r="C4058" t="str">
        <f>"44.1412"</f>
        <v>44.1412</v>
      </c>
      <c r="D4058" s="1" t="s">
        <v>4049</v>
      </c>
      <c r="E4058" t="s">
        <v>8154</v>
      </c>
    </row>
    <row r="4059" spans="1:5" x14ac:dyDescent="0.35">
      <c r="A4059" t="str">
        <f>"2026-06-02"</f>
        <v>2026-06-02</v>
      </c>
      <c r="B4059" s="1" t="str">
        <f t="shared" si="63"/>
        <v>06/02/2026</v>
      </c>
      <c r="C4059" t="str">
        <f>"45.2604"</f>
        <v>45.2604</v>
      </c>
      <c r="D4059" s="1" t="s">
        <v>4050</v>
      </c>
      <c r="E4059" t="s">
        <v>8155</v>
      </c>
    </row>
    <row r="4060" spans="1:5" x14ac:dyDescent="0.35">
      <c r="A4060" t="str">
        <f>"2026-06-03"</f>
        <v>2026-06-03</v>
      </c>
      <c r="B4060" s="1" t="str">
        <f t="shared" si="63"/>
        <v>06/03/2026</v>
      </c>
      <c r="C4060" t="str">
        <f>"45.3176"</f>
        <v>45.3176</v>
      </c>
      <c r="D4060" s="1" t="s">
        <v>4051</v>
      </c>
      <c r="E4060" t="s">
        <v>8156</v>
      </c>
    </row>
    <row r="4061" spans="1:5" x14ac:dyDescent="0.35">
      <c r="A4061" t="str">
        <f>"2026-06-04"</f>
        <v>2026-06-04</v>
      </c>
      <c r="B4061" s="1" t="str">
        <f t="shared" si="63"/>
        <v>06/04/2026</v>
      </c>
      <c r="C4061" t="str">
        <f>"45.3093"</f>
        <v>45.3093</v>
      </c>
      <c r="D4061" s="1" t="s">
        <v>4052</v>
      </c>
      <c r="E4061" t="s">
        <v>8157</v>
      </c>
    </row>
    <row r="4062" spans="1:5" x14ac:dyDescent="0.35">
      <c r="A4062" t="str">
        <f>"2026-06-05"</f>
        <v>2026-06-05</v>
      </c>
      <c r="B4062" s="1" t="str">
        <f t="shared" si="63"/>
        <v>06/05/2026</v>
      </c>
      <c r="C4062" t="str">
        <f>"46.2382"</f>
        <v>46.2382</v>
      </c>
      <c r="D4062" s="1" t="s">
        <v>4053</v>
      </c>
      <c r="E4062" t="s">
        <v>8158</v>
      </c>
    </row>
    <row r="4063" spans="1:5" x14ac:dyDescent="0.35">
      <c r="A4063" t="str">
        <f>"2026-06-08"</f>
        <v>2026-06-08</v>
      </c>
      <c r="B4063" s="1" t="str">
        <f t="shared" si="63"/>
        <v>06/08/2026</v>
      </c>
      <c r="C4063" t="str">
        <f>"46.2631"</f>
        <v>46.2631</v>
      </c>
      <c r="D4063" s="1" t="s">
        <v>4054</v>
      </c>
      <c r="E4063" t="s">
        <v>8159</v>
      </c>
    </row>
    <row r="4064" spans="1:5" x14ac:dyDescent="0.35">
      <c r="A4064" t="str">
        <f>"2026-06-09"</f>
        <v>2026-06-09</v>
      </c>
      <c r="B4064" s="1" t="str">
        <f t="shared" si="63"/>
        <v>06/09/2026</v>
      </c>
      <c r="C4064" t="str">
        <f>"46.9924"</f>
        <v>46.9924</v>
      </c>
      <c r="D4064" s="1" t="s">
        <v>4055</v>
      </c>
      <c r="E4064" t="s">
        <v>8160</v>
      </c>
    </row>
    <row r="4065" spans="1:5" x14ac:dyDescent="0.35">
      <c r="A4065" t="str">
        <f>"2026-06-10"</f>
        <v>2026-06-10</v>
      </c>
      <c r="B4065" s="1" t="str">
        <f t="shared" si="63"/>
        <v>06/10/2026</v>
      </c>
      <c r="C4065" t="str">
        <f>"48.5094"</f>
        <v>48.5094</v>
      </c>
      <c r="D4065" s="1" t="s">
        <v>4056</v>
      </c>
      <c r="E4065" t="s">
        <v>8161</v>
      </c>
    </row>
    <row r="4066" spans="1:5" x14ac:dyDescent="0.35">
      <c r="A4066" t="str">
        <f>"2026-06-11"</f>
        <v>2026-06-11</v>
      </c>
      <c r="B4066" s="1" t="str">
        <f t="shared" si="63"/>
        <v>06/11/2026</v>
      </c>
      <c r="C4066" t="str">
        <f>"48.3183"</f>
        <v>48.3183</v>
      </c>
      <c r="D4066" s="1" t="s">
        <v>4057</v>
      </c>
      <c r="E4066" t="s">
        <v>8162</v>
      </c>
    </row>
    <row r="4067" spans="1:5" x14ac:dyDescent="0.35">
      <c r="A4067" t="str">
        <f>"2026-06-12"</f>
        <v>2026-06-12</v>
      </c>
      <c r="B4067" s="1" t="str">
        <f t="shared" si="63"/>
        <v>06/12/2026</v>
      </c>
      <c r="C4067" t="str">
        <f>"49.1116"</f>
        <v>49.1116</v>
      </c>
      <c r="D4067" s="1" t="s">
        <v>4058</v>
      </c>
      <c r="E4067" t="s">
        <v>8163</v>
      </c>
    </row>
    <row r="4068" spans="1:5" x14ac:dyDescent="0.35">
      <c r="A4068" t="str">
        <f>"2026-06-15"</f>
        <v>2026-06-15</v>
      </c>
      <c r="B4068" s="1" t="str">
        <f t="shared" si="63"/>
        <v>06/15/2026</v>
      </c>
      <c r="C4068" t="str">
        <f>"50.601"</f>
        <v>50.601</v>
      </c>
      <c r="D4068" s="1" t="s">
        <v>4059</v>
      </c>
      <c r="E4068" t="s">
        <v>8164</v>
      </c>
    </row>
    <row r="4069" spans="1:5" x14ac:dyDescent="0.35">
      <c r="A4069" t="str">
        <f>"2026-06-16"</f>
        <v>2026-06-16</v>
      </c>
      <c r="B4069" s="1" t="str">
        <f t="shared" si="63"/>
        <v>06/16/2026</v>
      </c>
      <c r="C4069" t="str">
        <f>"50.6617"</f>
        <v>50.6617</v>
      </c>
      <c r="D4069" s="1" t="s">
        <v>4060</v>
      </c>
      <c r="E4069" t="s">
        <v>8165</v>
      </c>
    </row>
    <row r="4070" spans="1:5" x14ac:dyDescent="0.35">
      <c r="A4070" t="str">
        <f>"2026-06-17"</f>
        <v>2026-06-17</v>
      </c>
      <c r="B4070" s="1" t="str">
        <f t="shared" si="63"/>
        <v>06/17/2026</v>
      </c>
      <c r="C4070" t="str">
        <f>"49.5815"</f>
        <v>49.5815</v>
      </c>
      <c r="D4070" s="1" t="s">
        <v>4061</v>
      </c>
      <c r="E4070" t="s">
        <v>8166</v>
      </c>
    </row>
    <row r="4071" spans="1:5" x14ac:dyDescent="0.35">
      <c r="A4071" t="str">
        <f>"2026-06-18"</f>
        <v>2026-06-18</v>
      </c>
      <c r="B4071" s="1" t="str">
        <f t="shared" si="63"/>
        <v>06/18/2026</v>
      </c>
      <c r="C4071" t="str">
        <f>"52.0856"</f>
        <v>52.0856</v>
      </c>
      <c r="D4071" s="1" t="s">
        <v>4062</v>
      </c>
      <c r="E4071" t="s">
        <v>8167</v>
      </c>
    </row>
    <row r="4072" spans="1:5" x14ac:dyDescent="0.35">
      <c r="A4072" t="str">
        <f>"2026-06-22"</f>
        <v>2026-06-22</v>
      </c>
      <c r="B4072" s="1" t="str">
        <f t="shared" si="63"/>
        <v>06/22/2026</v>
      </c>
      <c r="C4072" t="str">
        <f>"51.9971"</f>
        <v>51.9971</v>
      </c>
      <c r="D4072" s="1" t="s">
        <v>4063</v>
      </c>
      <c r="E4072" t="s">
        <v>8168</v>
      </c>
    </row>
    <row r="4073" spans="1:5" x14ac:dyDescent="0.35">
      <c r="A4073" t="str">
        <f>"2026-06-23"</f>
        <v>2026-06-23</v>
      </c>
      <c r="B4073" s="1" t="str">
        <f t="shared" si="63"/>
        <v>06/23/2026</v>
      </c>
      <c r="C4073" t="str">
        <f>"52.676"</f>
        <v>52.676</v>
      </c>
      <c r="D4073" s="1" t="s">
        <v>4064</v>
      </c>
      <c r="E4073" t="s">
        <v>8169</v>
      </c>
    </row>
    <row r="4074" spans="1:5" x14ac:dyDescent="0.35">
      <c r="A4074" t="str">
        <f>"2026-06-24"</f>
        <v>2026-06-24</v>
      </c>
      <c r="B4074" s="1" t="str">
        <f t="shared" si="63"/>
        <v>06/24/2026</v>
      </c>
      <c r="C4074" t="str">
        <f>"54.4718"</f>
        <v>54.4718</v>
      </c>
      <c r="D4074" s="1" t="s">
        <v>4065</v>
      </c>
      <c r="E4074" t="s">
        <v>8170</v>
      </c>
    </row>
    <row r="4075" spans="1:5" x14ac:dyDescent="0.35">
      <c r="A4075" t="str">
        <f>"2026-06-25"</f>
        <v>2026-06-25</v>
      </c>
      <c r="B4075" s="1" t="str">
        <f t="shared" si="63"/>
        <v>06/25/2026</v>
      </c>
      <c r="C4075" t="str">
        <f>"54.5106"</f>
        <v>54.5106</v>
      </c>
      <c r="D4075" s="1" t="s">
        <v>4066</v>
      </c>
      <c r="E4075" t="s">
        <v>8171</v>
      </c>
    </row>
    <row r="4076" spans="1:5" x14ac:dyDescent="0.35">
      <c r="A4076" t="str">
        <f>"2026-06-26"</f>
        <v>2026-06-26</v>
      </c>
      <c r="B4076" s="1" t="str">
        <f t="shared" si="63"/>
        <v>06/26/2026</v>
      </c>
      <c r="C4076" t="str">
        <f>"54.1495"</f>
        <v>54.1495</v>
      </c>
      <c r="D4076" s="1" t="s">
        <v>4067</v>
      </c>
      <c r="E4076" t="s">
        <v>8172</v>
      </c>
    </row>
    <row r="4077" spans="1:5" x14ac:dyDescent="0.35">
      <c r="A4077" t="str">
        <f>"2026-06-29"</f>
        <v>2026-06-29</v>
      </c>
      <c r="B4077" s="1" t="str">
        <f t="shared" si="63"/>
        <v>06/29/2026</v>
      </c>
      <c r="C4077" t="str">
        <f>"54.575"</f>
        <v>54.575</v>
      </c>
      <c r="D4077" s="1" t="s">
        <v>4068</v>
      </c>
      <c r="E4077" t="s">
        <v>8173</v>
      </c>
    </row>
    <row r="4078" spans="1:5" x14ac:dyDescent="0.35">
      <c r="A4078" t="str">
        <f>"2026-06-30"</f>
        <v>2026-06-30</v>
      </c>
      <c r="B4078" s="1" t="str">
        <f t="shared" si="63"/>
        <v>06/30/2026</v>
      </c>
      <c r="C4078" t="str">
        <f>"54.0409"</f>
        <v>54.0409</v>
      </c>
      <c r="D4078" s="1" t="s">
        <v>4069</v>
      </c>
      <c r="E4078" t="s">
        <v>8174</v>
      </c>
    </row>
    <row r="4079" spans="1:5" x14ac:dyDescent="0.35">
      <c r="A4079" t="str">
        <f>"2026-07-01"</f>
        <v>2026-07-01</v>
      </c>
      <c r="B4079" s="1" t="str">
        <f t="shared" si="63"/>
        <v>07/01/2026</v>
      </c>
      <c r="C4079" t="str">
        <f>"53.8315"</f>
        <v>53.8315</v>
      </c>
      <c r="D4079" s="1" t="s">
        <v>4070</v>
      </c>
      <c r="E4079" t="s">
        <v>8175</v>
      </c>
    </row>
    <row r="4080" spans="1:5" x14ac:dyDescent="0.35">
      <c r="A4080" t="str">
        <f>"2026-07-02"</f>
        <v>2026-07-02</v>
      </c>
      <c r="B4080" s="1" t="str">
        <f t="shared" si="63"/>
        <v>07/02/2026</v>
      </c>
      <c r="C4080" t="str">
        <f>"53.9943"</f>
        <v>53.9943</v>
      </c>
      <c r="D4080" s="1" t="s">
        <v>4071</v>
      </c>
      <c r="E4080" t="s">
        <v>8176</v>
      </c>
    </row>
    <row r="4081" spans="1:5" x14ac:dyDescent="0.35">
      <c r="A4081" t="str">
        <f>"2026-07-06"</f>
        <v>2026-07-06</v>
      </c>
      <c r="B4081" s="1" t="str">
        <f t="shared" si="63"/>
        <v>07/06/2026</v>
      </c>
      <c r="C4081" t="str">
        <f>"55.4933"</f>
        <v>55.4933</v>
      </c>
      <c r="D4081" s="1" t="s">
        <v>4072</v>
      </c>
      <c r="E4081" t="s">
        <v>8177</v>
      </c>
    </row>
    <row r="4082" spans="1:5" x14ac:dyDescent="0.35">
      <c r="A4082" t="str">
        <f>"2026-07-07"</f>
        <v>2026-07-07</v>
      </c>
      <c r="B4082" s="1" t="str">
        <f t="shared" si="63"/>
        <v>07/07/2026</v>
      </c>
      <c r="C4082" t="str">
        <f>"55.8119"</f>
        <v>55.8119</v>
      </c>
      <c r="D4082" s="1" t="s">
        <v>4073</v>
      </c>
      <c r="E4082" t="s">
        <v>8178</v>
      </c>
    </row>
    <row r="4083" spans="1:5" x14ac:dyDescent="0.35">
      <c r="A4083" t="str">
        <f>"2026-07-08"</f>
        <v>2026-07-08</v>
      </c>
      <c r="B4083" s="1" t="str">
        <f t="shared" si="63"/>
        <v>07/08/2026</v>
      </c>
      <c r="C4083" t="str">
        <f>"54.1414"</f>
        <v>54.1414</v>
      </c>
      <c r="D4083" s="1" t="s">
        <v>4074</v>
      </c>
      <c r="E4083" t="s">
        <v>8179</v>
      </c>
    </row>
    <row r="4084" spans="1:5" x14ac:dyDescent="0.35">
      <c r="A4084" t="str">
        <f>"2026-07-09"</f>
        <v>2026-07-09</v>
      </c>
      <c r="B4084" s="1" t="str">
        <f t="shared" si="63"/>
        <v>07/09/2026</v>
      </c>
      <c r="C4084" t="str">
        <f>"54.3446"</f>
        <v>54.3446</v>
      </c>
      <c r="D4084" s="1" t="s">
        <v>4075</v>
      </c>
      <c r="E4084" t="s">
        <v>8180</v>
      </c>
    </row>
    <row r="4085" spans="1:5" x14ac:dyDescent="0.35">
      <c r="A4085" t="str">
        <f>"2026-07-10"</f>
        <v>2026-07-10</v>
      </c>
      <c r="B4085" s="1" t="str">
        <f t="shared" si="63"/>
        <v>07/10/2026</v>
      </c>
      <c r="C4085" t="str">
        <f>"55.6117"</f>
        <v>55.6117</v>
      </c>
      <c r="D4085" s="1" t="s">
        <v>4076</v>
      </c>
      <c r="E4085" t="s">
        <v>8181</v>
      </c>
    </row>
    <row r="4086" spans="1:5" x14ac:dyDescent="0.35">
      <c r="A4086" t="str">
        <f>"2026-07-13"</f>
        <v>2026-07-13</v>
      </c>
      <c r="B4086" s="1" t="str">
        <f t="shared" si="63"/>
        <v>07/13/2026</v>
      </c>
      <c r="C4086" t="str">
        <f>"55.2329"</f>
        <v>55.2329</v>
      </c>
      <c r="D4086" s="1" t="s">
        <v>4077</v>
      </c>
      <c r="E4086" t="s">
        <v>8182</v>
      </c>
    </row>
    <row r="4087" spans="1:5" x14ac:dyDescent="0.35">
      <c r="A4087" t="str">
        <f>"2026-07-14"</f>
        <v>2026-07-14</v>
      </c>
      <c r="B4087" s="1" t="str">
        <f t="shared" si="63"/>
        <v>07/14/2026</v>
      </c>
      <c r="C4087" t="str">
        <f>"53.0978"</f>
        <v>53.0978</v>
      </c>
      <c r="D4087" s="1" t="s">
        <v>4078</v>
      </c>
      <c r="E4087" t="s">
        <v>8183</v>
      </c>
    </row>
    <row r="4088" spans="1:5" x14ac:dyDescent="0.35">
      <c r="A4088" t="str">
        <f>"2026-07-16"</f>
        <v>2026-07-16</v>
      </c>
      <c r="B4088" s="1" t="str">
        <f t="shared" si="63"/>
        <v>07/16/2026</v>
      </c>
      <c r="C4088" t="str">
        <f>"54.7512"</f>
        <v>54.7512</v>
      </c>
      <c r="D4088" s="1" t="s">
        <v>4079</v>
      </c>
      <c r="E4088" t="s">
        <v>8184</v>
      </c>
    </row>
    <row r="4089" spans="1:5" x14ac:dyDescent="0.35">
      <c r="A4089" t="str">
        <f>"2026-07-17"</f>
        <v>2026-07-17</v>
      </c>
      <c r="B4089" s="1" t="str">
        <f t="shared" si="63"/>
        <v>07/17/2026</v>
      </c>
      <c r="C4089" t="str">
        <f>"54.2235"</f>
        <v>54.2235</v>
      </c>
      <c r="D4089" s="1" t="s">
        <v>4080</v>
      </c>
      <c r="E4089" t="s">
        <v>8185</v>
      </c>
    </row>
    <row r="4090" spans="1:5" x14ac:dyDescent="0.35">
      <c r="A4090" t="str">
        <f>"2026-07-20"</f>
        <v>2026-07-20</v>
      </c>
      <c r="B4090" s="1" t="str">
        <f t="shared" si="63"/>
        <v>07/20/2026</v>
      </c>
      <c r="C4090" t="str">
        <f>"53.9643"</f>
        <v>53.9643</v>
      </c>
      <c r="D4090" s="1" t="s">
        <v>4081</v>
      </c>
      <c r="E4090" t="s">
        <v>8186</v>
      </c>
    </row>
    <row r="4091" spans="1:5" x14ac:dyDescent="0.35">
      <c r="A4091" t="str">
        <f>"2026-07-21"</f>
        <v>2026-07-21</v>
      </c>
      <c r="B4091" s="1" t="str">
        <f t="shared" si="63"/>
        <v>07/21/2026</v>
      </c>
      <c r="C4091" t="str">
        <f>"51.4136"</f>
        <v>51.4136</v>
      </c>
      <c r="D4091" s="1" t="s">
        <v>4082</v>
      </c>
      <c r="E4091" t="s">
        <v>8187</v>
      </c>
    </row>
    <row r="4092" spans="1:5" x14ac:dyDescent="0.35">
      <c r="A4092" t="str">
        <f>"2026-07-22"</f>
        <v>2026-07-22</v>
      </c>
      <c r="B4092" s="1" t="str">
        <f t="shared" si="63"/>
        <v>07/22/2026</v>
      </c>
      <c r="C4092" t="str">
        <f>"51.0117"</f>
        <v>51.0117</v>
      </c>
      <c r="D4092" s="1" t="s">
        <v>4083</v>
      </c>
      <c r="E4092" t="s">
        <v>8188</v>
      </c>
    </row>
    <row r="4093" spans="1:5" x14ac:dyDescent="0.35">
      <c r="A4093" t="str">
        <f>"2026-07-23"</f>
        <v>2026-07-23</v>
      </c>
      <c r="B4093" s="1" t="str">
        <f t="shared" si="63"/>
        <v>07/23/2026</v>
      </c>
      <c r="C4093" t="str">
        <f>"50.9167"</f>
        <v>50.9167</v>
      </c>
      <c r="D4093" s="1" t="s">
        <v>4084</v>
      </c>
      <c r="E4093" t="s">
        <v>8189</v>
      </c>
    </row>
    <row r="4094" spans="1:5" x14ac:dyDescent="0.35">
      <c r="A4094" t="str">
        <f>"2026-07-24"</f>
        <v>2026-07-24</v>
      </c>
      <c r="B4094" s="1" t="str">
        <f t="shared" si="63"/>
        <v>07/24/2026</v>
      </c>
      <c r="C4094" t="str">
        <f>"50.4209"</f>
        <v>50.4209</v>
      </c>
      <c r="D4094" s="1" t="s">
        <v>4085</v>
      </c>
      <c r="E4094" t="s">
        <v>8190</v>
      </c>
    </row>
    <row r="4095" spans="1:5" x14ac:dyDescent="0.35">
      <c r="A4095" t="str">
        <f>"2026-07-27"</f>
        <v>2026-07-27</v>
      </c>
      <c r="B4095" s="1" t="str">
        <f t="shared" si="63"/>
        <v>07/27/2026</v>
      </c>
      <c r="C4095" t="str">
        <f>"51.2664"</f>
        <v>51.2664</v>
      </c>
      <c r="D4095" s="1" t="s">
        <v>4086</v>
      </c>
      <c r="E4095" t="s">
        <v>8191</v>
      </c>
    </row>
    <row r="4096" spans="1:5" x14ac:dyDescent="0.35">
      <c r="A4096" t="str">
        <f>"2026-07-28"</f>
        <v>2026-07-28</v>
      </c>
      <c r="B4096" s="1" t="str">
        <f t="shared" si="63"/>
        <v>07/28/2026</v>
      </c>
      <c r="C4096" t="str">
        <f>"51.9106"</f>
        <v>51.9106</v>
      </c>
      <c r="D4096" s="1" t="s">
        <v>4087</v>
      </c>
      <c r="E4096" t="s">
        <v>8192</v>
      </c>
    </row>
    <row r="4097" spans="1:5" x14ac:dyDescent="0.35">
      <c r="A4097" t="str">
        <f>"2026-07-29"</f>
        <v>2026-07-29</v>
      </c>
      <c r="B4097" s="1" t="str">
        <f t="shared" si="63"/>
        <v>07/29/2026</v>
      </c>
      <c r="C4097" t="str">
        <f>"50.9639"</f>
        <v>50.9639</v>
      </c>
      <c r="D4097" s="1" t="s">
        <v>4088</v>
      </c>
      <c r="E4097" t="s">
        <v>8193</v>
      </c>
    </row>
    <row r="4098" spans="1:5" x14ac:dyDescent="0.35">
      <c r="A4098" t="str">
        <f>"2026-07-30"</f>
        <v>2026-07-30</v>
      </c>
      <c r="B4098" s="1" t="str">
        <f t="shared" si="63"/>
        <v>07/30/2026</v>
      </c>
      <c r="C4098" t="str">
        <f>"49.3646"</f>
        <v>49.3646</v>
      </c>
      <c r="D4098" s="1" t="s">
        <v>4089</v>
      </c>
      <c r="E4098" t="s">
        <v>8194</v>
      </c>
    </row>
    <row r="4099" spans="1:5" x14ac:dyDescent="0.35">
      <c r="A4099" t="str">
        <f>"2026-07-31"</f>
        <v>2026-07-31</v>
      </c>
      <c r="B4099" s="1" t="str">
        <f t="shared" ref="B4099:B4123" si="64">LEFT(RIGHT(A4099,5),2)&amp;"/"&amp;RIGHT(A4099,2)&amp;"/"&amp;LEFT(A4099,4)</f>
        <v>07/31/2026</v>
      </c>
      <c r="C4099" t="str">
        <f>"50.7778"</f>
        <v>50.7778</v>
      </c>
      <c r="D4099" s="1" t="s">
        <v>4090</v>
      </c>
      <c r="E4099" t="s">
        <v>8195</v>
      </c>
    </row>
    <row r="4100" spans="1:5" x14ac:dyDescent="0.35">
      <c r="A4100" t="str">
        <f>"2026-08-03"</f>
        <v>2026-08-03</v>
      </c>
      <c r="B4100" s="1" t="str">
        <f t="shared" si="64"/>
        <v>08/03/2026</v>
      </c>
      <c r="C4100" t="str">
        <f>"51.4233"</f>
        <v>51.4233</v>
      </c>
      <c r="D4100" s="1" t="s">
        <v>4091</v>
      </c>
      <c r="E4100" t="s">
        <v>8196</v>
      </c>
    </row>
    <row r="4101" spans="1:5" x14ac:dyDescent="0.35">
      <c r="A4101" t="str">
        <f>"2026-08-04"</f>
        <v>2026-08-04</v>
      </c>
      <c r="B4101" s="1" t="str">
        <f t="shared" si="64"/>
        <v>08/04/2026</v>
      </c>
      <c r="C4101" t="str">
        <f>"51.7206"</f>
        <v>51.7206</v>
      </c>
      <c r="D4101" s="1" t="s">
        <v>4092</v>
      </c>
      <c r="E4101" t="s">
        <v>8197</v>
      </c>
    </row>
    <row r="4102" spans="1:5" x14ac:dyDescent="0.35">
      <c r="A4102" t="str">
        <f>"2026-08-05"</f>
        <v>2026-08-05</v>
      </c>
      <c r="B4102" s="1" t="str">
        <f t="shared" si="64"/>
        <v>08/05/2026</v>
      </c>
      <c r="C4102" t="str">
        <f>"48.3574"</f>
        <v>48.3574</v>
      </c>
      <c r="D4102" s="1" t="s">
        <v>4093</v>
      </c>
      <c r="E4102" t="s">
        <v>8198</v>
      </c>
    </row>
    <row r="4103" spans="1:5" x14ac:dyDescent="0.35">
      <c r="A4103" t="str">
        <f>"2026-08-06"</f>
        <v>2026-08-06</v>
      </c>
      <c r="B4103" s="1" t="str">
        <f t="shared" si="64"/>
        <v>08/06/2026</v>
      </c>
      <c r="C4103" t="str">
        <f>"47.9945"</f>
        <v>47.9945</v>
      </c>
      <c r="D4103" s="1" t="s">
        <v>4094</v>
      </c>
      <c r="E4103" t="s">
        <v>8199</v>
      </c>
    </row>
    <row r="4104" spans="1:5" x14ac:dyDescent="0.35">
      <c r="A4104" t="str">
        <f>"2026-08-07"</f>
        <v>2026-08-07</v>
      </c>
      <c r="B4104" s="1" t="str">
        <f t="shared" si="64"/>
        <v>08/07/2026</v>
      </c>
      <c r="C4104" t="str">
        <f>"46.044"</f>
        <v>46.044</v>
      </c>
      <c r="D4104" s="1" t="s">
        <v>4095</v>
      </c>
      <c r="E4104" t="s">
        <v>8200</v>
      </c>
    </row>
    <row r="4105" spans="1:5" x14ac:dyDescent="0.35">
      <c r="A4105" t="str">
        <f>"2026-08-10"</f>
        <v>2026-08-10</v>
      </c>
      <c r="B4105" s="1" t="str">
        <f t="shared" si="64"/>
        <v>08/10/2026</v>
      </c>
      <c r="C4105" t="str">
        <f>"45.3049"</f>
        <v>45.3049</v>
      </c>
      <c r="D4105" s="1" t="s">
        <v>4096</v>
      </c>
      <c r="E4105" t="s">
        <v>8201</v>
      </c>
    </row>
    <row r="4106" spans="1:5" x14ac:dyDescent="0.35">
      <c r="A4106" t="str">
        <f>"2026-08-11"</f>
        <v>2026-08-11</v>
      </c>
      <c r="B4106" s="1" t="str">
        <f t="shared" si="64"/>
        <v>08/11/2026</v>
      </c>
      <c r="C4106" t="str">
        <f>"44.7583"</f>
        <v>44.7583</v>
      </c>
      <c r="D4106" s="1" t="s">
        <v>4097</v>
      </c>
      <c r="E4106" t="s">
        <v>8202</v>
      </c>
    </row>
    <row r="4107" spans="1:5" x14ac:dyDescent="0.35">
      <c r="A4107" t="str">
        <f>"2026-08-12"</f>
        <v>2026-08-12</v>
      </c>
      <c r="B4107" s="1" t="str">
        <f t="shared" si="64"/>
        <v>08/12/2026</v>
      </c>
      <c r="C4107" t="str">
        <f>"45.6153"</f>
        <v>45.6153</v>
      </c>
      <c r="D4107" s="1" t="s">
        <v>4098</v>
      </c>
      <c r="E4107" t="s">
        <v>8203</v>
      </c>
    </row>
    <row r="4108" spans="1:5" x14ac:dyDescent="0.35">
      <c r="A4108" t="str">
        <f>"2026-08-13"</f>
        <v>2026-08-13</v>
      </c>
      <c r="B4108" s="1" t="str">
        <f t="shared" si="64"/>
        <v>08/13/2026</v>
      </c>
      <c r="C4108" t="str">
        <f>"45.9694"</f>
        <v>45.9694</v>
      </c>
      <c r="D4108" s="1" t="s">
        <v>4099</v>
      </c>
      <c r="E4108" t="s">
        <v>8204</v>
      </c>
    </row>
    <row r="4109" spans="1:5" x14ac:dyDescent="0.35">
      <c r="A4109" t="str">
        <f>"2026-08-14"</f>
        <v>2026-08-14</v>
      </c>
      <c r="B4109" s="1" t="str">
        <f t="shared" si="64"/>
        <v>08/14/2026</v>
      </c>
      <c r="C4109" t="str">
        <f>"45.2689"</f>
        <v>45.2689</v>
      </c>
      <c r="D4109" s="1" t="s">
        <v>4100</v>
      </c>
      <c r="E4109" t="s">
        <v>8205</v>
      </c>
    </row>
    <row r="4110" spans="1:5" x14ac:dyDescent="0.35">
      <c r="A4110" t="str">
        <f>"2026-08-17"</f>
        <v>2026-08-17</v>
      </c>
      <c r="B4110" s="1" t="str">
        <f t="shared" si="64"/>
        <v>08/17/2026</v>
      </c>
      <c r="C4110" t="str">
        <f>"44.2813"</f>
        <v>44.2813</v>
      </c>
      <c r="D4110" s="1" t="s">
        <v>4101</v>
      </c>
      <c r="E4110" t="s">
        <v>8206</v>
      </c>
    </row>
    <row r="4111" spans="1:5" x14ac:dyDescent="0.35">
      <c r="A4111" t="str">
        <f>"2026-08-18"</f>
        <v>2026-08-18</v>
      </c>
      <c r="B4111" s="1" t="str">
        <f t="shared" si="64"/>
        <v>08/18/2026</v>
      </c>
      <c r="C4111" t="str">
        <f>"44.6894"</f>
        <v>44.6894</v>
      </c>
      <c r="D4111" s="1" t="s">
        <v>4102</v>
      </c>
      <c r="E4111" t="s">
        <v>8207</v>
      </c>
    </row>
    <row r="4112" spans="1:5" x14ac:dyDescent="0.35">
      <c r="A4112" t="str">
        <f>"2026-08-19"</f>
        <v>2026-08-19</v>
      </c>
      <c r="B4112" s="1" t="str">
        <f t="shared" si="64"/>
        <v>08/19/2026</v>
      </c>
      <c r="C4112" t="str">
        <f>"43.5633"</f>
        <v>43.5633</v>
      </c>
      <c r="D4112" s="1" t="s">
        <v>4103</v>
      </c>
      <c r="E4112" t="s">
        <v>8208</v>
      </c>
    </row>
    <row r="4113" spans="1:5" x14ac:dyDescent="0.35">
      <c r="A4113" t="str">
        <f>"2026-08-20"</f>
        <v>2026-08-20</v>
      </c>
      <c r="B4113" s="1" t="str">
        <f t="shared" si="64"/>
        <v>08/20/2026</v>
      </c>
      <c r="C4113" t="str">
        <f>"43.2724"</f>
        <v>43.2724</v>
      </c>
      <c r="D4113" s="1" t="s">
        <v>4104</v>
      </c>
      <c r="E4113" t="s">
        <v>8209</v>
      </c>
    </row>
    <row r="4114" spans="1:5" x14ac:dyDescent="0.35">
      <c r="A4114" t="str">
        <f>"2026-08-21"</f>
        <v>2026-08-21</v>
      </c>
      <c r="B4114" s="1" t="str">
        <f t="shared" si="64"/>
        <v>08/21/2026</v>
      </c>
      <c r="C4114" t="str">
        <f>"42.1427"</f>
        <v>42.1427</v>
      </c>
      <c r="D4114" s="1" t="s">
        <v>4105</v>
      </c>
      <c r="E4114" t="s">
        <v>8210</v>
      </c>
    </row>
    <row r="4115" spans="1:5" x14ac:dyDescent="0.35">
      <c r="A4115" t="str">
        <f>"2026-08-24"</f>
        <v>2026-08-24</v>
      </c>
      <c r="B4115" s="1" t="str">
        <f t="shared" si="64"/>
        <v>08/24/2026</v>
      </c>
      <c r="C4115" t="str">
        <f>"41.9188"</f>
        <v>41.9188</v>
      </c>
      <c r="D4115" s="1" t="s">
        <v>4106</v>
      </c>
      <c r="E4115" t="s">
        <v>8211</v>
      </c>
    </row>
    <row r="4116" spans="1:5" x14ac:dyDescent="0.35">
      <c r="A4116" t="str">
        <f>"2026-08-25"</f>
        <v>2026-08-25</v>
      </c>
      <c r="B4116" s="1" t="str">
        <f t="shared" si="64"/>
        <v>08/25/2026</v>
      </c>
      <c r="C4116" t="str">
        <f>"42.195"</f>
        <v>42.195</v>
      </c>
      <c r="D4116" s="1" t="s">
        <v>4107</v>
      </c>
      <c r="E4116" t="s">
        <v>8212</v>
      </c>
    </row>
    <row r="4117" spans="1:5" x14ac:dyDescent="0.35">
      <c r="A4117" t="str">
        <f>"2026-08-26"</f>
        <v>2026-08-26</v>
      </c>
      <c r="B4117" s="1" t="str">
        <f t="shared" si="64"/>
        <v>08/26/2026</v>
      </c>
      <c r="C4117" t="str">
        <f>"43.3745"</f>
        <v>43.3745</v>
      </c>
      <c r="D4117" s="1" t="s">
        <v>4108</v>
      </c>
      <c r="E4117" t="s">
        <v>8213</v>
      </c>
    </row>
    <row r="4118" spans="1:5" x14ac:dyDescent="0.35">
      <c r="A4118" t="str">
        <f>"2026-08-27"</f>
        <v>2026-08-27</v>
      </c>
      <c r="B4118" s="1" t="str">
        <f t="shared" si="64"/>
        <v>08/27/2026</v>
      </c>
      <c r="C4118" t="str">
        <f>"43.0716"</f>
        <v>43.0716</v>
      </c>
      <c r="D4118" s="1" t="s">
        <v>4109</v>
      </c>
      <c r="E4118" t="s">
        <v>8214</v>
      </c>
    </row>
    <row r="4119" spans="1:5" x14ac:dyDescent="0.35">
      <c r="A4119" t="str">
        <f>"2026-08-28"</f>
        <v>2026-08-28</v>
      </c>
      <c r="B4119" s="1" t="str">
        <f t="shared" si="64"/>
        <v>08/28/2026</v>
      </c>
      <c r="C4119" t="str">
        <f>"44.5013"</f>
        <v>44.5013</v>
      </c>
      <c r="D4119" s="1" t="s">
        <v>4110</v>
      </c>
      <c r="E4119" t="s">
        <v>8215</v>
      </c>
    </row>
    <row r="4120" spans="1:5" x14ac:dyDescent="0.35">
      <c r="A4120" t="str">
        <f>"2026-08-31"</f>
        <v>2026-08-31</v>
      </c>
      <c r="B4120" s="1" t="str">
        <f t="shared" si="64"/>
        <v>08/31/2026</v>
      </c>
      <c r="C4120" t="str">
        <f>"43.9739"</f>
        <v>43.9739</v>
      </c>
      <c r="D4120" s="1" t="s">
        <v>4111</v>
      </c>
      <c r="E4120" t="s">
        <v>8216</v>
      </c>
    </row>
    <row r="4121" spans="1:5" x14ac:dyDescent="0.35">
      <c r="A4121" t="str">
        <f>"2026-09-01"</f>
        <v>2026-09-01</v>
      </c>
      <c r="B4121" s="1" t="str">
        <f t="shared" si="64"/>
        <v>09/01/2026</v>
      </c>
      <c r="C4121" t="str">
        <f>"44.684"</f>
        <v>44.684</v>
      </c>
      <c r="D4121" s="1" t="s">
        <v>4112</v>
      </c>
      <c r="E4121" t="s">
        <v>8217</v>
      </c>
    </row>
    <row r="4122" spans="1:5" x14ac:dyDescent="0.35">
      <c r="A4122" t="str">
        <f>"2026-09-02"</f>
        <v>2026-09-02</v>
      </c>
      <c r="B4122" s="1" t="str">
        <f t="shared" si="64"/>
        <v>09/02/2026</v>
      </c>
      <c r="C4122" t="str">
        <f>"43.0081"</f>
        <v>43.0081</v>
      </c>
      <c r="D4122" s="1" t="s">
        <v>4113</v>
      </c>
      <c r="E4122" t="s">
        <v>8218</v>
      </c>
    </row>
    <row r="4123" spans="1:5" x14ac:dyDescent="0.35">
      <c r="A4123" t="str">
        <f>"2026-09-03"</f>
        <v>2026-09-03</v>
      </c>
      <c r="B4123" s="1" t="str">
        <f t="shared" si="64"/>
        <v>09/03/2026</v>
      </c>
      <c r="C4123" t="str">
        <f>"41.3829"</f>
        <v>41.3829</v>
      </c>
      <c r="D4123" s="1" t="s">
        <v>4114</v>
      </c>
      <c r="E4123" t="s">
        <v>8219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235E-0230-4C3B-895C-A24B5D16A78B}">
  <dimension ref="A1:Z4123"/>
  <sheetViews>
    <sheetView workbookViewId="0">
      <selection activeCell="D1" sqref="D1:D1048576"/>
    </sheetView>
  </sheetViews>
  <sheetFormatPr defaultRowHeight="14.5" x14ac:dyDescent="0.35"/>
  <cols>
    <col min="4" max="4" width="10.54296875" customWidth="1"/>
    <col min="5" max="5" width="10.1796875" customWidth="1"/>
  </cols>
  <sheetData>
    <row r="1" spans="1:5" x14ac:dyDescent="0.35">
      <c r="D1" t="str">
        <f>"date"</f>
        <v>date</v>
      </c>
      <c r="E1" t="str">
        <f>"value"</f>
        <v>value</v>
      </c>
    </row>
    <row r="2" spans="1:5" x14ac:dyDescent="0.35">
      <c r="A2">
        <v>2010</v>
      </c>
      <c r="B2">
        <f>COUNTIF(C:C,A2)</f>
        <v>252</v>
      </c>
      <c r="C2">
        <f>YEAR(D2)</f>
        <v>2010</v>
      </c>
      <c r="D2" s="1">
        <v>40182</v>
      </c>
      <c r="E2">
        <v>68.8703</v>
      </c>
    </row>
    <row r="3" spans="1:5" x14ac:dyDescent="0.35">
      <c r="A3">
        <v>2011</v>
      </c>
      <c r="B3">
        <f t="shared" ref="B3:B17" si="0">COUNTIF(C:C,A3)</f>
        <v>251</v>
      </c>
      <c r="C3">
        <f t="shared" ref="C3:C66" si="1">YEAR(D3)</f>
        <v>2010</v>
      </c>
      <c r="D3" s="1">
        <v>40183</v>
      </c>
      <c r="E3">
        <v>68.864400000000003</v>
      </c>
    </row>
    <row r="4" spans="1:5" x14ac:dyDescent="0.35">
      <c r="A4">
        <v>2012</v>
      </c>
      <c r="B4">
        <f t="shared" si="0"/>
        <v>250</v>
      </c>
      <c r="C4">
        <f t="shared" si="1"/>
        <v>2010</v>
      </c>
      <c r="D4" s="1">
        <v>40184</v>
      </c>
      <c r="E4">
        <v>67.255200000000002</v>
      </c>
    </row>
    <row r="5" spans="1:5" x14ac:dyDescent="0.35">
      <c r="A5">
        <v>2013</v>
      </c>
      <c r="B5">
        <f t="shared" si="0"/>
        <v>251</v>
      </c>
      <c r="C5">
        <f t="shared" si="1"/>
        <v>2010</v>
      </c>
      <c r="D5" s="1">
        <v>40185</v>
      </c>
      <c r="E5">
        <v>66.234099999999998</v>
      </c>
    </row>
    <row r="6" spans="1:5" x14ac:dyDescent="0.35">
      <c r="A6">
        <v>2014</v>
      </c>
      <c r="B6">
        <f t="shared" si="0"/>
        <v>252</v>
      </c>
      <c r="C6">
        <f t="shared" si="1"/>
        <v>2010</v>
      </c>
      <c r="D6" s="1">
        <v>40186</v>
      </c>
      <c r="E6">
        <v>65.359499999999997</v>
      </c>
    </row>
    <row r="7" spans="1:5" x14ac:dyDescent="0.35">
      <c r="A7">
        <v>2015</v>
      </c>
      <c r="B7">
        <f t="shared" si="0"/>
        <v>252</v>
      </c>
      <c r="C7">
        <f t="shared" si="1"/>
        <v>2010</v>
      </c>
      <c r="D7" s="1">
        <v>40189</v>
      </c>
      <c r="E7">
        <v>64.997200000000007</v>
      </c>
    </row>
    <row r="8" spans="1:5" x14ac:dyDescent="0.35">
      <c r="A8">
        <v>2016</v>
      </c>
      <c r="B8">
        <f t="shared" si="0"/>
        <v>250</v>
      </c>
      <c r="C8">
        <f t="shared" si="1"/>
        <v>2010</v>
      </c>
      <c r="D8" s="1">
        <v>40190</v>
      </c>
      <c r="E8">
        <v>64.900099999999995</v>
      </c>
    </row>
    <row r="9" spans="1:5" x14ac:dyDescent="0.35">
      <c r="A9">
        <v>2017</v>
      </c>
      <c r="B9">
        <f t="shared" si="0"/>
        <v>249</v>
      </c>
      <c r="C9">
        <f t="shared" si="1"/>
        <v>2010</v>
      </c>
      <c r="D9" s="1">
        <v>40191</v>
      </c>
      <c r="E9">
        <v>66.947100000000006</v>
      </c>
    </row>
    <row r="10" spans="1:5" x14ac:dyDescent="0.35">
      <c r="A10">
        <v>2018</v>
      </c>
      <c r="B10">
        <f t="shared" si="0"/>
        <v>250</v>
      </c>
      <c r="C10">
        <f t="shared" si="1"/>
        <v>2010</v>
      </c>
      <c r="D10" s="1">
        <v>40192</v>
      </c>
      <c r="E10">
        <v>67.619100000000003</v>
      </c>
    </row>
    <row r="11" spans="1:5" x14ac:dyDescent="0.35">
      <c r="A11">
        <v>2019</v>
      </c>
      <c r="B11">
        <f t="shared" si="0"/>
        <v>250</v>
      </c>
      <c r="C11">
        <f t="shared" si="1"/>
        <v>2010</v>
      </c>
      <c r="D11" s="1">
        <v>40193</v>
      </c>
      <c r="E11">
        <v>67.116900000000001</v>
      </c>
    </row>
    <row r="12" spans="1:5" x14ac:dyDescent="0.35">
      <c r="A12">
        <v>2020</v>
      </c>
      <c r="B12">
        <f t="shared" si="0"/>
        <v>245</v>
      </c>
      <c r="C12">
        <f t="shared" si="1"/>
        <v>2010</v>
      </c>
      <c r="D12" s="1">
        <v>40197</v>
      </c>
      <c r="E12">
        <v>66.574399999999997</v>
      </c>
    </row>
    <row r="13" spans="1:5" x14ac:dyDescent="0.35">
      <c r="A13">
        <v>2021</v>
      </c>
      <c r="B13">
        <f t="shared" si="0"/>
        <v>241</v>
      </c>
      <c r="C13">
        <f t="shared" si="1"/>
        <v>2010</v>
      </c>
      <c r="D13" s="1">
        <v>40198</v>
      </c>
      <c r="E13">
        <v>67.431399999999996</v>
      </c>
    </row>
    <row r="14" spans="1:5" x14ac:dyDescent="0.35">
      <c r="A14">
        <v>2022</v>
      </c>
      <c r="B14">
        <f t="shared" si="0"/>
        <v>243</v>
      </c>
      <c r="C14">
        <f t="shared" si="1"/>
        <v>2010</v>
      </c>
      <c r="D14" s="1">
        <v>40199</v>
      </c>
      <c r="E14">
        <v>66.196899999999999</v>
      </c>
    </row>
    <row r="15" spans="1:5" x14ac:dyDescent="0.35">
      <c r="A15">
        <v>2023</v>
      </c>
      <c r="B15">
        <f t="shared" si="0"/>
        <v>239</v>
      </c>
      <c r="C15">
        <f t="shared" si="1"/>
        <v>2010</v>
      </c>
      <c r="D15" s="1">
        <v>40200</v>
      </c>
      <c r="E15">
        <v>65.683899999999994</v>
      </c>
    </row>
    <row r="16" spans="1:5" x14ac:dyDescent="0.35">
      <c r="A16">
        <v>2024</v>
      </c>
      <c r="B16">
        <f t="shared" si="0"/>
        <v>241</v>
      </c>
      <c r="C16">
        <f t="shared" si="1"/>
        <v>2010</v>
      </c>
      <c r="D16" s="1">
        <v>40203</v>
      </c>
      <c r="E16">
        <v>65.429599999999994</v>
      </c>
    </row>
    <row r="17" spans="1:26" x14ac:dyDescent="0.35">
      <c r="A17">
        <v>2025</v>
      </c>
      <c r="B17">
        <f t="shared" si="0"/>
        <v>242</v>
      </c>
      <c r="C17">
        <f t="shared" si="1"/>
        <v>2010</v>
      </c>
      <c r="D17" s="1">
        <v>40204</v>
      </c>
      <c r="E17">
        <v>66.897099999999995</v>
      </c>
    </row>
    <row r="18" spans="1:26" x14ac:dyDescent="0.35">
      <c r="A18">
        <v>2026</v>
      </c>
      <c r="C18">
        <f t="shared" si="1"/>
        <v>2010</v>
      </c>
      <c r="D18" s="1">
        <v>40205</v>
      </c>
      <c r="E18">
        <v>66.743600000000001</v>
      </c>
    </row>
    <row r="19" spans="1:26" x14ac:dyDescent="0.35">
      <c r="C19">
        <f t="shared" si="1"/>
        <v>2010</v>
      </c>
      <c r="D19" s="1">
        <v>40206</v>
      </c>
      <c r="E19">
        <v>66.868700000000004</v>
      </c>
    </row>
    <row r="20" spans="1:26" x14ac:dyDescent="0.35">
      <c r="C20">
        <f t="shared" si="1"/>
        <v>2010</v>
      </c>
      <c r="D20" s="1">
        <v>40207</v>
      </c>
      <c r="E20">
        <v>66.328500000000005</v>
      </c>
    </row>
    <row r="21" spans="1:26" x14ac:dyDescent="0.35">
      <c r="C21">
        <f t="shared" si="1"/>
        <v>2010</v>
      </c>
      <c r="D21" s="1">
        <v>40210</v>
      </c>
      <c r="E21">
        <v>67.466300000000004</v>
      </c>
    </row>
    <row r="22" spans="1:26" x14ac:dyDescent="0.35">
      <c r="C22">
        <f t="shared" si="1"/>
        <v>2010</v>
      </c>
      <c r="D22" s="1">
        <v>40211</v>
      </c>
      <c r="E22">
        <v>65.295299999999997</v>
      </c>
    </row>
    <row r="23" spans="1:26" x14ac:dyDescent="0.35">
      <c r="C23">
        <f t="shared" si="1"/>
        <v>2010</v>
      </c>
      <c r="D23" s="1">
        <v>40212</v>
      </c>
      <c r="E23">
        <v>66.009200000000007</v>
      </c>
    </row>
    <row r="24" spans="1:26" x14ac:dyDescent="0.35">
      <c r="C24">
        <f t="shared" si="1"/>
        <v>2010</v>
      </c>
      <c r="D24" s="1">
        <v>40213</v>
      </c>
      <c r="E24">
        <v>67.736999999999995</v>
      </c>
    </row>
    <row r="25" spans="1:26" x14ac:dyDescent="0.35">
      <c r="C25">
        <f t="shared" si="1"/>
        <v>2010</v>
      </c>
      <c r="D25" s="1">
        <v>40214</v>
      </c>
      <c r="E25">
        <v>64.408699999999996</v>
      </c>
    </row>
    <row r="26" spans="1:26" x14ac:dyDescent="0.35">
      <c r="C26">
        <f t="shared" si="1"/>
        <v>2010</v>
      </c>
      <c r="D26" s="1">
        <v>40217</v>
      </c>
      <c r="E26">
        <v>60.7834</v>
      </c>
    </row>
    <row r="27" spans="1:26" x14ac:dyDescent="0.35">
      <c r="C27">
        <f t="shared" si="1"/>
        <v>2010</v>
      </c>
      <c r="D27" s="1">
        <v>40218</v>
      </c>
      <c r="E27">
        <v>61.9846</v>
      </c>
    </row>
    <row r="28" spans="1:26" x14ac:dyDescent="0.35">
      <c r="C28">
        <f t="shared" si="1"/>
        <v>2010</v>
      </c>
      <c r="D28" s="1">
        <v>40219</v>
      </c>
      <c r="E28">
        <v>61.700800000000001</v>
      </c>
    </row>
    <row r="29" spans="1:26" x14ac:dyDescent="0.35">
      <c r="C29">
        <f t="shared" si="1"/>
        <v>2010</v>
      </c>
      <c r="D29" s="1">
        <v>40220</v>
      </c>
      <c r="E29">
        <v>62.0246</v>
      </c>
    </row>
    <row r="30" spans="1:26" x14ac:dyDescent="0.35">
      <c r="C30">
        <f t="shared" si="1"/>
        <v>2010</v>
      </c>
      <c r="D30" s="1">
        <v>40221</v>
      </c>
      <c r="E30">
        <v>60.9651</v>
      </c>
    </row>
    <row r="31" spans="1:26" x14ac:dyDescent="0.35">
      <c r="C31">
        <f t="shared" si="1"/>
        <v>2010</v>
      </c>
      <c r="D31" s="1">
        <v>40225</v>
      </c>
      <c r="E31">
        <v>63.2042</v>
      </c>
    </row>
    <row r="32" spans="1:26" x14ac:dyDescent="0.35">
      <c r="C32">
        <f t="shared" si="1"/>
        <v>2010</v>
      </c>
      <c r="D32" s="1">
        <v>40226</v>
      </c>
      <c r="E32">
        <v>62.937899999999999</v>
      </c>
      <c r="K32" s="5" t="s">
        <v>8225</v>
      </c>
      <c r="L32" s="6"/>
      <c r="M32" s="6"/>
      <c r="N32" s="6"/>
      <c r="O32" s="6"/>
      <c r="P32" s="6"/>
      <c r="R32" t="s">
        <v>8224</v>
      </c>
      <c r="S32">
        <f>DEGREES(0.0045)</f>
        <v>0.25783100780887042</v>
      </c>
      <c r="W32" s="3" t="s">
        <v>8220</v>
      </c>
      <c r="X32" s="4" t="s">
        <v>8221</v>
      </c>
      <c r="Y32" s="3">
        <v>4.4999999999999997E-3</v>
      </c>
      <c r="Z32" s="3" t="s">
        <v>8222</v>
      </c>
    </row>
    <row r="33" spans="3:26" x14ac:dyDescent="0.35">
      <c r="C33">
        <f t="shared" si="1"/>
        <v>2010</v>
      </c>
      <c r="D33" s="1">
        <v>40227</v>
      </c>
      <c r="E33">
        <v>61.287500000000001</v>
      </c>
      <c r="K33">
        <f>M33*N33-P33</f>
        <v>-112.131</v>
      </c>
      <c r="L33" s="2" t="s">
        <v>8221</v>
      </c>
      <c r="M33">
        <v>4.4999999999999997E-3</v>
      </c>
      <c r="N33">
        <v>4122</v>
      </c>
      <c r="O33" s="2" t="s">
        <v>8223</v>
      </c>
      <c r="P33">
        <v>130.68</v>
      </c>
      <c r="W33" s="3">
        <f>Y32*Z33</f>
        <v>1.1339999999999999</v>
      </c>
      <c r="X33" s="3"/>
      <c r="Y33" s="3"/>
      <c r="Z33" s="3">
        <v>252</v>
      </c>
    </row>
    <row r="34" spans="3:26" x14ac:dyDescent="0.35">
      <c r="C34">
        <f t="shared" si="1"/>
        <v>2010</v>
      </c>
      <c r="D34" s="1">
        <v>40228</v>
      </c>
      <c r="E34">
        <v>64.009</v>
      </c>
      <c r="N34">
        <v>4122</v>
      </c>
    </row>
    <row r="35" spans="3:26" x14ac:dyDescent="0.35">
      <c r="C35">
        <f t="shared" si="1"/>
        <v>2010</v>
      </c>
      <c r="D35" s="1">
        <v>40231</v>
      </c>
      <c r="E35">
        <v>62.603299999999997</v>
      </c>
      <c r="N35">
        <v>252</v>
      </c>
    </row>
    <row r="36" spans="3:26" x14ac:dyDescent="0.35">
      <c r="C36">
        <f t="shared" si="1"/>
        <v>2010</v>
      </c>
      <c r="D36" s="1">
        <v>40232</v>
      </c>
      <c r="E36">
        <v>61.128100000000003</v>
      </c>
      <c r="J36">
        <f>TAN(45)</f>
        <v>1.6197751905438615</v>
      </c>
    </row>
    <row r="37" spans="3:26" x14ac:dyDescent="0.35">
      <c r="C37">
        <f t="shared" si="1"/>
        <v>2010</v>
      </c>
      <c r="D37" s="1">
        <v>40233</v>
      </c>
      <c r="E37">
        <v>58.128999999999998</v>
      </c>
      <c r="H37">
        <f>TAN(RADIANS(0.51))</f>
        <v>8.9014142757039647E-3</v>
      </c>
      <c r="J37">
        <f>DEGREES(45)</f>
        <v>2578.3100780887044</v>
      </c>
    </row>
    <row r="38" spans="3:26" x14ac:dyDescent="0.35">
      <c r="C38">
        <f t="shared" si="1"/>
        <v>2010</v>
      </c>
      <c r="D38" s="1">
        <v>40234</v>
      </c>
      <c r="E38">
        <v>55.256100000000004</v>
      </c>
      <c r="H38">
        <f>H37/2</f>
        <v>4.4507071378519824E-3</v>
      </c>
      <c r="J38">
        <f>ATAN(45)</f>
        <v>1.5485777614681775</v>
      </c>
    </row>
    <row r="39" spans="3:26" x14ac:dyDescent="0.35">
      <c r="C39">
        <f t="shared" si="1"/>
        <v>2010</v>
      </c>
      <c r="D39" s="1">
        <v>40235</v>
      </c>
      <c r="E39">
        <v>55.200499999999998</v>
      </c>
    </row>
    <row r="40" spans="3:26" x14ac:dyDescent="0.35">
      <c r="C40">
        <f t="shared" si="1"/>
        <v>2010</v>
      </c>
      <c r="D40" s="1">
        <v>40238</v>
      </c>
      <c r="E40">
        <v>58.130200000000002</v>
      </c>
      <c r="H40">
        <f>TAN(0.51/(180/PI()))</f>
        <v>8.9014142757039647E-3</v>
      </c>
    </row>
    <row r="41" spans="3:26" x14ac:dyDescent="0.35">
      <c r="C41">
        <f t="shared" si="1"/>
        <v>2010</v>
      </c>
      <c r="D41" s="1">
        <v>40239</v>
      </c>
      <c r="E41">
        <v>58.238500000000002</v>
      </c>
    </row>
    <row r="42" spans="3:26" x14ac:dyDescent="0.35">
      <c r="C42">
        <f t="shared" si="1"/>
        <v>2010</v>
      </c>
      <c r="D42" s="1">
        <v>40240</v>
      </c>
      <c r="E42">
        <v>58.391199999999998</v>
      </c>
    </row>
    <row r="43" spans="3:26" x14ac:dyDescent="0.35">
      <c r="C43">
        <f t="shared" si="1"/>
        <v>2010</v>
      </c>
      <c r="D43" s="1">
        <v>40241</v>
      </c>
      <c r="E43">
        <v>58.945300000000003</v>
      </c>
    </row>
    <row r="44" spans="3:26" x14ac:dyDescent="0.35">
      <c r="C44">
        <f t="shared" si="1"/>
        <v>2010</v>
      </c>
      <c r="D44" s="1">
        <v>40242</v>
      </c>
      <c r="E44">
        <v>60.501600000000003</v>
      </c>
    </row>
    <row r="45" spans="3:26" x14ac:dyDescent="0.35">
      <c r="C45">
        <f t="shared" si="1"/>
        <v>2010</v>
      </c>
      <c r="D45" s="1">
        <v>40245</v>
      </c>
      <c r="E45">
        <v>61.9176</v>
      </c>
    </row>
    <row r="46" spans="3:26" x14ac:dyDescent="0.35">
      <c r="C46">
        <f t="shared" si="1"/>
        <v>2010</v>
      </c>
      <c r="D46" s="1">
        <v>40246</v>
      </c>
      <c r="E46">
        <v>61.3476</v>
      </c>
    </row>
    <row r="47" spans="3:26" x14ac:dyDescent="0.35">
      <c r="C47">
        <f t="shared" si="1"/>
        <v>2010</v>
      </c>
      <c r="D47" s="1">
        <v>40247</v>
      </c>
      <c r="E47">
        <v>61.593400000000003</v>
      </c>
    </row>
    <row r="48" spans="3:26" x14ac:dyDescent="0.35">
      <c r="C48">
        <f t="shared" si="1"/>
        <v>2010</v>
      </c>
      <c r="D48" s="1">
        <v>40248</v>
      </c>
      <c r="E48">
        <v>61.6145</v>
      </c>
    </row>
    <row r="49" spans="3:5" x14ac:dyDescent="0.35">
      <c r="C49">
        <f t="shared" si="1"/>
        <v>2010</v>
      </c>
      <c r="D49" s="1">
        <v>40249</v>
      </c>
      <c r="E49">
        <v>62.726599999999998</v>
      </c>
    </row>
    <row r="50" spans="3:5" x14ac:dyDescent="0.35">
      <c r="C50">
        <f t="shared" si="1"/>
        <v>2010</v>
      </c>
      <c r="D50" s="1">
        <v>40252</v>
      </c>
      <c r="E50">
        <v>61.381799999999998</v>
      </c>
    </row>
    <row r="51" spans="3:5" x14ac:dyDescent="0.35">
      <c r="C51">
        <f t="shared" si="1"/>
        <v>2010</v>
      </c>
      <c r="D51" s="1">
        <v>40253</v>
      </c>
      <c r="E51">
        <v>61.267000000000003</v>
      </c>
    </row>
    <row r="52" spans="3:5" x14ac:dyDescent="0.35">
      <c r="C52">
        <f t="shared" si="1"/>
        <v>2010</v>
      </c>
      <c r="D52" s="1">
        <v>40254</v>
      </c>
      <c r="E52">
        <v>62.121899999999997</v>
      </c>
    </row>
    <row r="53" spans="3:5" x14ac:dyDescent="0.35">
      <c r="C53">
        <f t="shared" si="1"/>
        <v>2010</v>
      </c>
      <c r="D53" s="1">
        <v>40255</v>
      </c>
      <c r="E53">
        <v>60.187399999999997</v>
      </c>
    </row>
    <row r="54" spans="3:5" x14ac:dyDescent="0.35">
      <c r="C54">
        <f t="shared" si="1"/>
        <v>2010</v>
      </c>
      <c r="D54" s="1">
        <v>40256</v>
      </c>
      <c r="E54">
        <v>60.930999999999997</v>
      </c>
    </row>
    <row r="55" spans="3:5" x14ac:dyDescent="0.35">
      <c r="C55">
        <f t="shared" si="1"/>
        <v>2010</v>
      </c>
      <c r="D55" s="1">
        <v>40259</v>
      </c>
      <c r="E55">
        <v>60.708300000000001</v>
      </c>
    </row>
    <row r="56" spans="3:5" x14ac:dyDescent="0.35">
      <c r="C56">
        <f t="shared" si="1"/>
        <v>2010</v>
      </c>
      <c r="D56" s="1">
        <v>40260</v>
      </c>
      <c r="E56">
        <v>59.880200000000002</v>
      </c>
    </row>
    <row r="57" spans="3:5" x14ac:dyDescent="0.35">
      <c r="C57">
        <f t="shared" si="1"/>
        <v>2010</v>
      </c>
      <c r="D57" s="1">
        <v>40261</v>
      </c>
      <c r="E57">
        <v>60.182899999999997</v>
      </c>
    </row>
    <row r="58" spans="3:5" x14ac:dyDescent="0.35">
      <c r="C58">
        <f t="shared" si="1"/>
        <v>2010</v>
      </c>
      <c r="D58" s="1">
        <v>40262</v>
      </c>
      <c r="E58">
        <v>61.9953</v>
      </c>
    </row>
    <row r="59" spans="3:5" x14ac:dyDescent="0.35">
      <c r="C59">
        <f t="shared" si="1"/>
        <v>2010</v>
      </c>
      <c r="D59" s="1">
        <v>40263</v>
      </c>
      <c r="E59">
        <v>59.924100000000003</v>
      </c>
    </row>
    <row r="60" spans="3:5" x14ac:dyDescent="0.35">
      <c r="C60">
        <f t="shared" si="1"/>
        <v>2010</v>
      </c>
      <c r="D60" s="1">
        <v>40266</v>
      </c>
      <c r="E60">
        <v>60.480800000000002</v>
      </c>
    </row>
    <row r="61" spans="3:5" x14ac:dyDescent="0.35">
      <c r="C61">
        <f t="shared" si="1"/>
        <v>2010</v>
      </c>
      <c r="D61" s="1">
        <v>40267</v>
      </c>
      <c r="E61">
        <v>60.758600000000001</v>
      </c>
    </row>
    <row r="62" spans="3:5" x14ac:dyDescent="0.35">
      <c r="C62">
        <f t="shared" si="1"/>
        <v>2010</v>
      </c>
      <c r="D62" s="1">
        <v>40268</v>
      </c>
      <c r="E62">
        <v>60.775500000000001</v>
      </c>
    </row>
    <row r="63" spans="3:5" x14ac:dyDescent="0.35">
      <c r="C63">
        <f t="shared" si="1"/>
        <v>2010</v>
      </c>
      <c r="D63" s="1">
        <v>40269</v>
      </c>
      <c r="E63">
        <v>60.181699999999999</v>
      </c>
    </row>
    <row r="64" spans="3:5" x14ac:dyDescent="0.35">
      <c r="C64">
        <f t="shared" si="1"/>
        <v>2010</v>
      </c>
      <c r="D64" s="1">
        <v>40273</v>
      </c>
      <c r="E64">
        <v>61.834400000000002</v>
      </c>
    </row>
    <row r="65" spans="3:5" x14ac:dyDescent="0.35">
      <c r="C65">
        <f t="shared" si="1"/>
        <v>2010</v>
      </c>
      <c r="D65" s="1">
        <v>40274</v>
      </c>
      <c r="E65">
        <v>60.665799999999997</v>
      </c>
    </row>
    <row r="66" spans="3:5" x14ac:dyDescent="0.35">
      <c r="C66">
        <f t="shared" si="1"/>
        <v>2010</v>
      </c>
      <c r="D66" s="1">
        <v>40275</v>
      </c>
      <c r="E66">
        <v>58.837200000000003</v>
      </c>
    </row>
    <row r="67" spans="3:5" x14ac:dyDescent="0.35">
      <c r="C67">
        <f t="shared" ref="C67:C130" si="2">YEAR(D67)</f>
        <v>2010</v>
      </c>
      <c r="D67" s="1">
        <v>40276</v>
      </c>
      <c r="E67">
        <v>57.842599999999997</v>
      </c>
    </row>
    <row r="68" spans="3:5" x14ac:dyDescent="0.35">
      <c r="C68">
        <f t="shared" si="2"/>
        <v>2010</v>
      </c>
      <c r="D68" s="1">
        <v>40277</v>
      </c>
      <c r="E68">
        <v>57.6616</v>
      </c>
    </row>
    <row r="69" spans="3:5" x14ac:dyDescent="0.35">
      <c r="C69">
        <f t="shared" si="2"/>
        <v>2010</v>
      </c>
      <c r="D69" s="1">
        <v>40280</v>
      </c>
      <c r="E69">
        <v>56.5411</v>
      </c>
    </row>
    <row r="70" spans="3:5" x14ac:dyDescent="0.35">
      <c r="C70">
        <f t="shared" si="2"/>
        <v>2010</v>
      </c>
      <c r="D70" s="1">
        <v>40281</v>
      </c>
      <c r="E70">
        <v>57.133899999999997</v>
      </c>
    </row>
    <row r="71" spans="3:5" x14ac:dyDescent="0.35">
      <c r="C71">
        <f t="shared" si="2"/>
        <v>2010</v>
      </c>
      <c r="D71" s="1">
        <v>40282</v>
      </c>
      <c r="E71">
        <v>57.248399999999997</v>
      </c>
    </row>
    <row r="72" spans="3:5" x14ac:dyDescent="0.35">
      <c r="C72">
        <f t="shared" si="2"/>
        <v>2010</v>
      </c>
      <c r="D72" s="1">
        <v>40283</v>
      </c>
      <c r="E72">
        <v>58.3431</v>
      </c>
    </row>
    <row r="73" spans="3:5" x14ac:dyDescent="0.35">
      <c r="C73">
        <f t="shared" si="2"/>
        <v>2010</v>
      </c>
      <c r="D73" s="1">
        <v>40284</v>
      </c>
      <c r="E73">
        <v>59.760599999999997</v>
      </c>
    </row>
    <row r="74" spans="3:5" x14ac:dyDescent="0.35">
      <c r="C74">
        <f t="shared" si="2"/>
        <v>2010</v>
      </c>
      <c r="D74" s="1">
        <v>40287</v>
      </c>
      <c r="E74">
        <v>58.524500000000003</v>
      </c>
    </row>
    <row r="75" spans="3:5" x14ac:dyDescent="0.35">
      <c r="C75">
        <f t="shared" si="2"/>
        <v>2010</v>
      </c>
      <c r="D75" s="1">
        <v>40288</v>
      </c>
      <c r="E75">
        <v>57.702599999999997</v>
      </c>
    </row>
    <row r="76" spans="3:5" x14ac:dyDescent="0.35">
      <c r="C76">
        <f t="shared" si="2"/>
        <v>2010</v>
      </c>
      <c r="D76" s="1">
        <v>40289</v>
      </c>
      <c r="E76">
        <v>57.289700000000003</v>
      </c>
    </row>
    <row r="77" spans="3:5" x14ac:dyDescent="0.35">
      <c r="C77">
        <f t="shared" si="2"/>
        <v>2010</v>
      </c>
      <c r="D77" s="1">
        <v>40290</v>
      </c>
      <c r="E77">
        <v>57.376300000000001</v>
      </c>
    </row>
    <row r="78" spans="3:5" x14ac:dyDescent="0.35">
      <c r="C78">
        <f t="shared" si="2"/>
        <v>2010</v>
      </c>
      <c r="D78" s="1">
        <v>40291</v>
      </c>
      <c r="E78">
        <v>56.826799999999999</v>
      </c>
    </row>
    <row r="79" spans="3:5" x14ac:dyDescent="0.35">
      <c r="C79">
        <f t="shared" si="2"/>
        <v>2010</v>
      </c>
      <c r="D79" s="1">
        <v>40294</v>
      </c>
      <c r="E79">
        <v>57.599600000000002</v>
      </c>
    </row>
    <row r="80" spans="3:5" x14ac:dyDescent="0.35">
      <c r="C80">
        <f t="shared" si="2"/>
        <v>2010</v>
      </c>
      <c r="D80" s="1">
        <v>40295</v>
      </c>
      <c r="E80">
        <v>55.576599999999999</v>
      </c>
    </row>
    <row r="81" spans="3:5" x14ac:dyDescent="0.35">
      <c r="C81">
        <f t="shared" si="2"/>
        <v>2010</v>
      </c>
      <c r="D81" s="1">
        <v>40296</v>
      </c>
      <c r="E81">
        <v>55.607900000000001</v>
      </c>
    </row>
    <row r="82" spans="3:5" x14ac:dyDescent="0.35">
      <c r="C82">
        <f t="shared" si="2"/>
        <v>2010</v>
      </c>
      <c r="D82" s="1">
        <v>40297</v>
      </c>
      <c r="E82">
        <v>56.063699999999997</v>
      </c>
    </row>
    <row r="83" spans="3:5" x14ac:dyDescent="0.35">
      <c r="C83">
        <f t="shared" si="2"/>
        <v>2010</v>
      </c>
      <c r="D83" s="1">
        <v>40298</v>
      </c>
      <c r="E83">
        <v>55.254199999999997</v>
      </c>
    </row>
    <row r="84" spans="3:5" x14ac:dyDescent="0.35">
      <c r="C84">
        <f t="shared" si="2"/>
        <v>2010</v>
      </c>
      <c r="D84" s="1">
        <v>40301</v>
      </c>
      <c r="E84">
        <v>54.618400000000001</v>
      </c>
    </row>
    <row r="85" spans="3:5" x14ac:dyDescent="0.35">
      <c r="C85">
        <f t="shared" si="2"/>
        <v>2010</v>
      </c>
      <c r="D85" s="1">
        <v>40302</v>
      </c>
      <c r="E85">
        <v>53.728000000000002</v>
      </c>
    </row>
    <row r="86" spans="3:5" x14ac:dyDescent="0.35">
      <c r="C86">
        <f t="shared" si="2"/>
        <v>2010</v>
      </c>
      <c r="D86" s="1">
        <v>40303</v>
      </c>
      <c r="E86">
        <v>51.8444</v>
      </c>
    </row>
    <row r="87" spans="3:5" x14ac:dyDescent="0.35">
      <c r="C87">
        <f t="shared" si="2"/>
        <v>2010</v>
      </c>
      <c r="D87" s="1">
        <v>40304</v>
      </c>
      <c r="E87">
        <v>47.890099999999997</v>
      </c>
    </row>
    <row r="88" spans="3:5" x14ac:dyDescent="0.35">
      <c r="C88">
        <f t="shared" si="2"/>
        <v>2010</v>
      </c>
      <c r="D88" s="1">
        <v>40305</v>
      </c>
      <c r="E88">
        <v>45.298499999999997</v>
      </c>
    </row>
    <row r="89" spans="3:5" x14ac:dyDescent="0.35">
      <c r="C89">
        <f t="shared" si="2"/>
        <v>2010</v>
      </c>
      <c r="D89" s="1">
        <v>40308</v>
      </c>
      <c r="E89">
        <v>49.985500000000002</v>
      </c>
    </row>
    <row r="90" spans="3:5" x14ac:dyDescent="0.35">
      <c r="C90">
        <f t="shared" si="2"/>
        <v>2010</v>
      </c>
      <c r="D90" s="1">
        <v>40309</v>
      </c>
      <c r="E90">
        <v>49.5916</v>
      </c>
    </row>
    <row r="91" spans="3:5" x14ac:dyDescent="0.35">
      <c r="C91">
        <f t="shared" si="2"/>
        <v>2010</v>
      </c>
      <c r="D91" s="1">
        <v>40310</v>
      </c>
      <c r="E91">
        <v>50.646500000000003</v>
      </c>
    </row>
    <row r="92" spans="3:5" x14ac:dyDescent="0.35">
      <c r="C92">
        <f t="shared" si="2"/>
        <v>2010</v>
      </c>
      <c r="D92" s="1">
        <v>40311</v>
      </c>
      <c r="E92">
        <v>50.4193</v>
      </c>
    </row>
    <row r="93" spans="3:5" x14ac:dyDescent="0.35">
      <c r="C93">
        <f t="shared" si="2"/>
        <v>2010</v>
      </c>
      <c r="D93" s="1">
        <v>40312</v>
      </c>
      <c r="E93">
        <v>48.331299999999999</v>
      </c>
    </row>
    <row r="94" spans="3:5" x14ac:dyDescent="0.35">
      <c r="C94">
        <f t="shared" si="2"/>
        <v>2010</v>
      </c>
      <c r="D94" s="1">
        <v>40315</v>
      </c>
      <c r="E94">
        <v>46.677500000000002</v>
      </c>
    </row>
    <row r="95" spans="3:5" x14ac:dyDescent="0.35">
      <c r="C95">
        <f t="shared" si="2"/>
        <v>2010</v>
      </c>
      <c r="D95" s="1">
        <v>40316</v>
      </c>
      <c r="E95">
        <v>45.562899999999999</v>
      </c>
    </row>
    <row r="96" spans="3:5" x14ac:dyDescent="0.35">
      <c r="C96">
        <f t="shared" si="2"/>
        <v>2010</v>
      </c>
      <c r="D96" s="1">
        <v>40317</v>
      </c>
      <c r="E96">
        <v>46.216000000000001</v>
      </c>
    </row>
    <row r="97" spans="3:5" x14ac:dyDescent="0.35">
      <c r="C97">
        <f t="shared" si="2"/>
        <v>2010</v>
      </c>
      <c r="D97" s="1">
        <v>40318</v>
      </c>
      <c r="E97">
        <v>43.272500000000001</v>
      </c>
    </row>
    <row r="98" spans="3:5" x14ac:dyDescent="0.35">
      <c r="C98">
        <f t="shared" si="2"/>
        <v>2010</v>
      </c>
      <c r="D98" s="1">
        <v>40319</v>
      </c>
      <c r="E98">
        <v>43.224800000000002</v>
      </c>
    </row>
    <row r="99" spans="3:5" x14ac:dyDescent="0.35">
      <c r="C99">
        <f t="shared" si="2"/>
        <v>2010</v>
      </c>
      <c r="D99" s="1">
        <v>40322</v>
      </c>
      <c r="E99">
        <v>43.626300000000001</v>
      </c>
    </row>
    <row r="100" spans="3:5" x14ac:dyDescent="0.35">
      <c r="C100">
        <f t="shared" si="2"/>
        <v>2010</v>
      </c>
      <c r="D100" s="1">
        <v>40323</v>
      </c>
      <c r="E100">
        <v>42.1327</v>
      </c>
    </row>
    <row r="101" spans="3:5" x14ac:dyDescent="0.35">
      <c r="C101">
        <f t="shared" si="2"/>
        <v>2010</v>
      </c>
      <c r="D101" s="1">
        <v>40324</v>
      </c>
      <c r="E101">
        <v>43.0563</v>
      </c>
    </row>
    <row r="102" spans="3:5" x14ac:dyDescent="0.35">
      <c r="C102">
        <f t="shared" si="2"/>
        <v>2010</v>
      </c>
      <c r="D102" s="1">
        <v>40325</v>
      </c>
      <c r="E102">
        <v>44.934399999999997</v>
      </c>
    </row>
    <row r="103" spans="3:5" x14ac:dyDescent="0.35">
      <c r="C103">
        <f t="shared" si="2"/>
        <v>2010</v>
      </c>
      <c r="D103" s="1">
        <v>40326</v>
      </c>
      <c r="E103">
        <v>45.730200000000004</v>
      </c>
    </row>
    <row r="104" spans="3:5" x14ac:dyDescent="0.35">
      <c r="C104">
        <f t="shared" si="2"/>
        <v>2010</v>
      </c>
      <c r="D104" s="1">
        <v>40330</v>
      </c>
      <c r="E104">
        <v>44.380400000000002</v>
      </c>
    </row>
    <row r="105" spans="3:5" x14ac:dyDescent="0.35">
      <c r="C105">
        <f t="shared" si="2"/>
        <v>2010</v>
      </c>
      <c r="D105" s="1">
        <v>40331</v>
      </c>
      <c r="E105">
        <v>45.072800000000001</v>
      </c>
    </row>
    <row r="106" spans="3:5" x14ac:dyDescent="0.35">
      <c r="C106">
        <f t="shared" si="2"/>
        <v>2010</v>
      </c>
      <c r="D106" s="1">
        <v>40332</v>
      </c>
      <c r="E106">
        <v>46.5608</v>
      </c>
    </row>
    <row r="107" spans="3:5" x14ac:dyDescent="0.35">
      <c r="C107">
        <f t="shared" si="2"/>
        <v>2010</v>
      </c>
      <c r="D107" s="1">
        <v>40333</v>
      </c>
      <c r="E107">
        <v>43.390500000000003</v>
      </c>
    </row>
    <row r="108" spans="3:5" x14ac:dyDescent="0.35">
      <c r="C108">
        <f t="shared" si="2"/>
        <v>2010</v>
      </c>
      <c r="D108" s="1">
        <v>40336</v>
      </c>
      <c r="E108">
        <v>42.433700000000002</v>
      </c>
    </row>
    <row r="109" spans="3:5" x14ac:dyDescent="0.35">
      <c r="C109">
        <f t="shared" si="2"/>
        <v>2010</v>
      </c>
      <c r="D109" s="1">
        <v>40337</v>
      </c>
      <c r="E109">
        <v>43.502200000000002</v>
      </c>
    </row>
    <row r="110" spans="3:5" x14ac:dyDescent="0.35">
      <c r="C110">
        <f t="shared" si="2"/>
        <v>2010</v>
      </c>
      <c r="D110" s="1">
        <v>40338</v>
      </c>
      <c r="E110">
        <v>44.697400000000002</v>
      </c>
    </row>
    <row r="111" spans="3:5" x14ac:dyDescent="0.35">
      <c r="C111">
        <f t="shared" si="2"/>
        <v>2010</v>
      </c>
      <c r="D111" s="1">
        <v>40339</v>
      </c>
      <c r="E111">
        <v>45.643700000000003</v>
      </c>
    </row>
    <row r="112" spans="3:5" x14ac:dyDescent="0.35">
      <c r="C112">
        <f t="shared" si="2"/>
        <v>2010</v>
      </c>
      <c r="D112" s="1">
        <v>40340</v>
      </c>
      <c r="E112">
        <v>45.411900000000003</v>
      </c>
    </row>
    <row r="113" spans="3:5" x14ac:dyDescent="0.35">
      <c r="C113">
        <f t="shared" si="2"/>
        <v>2010</v>
      </c>
      <c r="D113" s="1">
        <v>40343</v>
      </c>
      <c r="E113">
        <v>47.506500000000003</v>
      </c>
    </row>
    <row r="114" spans="3:5" x14ac:dyDescent="0.35">
      <c r="C114">
        <f t="shared" si="2"/>
        <v>2010</v>
      </c>
      <c r="D114" s="1">
        <v>40344</v>
      </c>
      <c r="E114">
        <v>49.295299999999997</v>
      </c>
    </row>
    <row r="115" spans="3:5" x14ac:dyDescent="0.35">
      <c r="C115">
        <f t="shared" si="2"/>
        <v>2010</v>
      </c>
      <c r="D115" s="1">
        <v>40345</v>
      </c>
      <c r="E115">
        <v>49.136899999999997</v>
      </c>
    </row>
    <row r="116" spans="3:5" x14ac:dyDescent="0.35">
      <c r="C116">
        <f t="shared" si="2"/>
        <v>2010</v>
      </c>
      <c r="D116" s="1">
        <v>40346</v>
      </c>
      <c r="E116">
        <v>48.855200000000004</v>
      </c>
    </row>
    <row r="117" spans="3:5" x14ac:dyDescent="0.35">
      <c r="C117">
        <f t="shared" si="2"/>
        <v>2010</v>
      </c>
      <c r="D117" s="1">
        <v>40347</v>
      </c>
      <c r="E117">
        <v>48.4908</v>
      </c>
    </row>
    <row r="118" spans="3:5" x14ac:dyDescent="0.35">
      <c r="C118">
        <f t="shared" si="2"/>
        <v>2010</v>
      </c>
      <c r="D118" s="1">
        <v>40350</v>
      </c>
      <c r="E118">
        <v>48.818600000000004</v>
      </c>
    </row>
    <row r="119" spans="3:5" x14ac:dyDescent="0.35">
      <c r="C119">
        <f t="shared" si="2"/>
        <v>2010</v>
      </c>
      <c r="D119" s="1">
        <v>40351</v>
      </c>
      <c r="E119">
        <v>47.3812</v>
      </c>
    </row>
    <row r="120" spans="3:5" x14ac:dyDescent="0.35">
      <c r="C120">
        <f t="shared" si="2"/>
        <v>2010</v>
      </c>
      <c r="D120" s="1">
        <v>40352</v>
      </c>
      <c r="E120">
        <v>46.309899999999999</v>
      </c>
    </row>
    <row r="121" spans="3:5" x14ac:dyDescent="0.35">
      <c r="C121">
        <f t="shared" si="2"/>
        <v>2010</v>
      </c>
      <c r="D121" s="1">
        <v>40353</v>
      </c>
      <c r="E121">
        <v>45.740299999999998</v>
      </c>
    </row>
    <row r="122" spans="3:5" x14ac:dyDescent="0.35">
      <c r="C122">
        <f t="shared" si="2"/>
        <v>2010</v>
      </c>
      <c r="D122" s="1">
        <v>40354</v>
      </c>
      <c r="E122">
        <v>44.983499999999999</v>
      </c>
    </row>
    <row r="123" spans="3:5" x14ac:dyDescent="0.35">
      <c r="C123">
        <f t="shared" si="2"/>
        <v>2010</v>
      </c>
      <c r="D123" s="1">
        <v>40357</v>
      </c>
      <c r="E123">
        <v>45.819499999999998</v>
      </c>
    </row>
    <row r="124" spans="3:5" x14ac:dyDescent="0.35">
      <c r="C124">
        <f t="shared" si="2"/>
        <v>2010</v>
      </c>
      <c r="D124" s="1">
        <v>40358</v>
      </c>
      <c r="E124">
        <v>44.740099999999998</v>
      </c>
    </row>
    <row r="125" spans="3:5" x14ac:dyDescent="0.35">
      <c r="C125">
        <f t="shared" si="2"/>
        <v>2010</v>
      </c>
      <c r="D125" s="1">
        <v>40359</v>
      </c>
      <c r="E125">
        <v>44.862699999999997</v>
      </c>
    </row>
    <row r="126" spans="3:5" x14ac:dyDescent="0.35">
      <c r="C126">
        <f t="shared" si="2"/>
        <v>2010</v>
      </c>
      <c r="D126" s="1">
        <v>40360</v>
      </c>
      <c r="E126">
        <v>45.952599999999997</v>
      </c>
    </row>
    <row r="127" spans="3:5" x14ac:dyDescent="0.35">
      <c r="C127">
        <f t="shared" si="2"/>
        <v>2010</v>
      </c>
      <c r="D127" s="1">
        <v>40361</v>
      </c>
      <c r="E127">
        <v>48.771900000000002</v>
      </c>
    </row>
    <row r="128" spans="3:5" x14ac:dyDescent="0.35">
      <c r="C128">
        <f t="shared" si="2"/>
        <v>2010</v>
      </c>
      <c r="D128" s="1">
        <v>40365</v>
      </c>
      <c r="E128">
        <v>50.530900000000003</v>
      </c>
    </row>
    <row r="129" spans="3:5" x14ac:dyDescent="0.35">
      <c r="C129">
        <f t="shared" si="2"/>
        <v>2010</v>
      </c>
      <c r="D129" s="1">
        <v>40366</v>
      </c>
      <c r="E129">
        <v>49.9636</v>
      </c>
    </row>
    <row r="130" spans="3:5" x14ac:dyDescent="0.35">
      <c r="C130">
        <f t="shared" si="2"/>
        <v>2010</v>
      </c>
      <c r="D130" s="1">
        <v>40367</v>
      </c>
      <c r="E130">
        <v>50.944600000000001</v>
      </c>
    </row>
    <row r="131" spans="3:5" x14ac:dyDescent="0.35">
      <c r="C131">
        <f t="shared" ref="C131:C194" si="3">YEAR(D131)</f>
        <v>2010</v>
      </c>
      <c r="D131" s="1">
        <v>40368</v>
      </c>
      <c r="E131">
        <v>49.970500000000001</v>
      </c>
    </row>
    <row r="132" spans="3:5" x14ac:dyDescent="0.35">
      <c r="C132">
        <f t="shared" si="3"/>
        <v>2010</v>
      </c>
      <c r="D132" s="1">
        <v>40371</v>
      </c>
      <c r="E132">
        <v>50.365099999999998</v>
      </c>
    </row>
    <row r="133" spans="3:5" x14ac:dyDescent="0.35">
      <c r="C133">
        <f t="shared" si="3"/>
        <v>2010</v>
      </c>
      <c r="D133" s="1">
        <v>40372</v>
      </c>
      <c r="E133">
        <v>50.587400000000002</v>
      </c>
    </row>
    <row r="134" spans="3:5" x14ac:dyDescent="0.35">
      <c r="C134">
        <f t="shared" si="3"/>
        <v>2010</v>
      </c>
      <c r="D134" s="1">
        <v>40373</v>
      </c>
      <c r="E134">
        <v>51.254899999999999</v>
      </c>
    </row>
    <row r="135" spans="3:5" x14ac:dyDescent="0.35">
      <c r="C135">
        <f t="shared" si="3"/>
        <v>2010</v>
      </c>
      <c r="D135" s="1">
        <v>40374</v>
      </c>
      <c r="E135">
        <v>52.151600000000002</v>
      </c>
    </row>
    <row r="136" spans="3:5" x14ac:dyDescent="0.35">
      <c r="C136">
        <f t="shared" si="3"/>
        <v>2010</v>
      </c>
      <c r="D136" s="1">
        <v>40375</v>
      </c>
      <c r="E136">
        <v>53.254800000000003</v>
      </c>
    </row>
    <row r="137" spans="3:5" x14ac:dyDescent="0.35">
      <c r="C137">
        <f t="shared" si="3"/>
        <v>2010</v>
      </c>
      <c r="D137" s="1">
        <v>40378</v>
      </c>
      <c r="E137">
        <v>54.363599999999998</v>
      </c>
    </row>
    <row r="138" spans="3:5" x14ac:dyDescent="0.35">
      <c r="C138">
        <f t="shared" si="3"/>
        <v>2010</v>
      </c>
      <c r="D138" s="1">
        <v>40379</v>
      </c>
      <c r="E138">
        <v>55.231900000000003</v>
      </c>
    </row>
    <row r="139" spans="3:5" x14ac:dyDescent="0.35">
      <c r="C139">
        <f t="shared" si="3"/>
        <v>2010</v>
      </c>
      <c r="D139" s="1">
        <v>40380</v>
      </c>
      <c r="E139">
        <v>55.580599999999997</v>
      </c>
    </row>
    <row r="140" spans="3:5" x14ac:dyDescent="0.35">
      <c r="C140">
        <f t="shared" si="3"/>
        <v>2010</v>
      </c>
      <c r="D140" s="1">
        <v>40381</v>
      </c>
      <c r="E140">
        <v>55.431699999999999</v>
      </c>
    </row>
    <row r="141" spans="3:5" x14ac:dyDescent="0.35">
      <c r="C141">
        <f t="shared" si="3"/>
        <v>2010</v>
      </c>
      <c r="D141" s="1">
        <v>40382</v>
      </c>
      <c r="E141">
        <v>55.435899999999997</v>
      </c>
    </row>
    <row r="142" spans="3:5" x14ac:dyDescent="0.35">
      <c r="C142">
        <f t="shared" si="3"/>
        <v>2010</v>
      </c>
      <c r="D142" s="1">
        <v>40385</v>
      </c>
      <c r="E142">
        <v>55.935899999999997</v>
      </c>
    </row>
    <row r="143" spans="3:5" x14ac:dyDescent="0.35">
      <c r="C143">
        <f t="shared" si="3"/>
        <v>2010</v>
      </c>
      <c r="D143" s="1">
        <v>40386</v>
      </c>
      <c r="E143">
        <v>58.569899999999997</v>
      </c>
    </row>
    <row r="144" spans="3:5" x14ac:dyDescent="0.35">
      <c r="C144">
        <f t="shared" si="3"/>
        <v>2010</v>
      </c>
      <c r="D144" s="1">
        <v>40387</v>
      </c>
      <c r="E144">
        <v>57.853299999999997</v>
      </c>
    </row>
    <row r="145" spans="3:5" x14ac:dyDescent="0.35">
      <c r="C145">
        <f t="shared" si="3"/>
        <v>2010</v>
      </c>
      <c r="D145" s="1">
        <v>40388</v>
      </c>
      <c r="E145">
        <v>56.976599999999998</v>
      </c>
    </row>
    <row r="146" spans="3:5" x14ac:dyDescent="0.35">
      <c r="C146">
        <f t="shared" si="3"/>
        <v>2010</v>
      </c>
      <c r="D146" s="1">
        <v>40389</v>
      </c>
      <c r="E146">
        <v>55.262500000000003</v>
      </c>
    </row>
    <row r="147" spans="3:5" x14ac:dyDescent="0.35">
      <c r="C147">
        <f t="shared" si="3"/>
        <v>2010</v>
      </c>
      <c r="D147" s="1">
        <v>40392</v>
      </c>
      <c r="E147">
        <v>55.637900000000002</v>
      </c>
    </row>
    <row r="148" spans="3:5" x14ac:dyDescent="0.35">
      <c r="C148">
        <f t="shared" si="3"/>
        <v>2010</v>
      </c>
      <c r="D148" s="1">
        <v>40393</v>
      </c>
      <c r="E148">
        <v>56.359400000000001</v>
      </c>
    </row>
    <row r="149" spans="3:5" x14ac:dyDescent="0.35">
      <c r="C149">
        <f t="shared" si="3"/>
        <v>2010</v>
      </c>
      <c r="D149" s="1">
        <v>40394</v>
      </c>
      <c r="E149">
        <v>55.704900000000002</v>
      </c>
    </row>
    <row r="150" spans="3:5" x14ac:dyDescent="0.35">
      <c r="C150">
        <f t="shared" si="3"/>
        <v>2010</v>
      </c>
      <c r="D150" s="1">
        <v>40395</v>
      </c>
      <c r="E150">
        <v>56.329099999999997</v>
      </c>
    </row>
    <row r="151" spans="3:5" x14ac:dyDescent="0.35">
      <c r="C151">
        <f t="shared" si="3"/>
        <v>2010</v>
      </c>
      <c r="D151" s="1">
        <v>40396</v>
      </c>
      <c r="E151">
        <v>55.688299999999998</v>
      </c>
    </row>
    <row r="152" spans="3:5" x14ac:dyDescent="0.35">
      <c r="C152">
        <f t="shared" si="3"/>
        <v>2010</v>
      </c>
      <c r="D152" s="1">
        <v>40399</v>
      </c>
      <c r="E152">
        <v>56.829300000000003</v>
      </c>
    </row>
    <row r="153" spans="3:5" x14ac:dyDescent="0.35">
      <c r="C153">
        <f t="shared" si="3"/>
        <v>2010</v>
      </c>
      <c r="D153" s="1">
        <v>40400</v>
      </c>
      <c r="E153">
        <v>56.6372</v>
      </c>
    </row>
    <row r="154" spans="3:5" x14ac:dyDescent="0.35">
      <c r="C154">
        <f t="shared" si="3"/>
        <v>2010</v>
      </c>
      <c r="D154" s="1">
        <v>40401</v>
      </c>
      <c r="E154">
        <v>55.838299999999997</v>
      </c>
    </row>
    <row r="155" spans="3:5" x14ac:dyDescent="0.35">
      <c r="C155">
        <f t="shared" si="3"/>
        <v>2010</v>
      </c>
      <c r="D155" s="1">
        <v>40402</v>
      </c>
      <c r="E155">
        <v>55.049100000000003</v>
      </c>
    </row>
    <row r="156" spans="3:5" x14ac:dyDescent="0.35">
      <c r="C156">
        <f t="shared" si="3"/>
        <v>2010</v>
      </c>
      <c r="D156" s="1">
        <v>40403</v>
      </c>
      <c r="E156">
        <v>55.503</v>
      </c>
    </row>
    <row r="157" spans="3:5" x14ac:dyDescent="0.35">
      <c r="C157">
        <f t="shared" si="3"/>
        <v>2010</v>
      </c>
      <c r="D157" s="1">
        <v>40406</v>
      </c>
      <c r="E157">
        <v>55.648400000000002</v>
      </c>
    </row>
    <row r="158" spans="3:5" x14ac:dyDescent="0.35">
      <c r="C158">
        <f t="shared" si="3"/>
        <v>2010</v>
      </c>
      <c r="D158" s="1">
        <v>40407</v>
      </c>
      <c r="E158">
        <v>56.0473</v>
      </c>
    </row>
    <row r="159" spans="3:5" x14ac:dyDescent="0.35">
      <c r="C159">
        <f t="shared" si="3"/>
        <v>2010</v>
      </c>
      <c r="D159" s="1">
        <v>40408</v>
      </c>
      <c r="E159">
        <v>57.847799999999999</v>
      </c>
    </row>
    <row r="160" spans="3:5" x14ac:dyDescent="0.35">
      <c r="C160">
        <f t="shared" si="3"/>
        <v>2010</v>
      </c>
      <c r="D160" s="1">
        <v>40409</v>
      </c>
      <c r="E160">
        <v>58.035499999999999</v>
      </c>
    </row>
    <row r="161" spans="3:5" x14ac:dyDescent="0.35">
      <c r="C161">
        <f t="shared" si="3"/>
        <v>2010</v>
      </c>
      <c r="D161" s="1">
        <v>40410</v>
      </c>
      <c r="E161">
        <v>58.212000000000003</v>
      </c>
    </row>
    <row r="162" spans="3:5" x14ac:dyDescent="0.35">
      <c r="C162">
        <f t="shared" si="3"/>
        <v>2010</v>
      </c>
      <c r="D162" s="1">
        <v>40413</v>
      </c>
      <c r="E162">
        <v>55.815300000000001</v>
      </c>
    </row>
    <row r="163" spans="3:5" x14ac:dyDescent="0.35">
      <c r="C163">
        <f t="shared" si="3"/>
        <v>2010</v>
      </c>
      <c r="D163" s="1">
        <v>40414</v>
      </c>
      <c r="E163">
        <v>56.524500000000003</v>
      </c>
    </row>
    <row r="164" spans="3:5" x14ac:dyDescent="0.35">
      <c r="C164">
        <f t="shared" si="3"/>
        <v>2010</v>
      </c>
      <c r="D164" s="1">
        <v>40415</v>
      </c>
      <c r="E164">
        <v>55.785699999999999</v>
      </c>
    </row>
    <row r="165" spans="3:5" x14ac:dyDescent="0.35">
      <c r="C165">
        <f t="shared" si="3"/>
        <v>2010</v>
      </c>
      <c r="D165" s="1">
        <v>40416</v>
      </c>
      <c r="E165">
        <v>56.945500000000003</v>
      </c>
    </row>
    <row r="166" spans="3:5" x14ac:dyDescent="0.35">
      <c r="C166">
        <f t="shared" si="3"/>
        <v>2010</v>
      </c>
      <c r="D166" s="1">
        <v>40417</v>
      </c>
      <c r="E166">
        <v>56.835299999999997</v>
      </c>
    </row>
    <row r="167" spans="3:5" x14ac:dyDescent="0.35">
      <c r="C167">
        <f t="shared" si="3"/>
        <v>2010</v>
      </c>
      <c r="D167" s="1">
        <v>40420</v>
      </c>
      <c r="E167">
        <v>57.352400000000003</v>
      </c>
    </row>
    <row r="168" spans="3:5" x14ac:dyDescent="0.35">
      <c r="C168">
        <f t="shared" si="3"/>
        <v>2010</v>
      </c>
      <c r="D168" s="1">
        <v>40421</v>
      </c>
      <c r="E168">
        <v>56.897799999999997</v>
      </c>
    </row>
    <row r="169" spans="3:5" x14ac:dyDescent="0.35">
      <c r="C169">
        <f t="shared" si="3"/>
        <v>2010</v>
      </c>
      <c r="D169" s="1">
        <v>40422</v>
      </c>
      <c r="E169">
        <v>58.119100000000003</v>
      </c>
    </row>
    <row r="170" spans="3:5" x14ac:dyDescent="0.35">
      <c r="C170">
        <f t="shared" si="3"/>
        <v>2010</v>
      </c>
      <c r="D170" s="1">
        <v>40423</v>
      </c>
      <c r="E170">
        <v>58.052599999999998</v>
      </c>
    </row>
    <row r="171" spans="3:5" x14ac:dyDescent="0.35">
      <c r="C171">
        <f t="shared" si="3"/>
        <v>2010</v>
      </c>
      <c r="D171" s="1">
        <v>40424</v>
      </c>
      <c r="E171">
        <v>58.344499999999996</v>
      </c>
    </row>
    <row r="172" spans="3:5" x14ac:dyDescent="0.35">
      <c r="C172">
        <f t="shared" si="3"/>
        <v>2010</v>
      </c>
      <c r="D172" s="1">
        <v>40428</v>
      </c>
      <c r="E172">
        <v>58.058100000000003</v>
      </c>
    </row>
    <row r="173" spans="3:5" x14ac:dyDescent="0.35">
      <c r="C173">
        <f t="shared" si="3"/>
        <v>2010</v>
      </c>
      <c r="D173" s="1">
        <v>40429</v>
      </c>
      <c r="E173">
        <v>57.6145</v>
      </c>
    </row>
    <row r="174" spans="3:5" x14ac:dyDescent="0.35">
      <c r="C174">
        <f t="shared" si="3"/>
        <v>2010</v>
      </c>
      <c r="D174" s="1">
        <v>40430</v>
      </c>
      <c r="E174">
        <v>57.927399999999999</v>
      </c>
    </row>
    <row r="175" spans="3:5" x14ac:dyDescent="0.35">
      <c r="C175">
        <f t="shared" si="3"/>
        <v>2010</v>
      </c>
      <c r="D175" s="1">
        <v>40431</v>
      </c>
      <c r="E175">
        <v>58.347999999999999</v>
      </c>
    </row>
    <row r="176" spans="3:5" x14ac:dyDescent="0.35">
      <c r="C176">
        <f t="shared" si="3"/>
        <v>2010</v>
      </c>
      <c r="D176" s="1">
        <v>40434</v>
      </c>
      <c r="E176">
        <v>59.672800000000002</v>
      </c>
    </row>
    <row r="177" spans="3:5" x14ac:dyDescent="0.35">
      <c r="C177">
        <f t="shared" si="3"/>
        <v>2010</v>
      </c>
      <c r="D177" s="1">
        <v>40435</v>
      </c>
      <c r="E177">
        <v>60.354999999999997</v>
      </c>
    </row>
    <row r="178" spans="3:5" x14ac:dyDescent="0.35">
      <c r="C178">
        <f t="shared" si="3"/>
        <v>2010</v>
      </c>
      <c r="D178" s="1">
        <v>40436</v>
      </c>
      <c r="E178">
        <v>62.114100000000001</v>
      </c>
    </row>
    <row r="179" spans="3:5" x14ac:dyDescent="0.35">
      <c r="C179">
        <f t="shared" si="3"/>
        <v>2010</v>
      </c>
      <c r="D179" s="1">
        <v>40437</v>
      </c>
      <c r="E179">
        <v>61.935000000000002</v>
      </c>
    </row>
    <row r="180" spans="3:5" x14ac:dyDescent="0.35">
      <c r="C180">
        <f t="shared" si="3"/>
        <v>2010</v>
      </c>
      <c r="D180" s="1">
        <v>40438</v>
      </c>
      <c r="E180">
        <v>61.5032</v>
      </c>
    </row>
    <row r="181" spans="3:5" x14ac:dyDescent="0.35">
      <c r="C181">
        <f t="shared" si="3"/>
        <v>2010</v>
      </c>
      <c r="D181" s="1">
        <v>40441</v>
      </c>
      <c r="E181">
        <v>62.628300000000003</v>
      </c>
    </row>
    <row r="182" spans="3:5" x14ac:dyDescent="0.35">
      <c r="C182">
        <f t="shared" si="3"/>
        <v>2010</v>
      </c>
      <c r="D182" s="1">
        <v>40442</v>
      </c>
      <c r="E182">
        <v>63.075800000000001</v>
      </c>
    </row>
    <row r="183" spans="3:5" x14ac:dyDescent="0.35">
      <c r="C183">
        <f t="shared" si="3"/>
        <v>2010</v>
      </c>
      <c r="D183" s="1">
        <v>40443</v>
      </c>
      <c r="E183">
        <v>62.318600000000004</v>
      </c>
    </row>
    <row r="184" spans="3:5" x14ac:dyDescent="0.35">
      <c r="C184">
        <f t="shared" si="3"/>
        <v>2010</v>
      </c>
      <c r="D184" s="1">
        <v>40444</v>
      </c>
      <c r="E184">
        <v>61.651299999999999</v>
      </c>
    </row>
    <row r="185" spans="3:5" x14ac:dyDescent="0.35">
      <c r="C185">
        <f t="shared" si="3"/>
        <v>2010</v>
      </c>
      <c r="D185" s="1">
        <v>40445</v>
      </c>
      <c r="E185">
        <v>61.483400000000003</v>
      </c>
    </row>
    <row r="186" spans="3:5" x14ac:dyDescent="0.35">
      <c r="C186">
        <f t="shared" si="3"/>
        <v>2010</v>
      </c>
      <c r="D186" s="1">
        <v>40448</v>
      </c>
      <c r="E186">
        <v>62.464500000000001</v>
      </c>
    </row>
    <row r="187" spans="3:5" x14ac:dyDescent="0.35">
      <c r="C187">
        <f t="shared" si="3"/>
        <v>2010</v>
      </c>
      <c r="D187" s="1">
        <v>40449</v>
      </c>
      <c r="E187">
        <v>65.158299999999997</v>
      </c>
    </row>
    <row r="188" spans="3:5" x14ac:dyDescent="0.35">
      <c r="C188">
        <f t="shared" si="3"/>
        <v>2010</v>
      </c>
      <c r="D188" s="1">
        <v>40450</v>
      </c>
      <c r="E188">
        <v>67.114500000000007</v>
      </c>
    </row>
    <row r="189" spans="3:5" x14ac:dyDescent="0.35">
      <c r="C189">
        <f t="shared" si="3"/>
        <v>2010</v>
      </c>
      <c r="D189" s="1">
        <v>40451</v>
      </c>
      <c r="E189">
        <v>70.100800000000007</v>
      </c>
    </row>
    <row r="190" spans="3:5" x14ac:dyDescent="0.35">
      <c r="C190">
        <f t="shared" si="3"/>
        <v>2010</v>
      </c>
      <c r="D190" s="1">
        <v>40452</v>
      </c>
      <c r="E190">
        <v>68.700699999999998</v>
      </c>
    </row>
    <row r="191" spans="3:5" x14ac:dyDescent="0.35">
      <c r="C191">
        <f t="shared" si="3"/>
        <v>2010</v>
      </c>
      <c r="D191" s="1">
        <v>40455</v>
      </c>
      <c r="E191">
        <v>70.096900000000005</v>
      </c>
    </row>
    <row r="192" spans="3:5" x14ac:dyDescent="0.35">
      <c r="C192">
        <f t="shared" si="3"/>
        <v>2010</v>
      </c>
      <c r="D192" s="1">
        <v>40456</v>
      </c>
      <c r="E192">
        <v>71.736599999999996</v>
      </c>
    </row>
    <row r="193" spans="3:5" x14ac:dyDescent="0.35">
      <c r="C193">
        <f t="shared" si="3"/>
        <v>2010</v>
      </c>
      <c r="D193" s="1">
        <v>40457</v>
      </c>
      <c r="E193">
        <v>71.573599999999999</v>
      </c>
    </row>
    <row r="194" spans="3:5" x14ac:dyDescent="0.35">
      <c r="C194">
        <f t="shared" si="3"/>
        <v>2010</v>
      </c>
      <c r="D194" s="1">
        <v>40458</v>
      </c>
      <c r="E194">
        <v>71.5869</v>
      </c>
    </row>
    <row r="195" spans="3:5" x14ac:dyDescent="0.35">
      <c r="C195">
        <f t="shared" ref="C195:C258" si="4">YEAR(D195)</f>
        <v>2010</v>
      </c>
      <c r="D195" s="1">
        <v>40459</v>
      </c>
      <c r="E195">
        <v>70.584800000000001</v>
      </c>
    </row>
    <row r="196" spans="3:5" x14ac:dyDescent="0.35">
      <c r="C196">
        <f t="shared" si="4"/>
        <v>2010</v>
      </c>
      <c r="D196" s="1">
        <v>40462</v>
      </c>
      <c r="E196">
        <v>72.077699999999993</v>
      </c>
    </row>
    <row r="197" spans="3:5" x14ac:dyDescent="0.35">
      <c r="C197">
        <f t="shared" si="4"/>
        <v>2010</v>
      </c>
      <c r="D197" s="1">
        <v>40463</v>
      </c>
      <c r="E197">
        <v>72.810299999999998</v>
      </c>
    </row>
    <row r="198" spans="3:5" x14ac:dyDescent="0.35">
      <c r="C198">
        <f t="shared" si="4"/>
        <v>2010</v>
      </c>
      <c r="D198" s="1">
        <v>40464</v>
      </c>
      <c r="E198">
        <v>70.0227</v>
      </c>
    </row>
    <row r="199" spans="3:5" x14ac:dyDescent="0.35">
      <c r="C199">
        <f t="shared" si="4"/>
        <v>2010</v>
      </c>
      <c r="D199" s="1">
        <v>40465</v>
      </c>
      <c r="E199">
        <v>67.5886</v>
      </c>
    </row>
    <row r="200" spans="3:5" x14ac:dyDescent="0.35">
      <c r="C200">
        <f t="shared" si="4"/>
        <v>2010</v>
      </c>
      <c r="D200" s="1">
        <v>40466</v>
      </c>
      <c r="E200">
        <v>68.367000000000004</v>
      </c>
    </row>
    <row r="201" spans="3:5" x14ac:dyDescent="0.35">
      <c r="C201">
        <f t="shared" si="4"/>
        <v>2010</v>
      </c>
      <c r="D201" s="1">
        <v>40469</v>
      </c>
      <c r="E201">
        <v>68.1875</v>
      </c>
    </row>
    <row r="202" spans="3:5" x14ac:dyDescent="0.35">
      <c r="C202">
        <f t="shared" si="4"/>
        <v>2010</v>
      </c>
      <c r="D202" s="1">
        <v>40470</v>
      </c>
      <c r="E202">
        <v>69.9221</v>
      </c>
    </row>
    <row r="203" spans="3:5" x14ac:dyDescent="0.35">
      <c r="C203">
        <f t="shared" si="4"/>
        <v>2010</v>
      </c>
      <c r="D203" s="1">
        <v>40471</v>
      </c>
      <c r="E203">
        <v>69.458699999999993</v>
      </c>
    </row>
    <row r="204" spans="3:5" x14ac:dyDescent="0.35">
      <c r="C204">
        <f t="shared" si="4"/>
        <v>2010</v>
      </c>
      <c r="D204" s="1">
        <v>40472</v>
      </c>
      <c r="E204">
        <v>71.221900000000005</v>
      </c>
    </row>
    <row r="205" spans="3:5" x14ac:dyDescent="0.35">
      <c r="C205">
        <f t="shared" si="4"/>
        <v>2010</v>
      </c>
      <c r="D205" s="1">
        <v>40473</v>
      </c>
      <c r="E205">
        <v>72.226900000000001</v>
      </c>
    </row>
    <row r="206" spans="3:5" x14ac:dyDescent="0.35">
      <c r="C206">
        <f t="shared" si="4"/>
        <v>2010</v>
      </c>
      <c r="D206" s="1">
        <v>40476</v>
      </c>
      <c r="E206">
        <v>72.249899999999997</v>
      </c>
    </row>
    <row r="207" spans="3:5" x14ac:dyDescent="0.35">
      <c r="C207">
        <f t="shared" si="4"/>
        <v>2010</v>
      </c>
      <c r="D207" s="1">
        <v>40477</v>
      </c>
      <c r="E207">
        <v>73.162000000000006</v>
      </c>
    </row>
    <row r="208" spans="3:5" x14ac:dyDescent="0.35">
      <c r="C208">
        <f t="shared" si="4"/>
        <v>2010</v>
      </c>
      <c r="D208" s="1">
        <v>40478</v>
      </c>
      <c r="E208">
        <v>71.171300000000002</v>
      </c>
    </row>
    <row r="209" spans="3:5" x14ac:dyDescent="0.35">
      <c r="C209">
        <f t="shared" si="4"/>
        <v>2010</v>
      </c>
      <c r="D209" s="1">
        <v>40479</v>
      </c>
      <c r="E209">
        <v>69.275000000000006</v>
      </c>
    </row>
    <row r="210" spans="3:5" x14ac:dyDescent="0.35">
      <c r="C210">
        <f t="shared" si="4"/>
        <v>2010</v>
      </c>
      <c r="D210" s="1">
        <v>40480</v>
      </c>
      <c r="E210">
        <v>69.137200000000007</v>
      </c>
    </row>
    <row r="211" spans="3:5" x14ac:dyDescent="0.35">
      <c r="C211">
        <f t="shared" si="4"/>
        <v>2010</v>
      </c>
      <c r="D211" s="1">
        <v>40483</v>
      </c>
      <c r="E211">
        <v>68.7911</v>
      </c>
    </row>
    <row r="212" spans="3:5" x14ac:dyDescent="0.35">
      <c r="C212">
        <f t="shared" si="4"/>
        <v>2010</v>
      </c>
      <c r="D212" s="1">
        <v>40484</v>
      </c>
      <c r="E212">
        <v>68.341700000000003</v>
      </c>
    </row>
    <row r="213" spans="3:5" x14ac:dyDescent="0.35">
      <c r="C213">
        <f t="shared" si="4"/>
        <v>2010</v>
      </c>
      <c r="D213" s="1">
        <v>40485</v>
      </c>
      <c r="E213">
        <v>70.798299999999998</v>
      </c>
    </row>
    <row r="214" spans="3:5" x14ac:dyDescent="0.35">
      <c r="C214">
        <f t="shared" si="4"/>
        <v>2010</v>
      </c>
      <c r="D214" s="1">
        <v>40486</v>
      </c>
      <c r="E214">
        <v>71.377399999999994</v>
      </c>
    </row>
    <row r="215" spans="3:5" x14ac:dyDescent="0.35">
      <c r="C215">
        <f t="shared" si="4"/>
        <v>2010</v>
      </c>
      <c r="D215" s="1">
        <v>40487</v>
      </c>
      <c r="E215">
        <v>70.408299999999997</v>
      </c>
    </row>
    <row r="216" spans="3:5" x14ac:dyDescent="0.35">
      <c r="C216">
        <f t="shared" si="4"/>
        <v>2010</v>
      </c>
      <c r="D216" s="1">
        <v>40490</v>
      </c>
      <c r="E216">
        <v>70.211799999999997</v>
      </c>
    </row>
    <row r="217" spans="3:5" x14ac:dyDescent="0.35">
      <c r="C217">
        <f t="shared" si="4"/>
        <v>2010</v>
      </c>
      <c r="D217" s="1">
        <v>40491</v>
      </c>
      <c r="E217">
        <v>70.081500000000005</v>
      </c>
    </row>
    <row r="218" spans="3:5" x14ac:dyDescent="0.35">
      <c r="C218">
        <f t="shared" si="4"/>
        <v>2010</v>
      </c>
      <c r="D218" s="1">
        <v>40492</v>
      </c>
      <c r="E218">
        <v>69.476699999999994</v>
      </c>
    </row>
    <row r="219" spans="3:5" x14ac:dyDescent="0.35">
      <c r="C219">
        <f t="shared" si="4"/>
        <v>2010</v>
      </c>
      <c r="D219" s="1">
        <v>40493</v>
      </c>
      <c r="E219">
        <v>69.273700000000005</v>
      </c>
    </row>
    <row r="220" spans="3:5" x14ac:dyDescent="0.35">
      <c r="C220">
        <f t="shared" si="4"/>
        <v>2010</v>
      </c>
      <c r="D220" s="1">
        <v>40494</v>
      </c>
      <c r="E220">
        <v>67.685900000000004</v>
      </c>
    </row>
    <row r="221" spans="3:5" x14ac:dyDescent="0.35">
      <c r="C221">
        <f t="shared" si="4"/>
        <v>2010</v>
      </c>
      <c r="D221" s="1">
        <v>40497</v>
      </c>
      <c r="E221">
        <v>68.051100000000005</v>
      </c>
    </row>
    <row r="222" spans="3:5" x14ac:dyDescent="0.35">
      <c r="C222">
        <f t="shared" si="4"/>
        <v>2010</v>
      </c>
      <c r="D222" s="1">
        <v>40498</v>
      </c>
      <c r="E222">
        <v>69.254099999999994</v>
      </c>
    </row>
    <row r="223" spans="3:5" x14ac:dyDescent="0.35">
      <c r="C223">
        <f t="shared" si="4"/>
        <v>2010</v>
      </c>
      <c r="D223" s="1">
        <v>40499</v>
      </c>
      <c r="E223">
        <v>68.506600000000006</v>
      </c>
    </row>
    <row r="224" spans="3:5" x14ac:dyDescent="0.35">
      <c r="C224">
        <f t="shared" si="4"/>
        <v>2010</v>
      </c>
      <c r="D224" s="1">
        <v>40500</v>
      </c>
      <c r="E224">
        <v>68.138800000000003</v>
      </c>
    </row>
    <row r="225" spans="3:5" x14ac:dyDescent="0.35">
      <c r="C225">
        <f t="shared" si="4"/>
        <v>2010</v>
      </c>
      <c r="D225" s="1">
        <v>40501</v>
      </c>
      <c r="E225">
        <v>68.713499999999996</v>
      </c>
    </row>
    <row r="226" spans="3:5" x14ac:dyDescent="0.35">
      <c r="C226">
        <f t="shared" si="4"/>
        <v>2010</v>
      </c>
      <c r="D226" s="1">
        <v>40504</v>
      </c>
      <c r="E226">
        <v>66.989500000000007</v>
      </c>
    </row>
    <row r="227" spans="3:5" x14ac:dyDescent="0.35">
      <c r="C227">
        <f t="shared" si="4"/>
        <v>2010</v>
      </c>
      <c r="D227" s="1">
        <v>40505</v>
      </c>
      <c r="E227">
        <v>62.389600000000002</v>
      </c>
    </row>
    <row r="228" spans="3:5" x14ac:dyDescent="0.35">
      <c r="C228">
        <f t="shared" si="4"/>
        <v>2010</v>
      </c>
      <c r="D228" s="1">
        <v>40506</v>
      </c>
      <c r="E228">
        <v>61.607700000000001</v>
      </c>
    </row>
    <row r="229" spans="3:5" x14ac:dyDescent="0.35">
      <c r="C229">
        <f t="shared" si="4"/>
        <v>2010</v>
      </c>
      <c r="D229" s="1">
        <v>40508</v>
      </c>
      <c r="E229">
        <v>63.2136</v>
      </c>
    </row>
    <row r="230" spans="3:5" x14ac:dyDescent="0.35">
      <c r="C230">
        <f t="shared" si="4"/>
        <v>2010</v>
      </c>
      <c r="D230" s="1">
        <v>40511</v>
      </c>
      <c r="E230">
        <v>59.0946</v>
      </c>
    </row>
    <row r="231" spans="3:5" x14ac:dyDescent="0.35">
      <c r="C231">
        <f t="shared" si="4"/>
        <v>2010</v>
      </c>
      <c r="D231" s="1">
        <v>40512</v>
      </c>
      <c r="E231">
        <v>59.128999999999998</v>
      </c>
    </row>
    <row r="232" spans="3:5" x14ac:dyDescent="0.35">
      <c r="C232">
        <f t="shared" si="4"/>
        <v>2010</v>
      </c>
      <c r="D232" s="1">
        <v>40513</v>
      </c>
      <c r="E232">
        <v>59.9039</v>
      </c>
    </row>
    <row r="233" spans="3:5" x14ac:dyDescent="0.35">
      <c r="C233">
        <f t="shared" si="4"/>
        <v>2010</v>
      </c>
      <c r="D233" s="1">
        <v>40514</v>
      </c>
      <c r="E233">
        <v>61.077599999999997</v>
      </c>
    </row>
    <row r="234" spans="3:5" x14ac:dyDescent="0.35">
      <c r="C234">
        <f t="shared" si="4"/>
        <v>2010</v>
      </c>
      <c r="D234" s="1">
        <v>40515</v>
      </c>
      <c r="E234">
        <v>58.502499999999998</v>
      </c>
    </row>
    <row r="235" spans="3:5" x14ac:dyDescent="0.35">
      <c r="C235">
        <f t="shared" si="4"/>
        <v>2010</v>
      </c>
      <c r="D235" s="1">
        <v>40518</v>
      </c>
      <c r="E235">
        <v>57.461599999999997</v>
      </c>
    </row>
    <row r="236" spans="3:5" x14ac:dyDescent="0.35">
      <c r="C236">
        <f t="shared" si="4"/>
        <v>2010</v>
      </c>
      <c r="D236" s="1">
        <v>40519</v>
      </c>
      <c r="E236">
        <v>56.764899999999997</v>
      </c>
    </row>
    <row r="237" spans="3:5" x14ac:dyDescent="0.35">
      <c r="C237">
        <f t="shared" si="4"/>
        <v>2010</v>
      </c>
      <c r="D237" s="1">
        <v>40520</v>
      </c>
      <c r="E237">
        <v>57.877499999999998</v>
      </c>
    </row>
    <row r="238" spans="3:5" x14ac:dyDescent="0.35">
      <c r="C238">
        <f t="shared" si="4"/>
        <v>2010</v>
      </c>
      <c r="D238" s="1">
        <v>40521</v>
      </c>
      <c r="E238">
        <v>55.324300000000001</v>
      </c>
    </row>
    <row r="239" spans="3:5" x14ac:dyDescent="0.35">
      <c r="C239">
        <f t="shared" si="4"/>
        <v>2010</v>
      </c>
      <c r="D239" s="1">
        <v>40522</v>
      </c>
      <c r="E239">
        <v>54.020299999999999</v>
      </c>
    </row>
    <row r="240" spans="3:5" x14ac:dyDescent="0.35">
      <c r="C240">
        <f t="shared" si="4"/>
        <v>2010</v>
      </c>
      <c r="D240" s="1">
        <v>40525</v>
      </c>
      <c r="E240">
        <v>54.304000000000002</v>
      </c>
    </row>
    <row r="241" spans="3:5" x14ac:dyDescent="0.35">
      <c r="C241">
        <f t="shared" si="4"/>
        <v>2010</v>
      </c>
      <c r="D241" s="1">
        <v>40526</v>
      </c>
      <c r="E241">
        <v>55.8904</v>
      </c>
    </row>
    <row r="242" spans="3:5" x14ac:dyDescent="0.35">
      <c r="C242">
        <f t="shared" si="4"/>
        <v>2010</v>
      </c>
      <c r="D242" s="1">
        <v>40527</v>
      </c>
      <c r="E242">
        <v>55.407499999999999</v>
      </c>
    </row>
    <row r="243" spans="3:5" x14ac:dyDescent="0.35">
      <c r="C243">
        <f t="shared" si="4"/>
        <v>2010</v>
      </c>
      <c r="D243" s="1">
        <v>40528</v>
      </c>
      <c r="E243">
        <v>54.606999999999999</v>
      </c>
    </row>
    <row r="244" spans="3:5" x14ac:dyDescent="0.35">
      <c r="C244">
        <f t="shared" si="4"/>
        <v>2010</v>
      </c>
      <c r="D244" s="1">
        <v>40529</v>
      </c>
      <c r="E244">
        <v>52.752699999999997</v>
      </c>
    </row>
    <row r="245" spans="3:5" x14ac:dyDescent="0.35">
      <c r="C245">
        <f t="shared" si="4"/>
        <v>2010</v>
      </c>
      <c r="D245" s="1">
        <v>40532</v>
      </c>
      <c r="E245">
        <v>51.539700000000003</v>
      </c>
    </row>
    <row r="246" spans="3:5" x14ac:dyDescent="0.35">
      <c r="C246">
        <f t="shared" si="4"/>
        <v>2010</v>
      </c>
      <c r="D246" s="1">
        <v>40533</v>
      </c>
      <c r="E246">
        <v>52.549700000000001</v>
      </c>
    </row>
    <row r="247" spans="3:5" x14ac:dyDescent="0.35">
      <c r="C247">
        <f t="shared" si="4"/>
        <v>2010</v>
      </c>
      <c r="D247" s="1">
        <v>40534</v>
      </c>
      <c r="E247">
        <v>54.596400000000003</v>
      </c>
    </row>
    <row r="248" spans="3:5" x14ac:dyDescent="0.35">
      <c r="C248">
        <f t="shared" si="4"/>
        <v>2010</v>
      </c>
      <c r="D248" s="1">
        <v>40535</v>
      </c>
      <c r="E248">
        <v>55.317900000000002</v>
      </c>
    </row>
    <row r="249" spans="3:5" x14ac:dyDescent="0.35">
      <c r="C249">
        <f t="shared" si="4"/>
        <v>2010</v>
      </c>
      <c r="D249" s="1">
        <v>40539</v>
      </c>
      <c r="E249">
        <v>55.543700000000001</v>
      </c>
    </row>
    <row r="250" spans="3:5" x14ac:dyDescent="0.35">
      <c r="C250">
        <f t="shared" si="4"/>
        <v>2010</v>
      </c>
      <c r="D250" s="1">
        <v>40540</v>
      </c>
      <c r="E250">
        <v>55.122300000000003</v>
      </c>
    </row>
    <row r="251" spans="3:5" x14ac:dyDescent="0.35">
      <c r="C251">
        <f t="shared" si="4"/>
        <v>2010</v>
      </c>
      <c r="D251" s="1">
        <v>40541</v>
      </c>
      <c r="E251">
        <v>55.038400000000003</v>
      </c>
    </row>
    <row r="252" spans="3:5" x14ac:dyDescent="0.35">
      <c r="C252">
        <f t="shared" si="4"/>
        <v>2010</v>
      </c>
      <c r="D252" s="1">
        <v>40542</v>
      </c>
      <c r="E252">
        <v>56.313899999999997</v>
      </c>
    </row>
    <row r="253" spans="3:5" x14ac:dyDescent="0.35">
      <c r="C253">
        <f t="shared" si="4"/>
        <v>2010</v>
      </c>
      <c r="D253" s="1">
        <v>40543</v>
      </c>
      <c r="E253">
        <v>55.172600000000003</v>
      </c>
    </row>
    <row r="254" spans="3:5" x14ac:dyDescent="0.35">
      <c r="C254">
        <f t="shared" si="4"/>
        <v>2011</v>
      </c>
      <c r="D254" s="1">
        <v>40546</v>
      </c>
      <c r="E254">
        <v>57.141300000000001</v>
      </c>
    </row>
    <row r="255" spans="3:5" x14ac:dyDescent="0.35">
      <c r="C255">
        <f t="shared" si="4"/>
        <v>2011</v>
      </c>
      <c r="D255" s="1">
        <v>40547</v>
      </c>
      <c r="E255">
        <v>58.273400000000002</v>
      </c>
    </row>
    <row r="256" spans="3:5" x14ac:dyDescent="0.35">
      <c r="C256">
        <f t="shared" si="4"/>
        <v>2011</v>
      </c>
      <c r="D256" s="1">
        <v>40548</v>
      </c>
      <c r="E256">
        <v>58.0276</v>
      </c>
    </row>
    <row r="257" spans="3:5" x14ac:dyDescent="0.35">
      <c r="C257">
        <f t="shared" si="4"/>
        <v>2011</v>
      </c>
      <c r="D257" s="1">
        <v>40549</v>
      </c>
      <c r="E257">
        <v>57.939</v>
      </c>
    </row>
    <row r="258" spans="3:5" x14ac:dyDescent="0.35">
      <c r="C258">
        <f t="shared" si="4"/>
        <v>2011</v>
      </c>
      <c r="D258" s="1">
        <v>40550</v>
      </c>
      <c r="E258">
        <v>57.538800000000002</v>
      </c>
    </row>
    <row r="259" spans="3:5" x14ac:dyDescent="0.35">
      <c r="C259">
        <f t="shared" ref="C259:C322" si="5">YEAR(D259)</f>
        <v>2011</v>
      </c>
      <c r="D259" s="1">
        <v>40553</v>
      </c>
      <c r="E259">
        <v>53.900700000000001</v>
      </c>
    </row>
    <row r="260" spans="3:5" x14ac:dyDescent="0.35">
      <c r="C260">
        <f t="shared" si="5"/>
        <v>2011</v>
      </c>
      <c r="D260" s="1">
        <v>40554</v>
      </c>
      <c r="E260">
        <v>52.929900000000004</v>
      </c>
    </row>
    <row r="261" spans="3:5" x14ac:dyDescent="0.35">
      <c r="C261">
        <f t="shared" si="5"/>
        <v>2011</v>
      </c>
      <c r="D261" s="1">
        <v>40555</v>
      </c>
      <c r="E261">
        <v>53.4709</v>
      </c>
    </row>
    <row r="262" spans="3:5" x14ac:dyDescent="0.35">
      <c r="C262">
        <f t="shared" si="5"/>
        <v>2011</v>
      </c>
      <c r="D262" s="1">
        <v>40556</v>
      </c>
      <c r="E262">
        <v>54.191400000000002</v>
      </c>
    </row>
    <row r="263" spans="3:5" x14ac:dyDescent="0.35">
      <c r="C263">
        <f t="shared" si="5"/>
        <v>2011</v>
      </c>
      <c r="D263" s="1">
        <v>40557</v>
      </c>
      <c r="E263">
        <v>55.315199999999997</v>
      </c>
    </row>
    <row r="264" spans="3:5" x14ac:dyDescent="0.35">
      <c r="C264">
        <f t="shared" si="5"/>
        <v>2011</v>
      </c>
      <c r="D264" s="1">
        <v>40561</v>
      </c>
      <c r="E264">
        <v>53.495600000000003</v>
      </c>
    </row>
    <row r="265" spans="3:5" x14ac:dyDescent="0.35">
      <c r="C265">
        <f t="shared" si="5"/>
        <v>2011</v>
      </c>
      <c r="D265" s="1">
        <v>40562</v>
      </c>
      <c r="E265">
        <v>54.256500000000003</v>
      </c>
    </row>
    <row r="266" spans="3:5" x14ac:dyDescent="0.35">
      <c r="C266">
        <f t="shared" si="5"/>
        <v>2011</v>
      </c>
      <c r="D266" s="1">
        <v>40563</v>
      </c>
      <c r="E266">
        <v>53.444699999999997</v>
      </c>
    </row>
    <row r="267" spans="3:5" x14ac:dyDescent="0.35">
      <c r="C267">
        <f t="shared" si="5"/>
        <v>2011</v>
      </c>
      <c r="D267" s="1">
        <v>40564</v>
      </c>
      <c r="E267">
        <v>52.958599999999997</v>
      </c>
    </row>
    <row r="268" spans="3:5" x14ac:dyDescent="0.35">
      <c r="C268">
        <f t="shared" si="5"/>
        <v>2011</v>
      </c>
      <c r="D268" s="1">
        <v>40567</v>
      </c>
      <c r="E268">
        <v>52.767000000000003</v>
      </c>
    </row>
    <row r="269" spans="3:5" x14ac:dyDescent="0.35">
      <c r="C269">
        <f t="shared" si="5"/>
        <v>2011</v>
      </c>
      <c r="D269" s="1">
        <v>40568</v>
      </c>
      <c r="E269">
        <v>56.365299999999998</v>
      </c>
    </row>
    <row r="270" spans="3:5" x14ac:dyDescent="0.35">
      <c r="C270">
        <f t="shared" si="5"/>
        <v>2011</v>
      </c>
      <c r="D270" s="1">
        <v>40569</v>
      </c>
      <c r="E270">
        <v>57.213799999999999</v>
      </c>
    </row>
    <row r="271" spans="3:5" x14ac:dyDescent="0.35">
      <c r="C271">
        <f t="shared" si="5"/>
        <v>2011</v>
      </c>
      <c r="D271" s="1">
        <v>40570</v>
      </c>
      <c r="E271">
        <v>57.354500000000002</v>
      </c>
    </row>
    <row r="272" spans="3:5" x14ac:dyDescent="0.35">
      <c r="C272">
        <f t="shared" si="5"/>
        <v>2011</v>
      </c>
      <c r="D272" s="1">
        <v>40571</v>
      </c>
      <c r="E272">
        <v>55.209499999999998</v>
      </c>
    </row>
    <row r="273" spans="3:5" x14ac:dyDescent="0.35">
      <c r="C273">
        <f t="shared" si="5"/>
        <v>2011</v>
      </c>
      <c r="D273" s="1">
        <v>40574</v>
      </c>
      <c r="E273">
        <v>54.368000000000002</v>
      </c>
    </row>
    <row r="274" spans="3:5" x14ac:dyDescent="0.35">
      <c r="C274">
        <f t="shared" si="5"/>
        <v>2011</v>
      </c>
      <c r="D274" s="1">
        <v>40575</v>
      </c>
      <c r="E274">
        <v>55.373699999999999</v>
      </c>
    </row>
    <row r="275" spans="3:5" x14ac:dyDescent="0.35">
      <c r="C275">
        <f t="shared" si="5"/>
        <v>2011</v>
      </c>
      <c r="D275" s="1">
        <v>40576</v>
      </c>
      <c r="E275">
        <v>55.597999999999999</v>
      </c>
    </row>
    <row r="276" spans="3:5" x14ac:dyDescent="0.35">
      <c r="C276">
        <f t="shared" si="5"/>
        <v>2011</v>
      </c>
      <c r="D276" s="1">
        <v>40577</v>
      </c>
      <c r="E276">
        <v>53.518799999999999</v>
      </c>
    </row>
    <row r="277" spans="3:5" x14ac:dyDescent="0.35">
      <c r="C277">
        <f t="shared" si="5"/>
        <v>2011</v>
      </c>
      <c r="D277" s="1">
        <v>40578</v>
      </c>
      <c r="E277">
        <v>53.7074</v>
      </c>
    </row>
    <row r="278" spans="3:5" x14ac:dyDescent="0.35">
      <c r="C278">
        <f t="shared" si="5"/>
        <v>2011</v>
      </c>
      <c r="D278" s="1">
        <v>40581</v>
      </c>
      <c r="E278">
        <v>54.078000000000003</v>
      </c>
    </row>
    <row r="279" spans="3:5" x14ac:dyDescent="0.35">
      <c r="C279">
        <f t="shared" si="5"/>
        <v>2011</v>
      </c>
      <c r="D279" s="1">
        <v>40582</v>
      </c>
      <c r="E279">
        <v>53.502699999999997</v>
      </c>
    </row>
    <row r="280" spans="3:5" x14ac:dyDescent="0.35">
      <c r="C280">
        <f t="shared" si="5"/>
        <v>2011</v>
      </c>
      <c r="D280" s="1">
        <v>40583</v>
      </c>
      <c r="E280">
        <v>54.561599999999999</v>
      </c>
    </row>
    <row r="281" spans="3:5" x14ac:dyDescent="0.35">
      <c r="C281">
        <f t="shared" si="5"/>
        <v>2011</v>
      </c>
      <c r="D281" s="1">
        <v>40584</v>
      </c>
      <c r="E281">
        <v>53.556899999999999</v>
      </c>
    </row>
    <row r="282" spans="3:5" x14ac:dyDescent="0.35">
      <c r="C282">
        <f t="shared" si="5"/>
        <v>2011</v>
      </c>
      <c r="D282" s="1">
        <v>40585</v>
      </c>
      <c r="E282">
        <v>54.7637</v>
      </c>
    </row>
    <row r="283" spans="3:5" x14ac:dyDescent="0.35">
      <c r="C283">
        <f t="shared" si="5"/>
        <v>2011</v>
      </c>
      <c r="D283" s="1">
        <v>40588</v>
      </c>
      <c r="E283">
        <v>53.528500000000001</v>
      </c>
    </row>
    <row r="284" spans="3:5" x14ac:dyDescent="0.35">
      <c r="C284">
        <f t="shared" si="5"/>
        <v>2011</v>
      </c>
      <c r="D284" s="1">
        <v>40589</v>
      </c>
      <c r="E284">
        <v>52.103700000000003</v>
      </c>
    </row>
    <row r="285" spans="3:5" x14ac:dyDescent="0.35">
      <c r="C285">
        <f t="shared" si="5"/>
        <v>2011</v>
      </c>
      <c r="D285" s="1">
        <v>40590</v>
      </c>
      <c r="E285">
        <v>52.244799999999998</v>
      </c>
    </row>
    <row r="286" spans="3:5" x14ac:dyDescent="0.35">
      <c r="C286">
        <f t="shared" si="5"/>
        <v>2011</v>
      </c>
      <c r="D286" s="1">
        <v>40591</v>
      </c>
      <c r="E286">
        <v>52.081499999999998</v>
      </c>
    </row>
    <row r="287" spans="3:5" x14ac:dyDescent="0.35">
      <c r="C287">
        <f t="shared" si="5"/>
        <v>2011</v>
      </c>
      <c r="D287" s="1">
        <v>40592</v>
      </c>
      <c r="E287">
        <v>52.197699999999998</v>
      </c>
    </row>
    <row r="288" spans="3:5" x14ac:dyDescent="0.35">
      <c r="C288">
        <f t="shared" si="5"/>
        <v>2011</v>
      </c>
      <c r="D288" s="1">
        <v>40596</v>
      </c>
      <c r="E288">
        <v>47.598500000000001</v>
      </c>
    </row>
    <row r="289" spans="3:5" x14ac:dyDescent="0.35">
      <c r="C289">
        <f t="shared" si="5"/>
        <v>2011</v>
      </c>
      <c r="D289" s="1">
        <v>40597</v>
      </c>
      <c r="E289">
        <v>44.292999999999999</v>
      </c>
    </row>
    <row r="290" spans="3:5" x14ac:dyDescent="0.35">
      <c r="C290">
        <f t="shared" si="5"/>
        <v>2011</v>
      </c>
      <c r="D290" s="1">
        <v>40598</v>
      </c>
      <c r="E290">
        <v>42.912199999999999</v>
      </c>
    </row>
    <row r="291" spans="3:5" x14ac:dyDescent="0.35">
      <c r="C291">
        <f t="shared" si="5"/>
        <v>2011</v>
      </c>
      <c r="D291" s="1">
        <v>40599</v>
      </c>
      <c r="E291">
        <v>46.070300000000003</v>
      </c>
    </row>
    <row r="292" spans="3:5" x14ac:dyDescent="0.35">
      <c r="C292">
        <f t="shared" si="5"/>
        <v>2011</v>
      </c>
      <c r="D292" s="1">
        <v>40602</v>
      </c>
      <c r="E292">
        <v>45.044699999999999</v>
      </c>
    </row>
    <row r="293" spans="3:5" x14ac:dyDescent="0.35">
      <c r="C293">
        <f t="shared" si="5"/>
        <v>2011</v>
      </c>
      <c r="D293" s="1">
        <v>40603</v>
      </c>
      <c r="E293">
        <v>41.555700000000002</v>
      </c>
    </row>
    <row r="294" spans="3:5" x14ac:dyDescent="0.35">
      <c r="C294">
        <f t="shared" si="5"/>
        <v>2011</v>
      </c>
      <c r="D294" s="1">
        <v>40604</v>
      </c>
      <c r="E294">
        <v>40.799100000000003</v>
      </c>
    </row>
    <row r="295" spans="3:5" x14ac:dyDescent="0.35">
      <c r="C295">
        <f t="shared" si="5"/>
        <v>2011</v>
      </c>
      <c r="D295" s="1">
        <v>40605</v>
      </c>
      <c r="E295">
        <v>43.932600000000001</v>
      </c>
    </row>
    <row r="296" spans="3:5" x14ac:dyDescent="0.35">
      <c r="C296">
        <f t="shared" si="5"/>
        <v>2011</v>
      </c>
      <c r="D296" s="1">
        <v>40606</v>
      </c>
      <c r="E296">
        <v>43.773600000000002</v>
      </c>
    </row>
    <row r="297" spans="3:5" x14ac:dyDescent="0.35">
      <c r="C297">
        <f t="shared" si="5"/>
        <v>2011</v>
      </c>
      <c r="D297" s="1">
        <v>40609</v>
      </c>
      <c r="E297">
        <v>42.883200000000002</v>
      </c>
    </row>
    <row r="298" spans="3:5" x14ac:dyDescent="0.35">
      <c r="C298">
        <f t="shared" si="5"/>
        <v>2011</v>
      </c>
      <c r="D298" s="1">
        <v>40610</v>
      </c>
      <c r="E298">
        <v>44.209099999999999</v>
      </c>
    </row>
    <row r="299" spans="3:5" x14ac:dyDescent="0.35">
      <c r="C299">
        <f t="shared" si="5"/>
        <v>2011</v>
      </c>
      <c r="D299" s="1">
        <v>40611</v>
      </c>
      <c r="E299">
        <v>44.677300000000002</v>
      </c>
    </row>
    <row r="300" spans="3:5" x14ac:dyDescent="0.35">
      <c r="C300">
        <f t="shared" si="5"/>
        <v>2011</v>
      </c>
      <c r="D300" s="1">
        <v>40612</v>
      </c>
      <c r="E300">
        <v>45.475900000000003</v>
      </c>
    </row>
    <row r="301" spans="3:5" x14ac:dyDescent="0.35">
      <c r="C301">
        <f t="shared" si="5"/>
        <v>2011</v>
      </c>
      <c r="D301" s="1">
        <v>40613</v>
      </c>
      <c r="E301">
        <v>46.017899999999997</v>
      </c>
    </row>
    <row r="302" spans="3:5" x14ac:dyDescent="0.35">
      <c r="C302">
        <f t="shared" si="5"/>
        <v>2011</v>
      </c>
      <c r="D302" s="1">
        <v>40616</v>
      </c>
      <c r="E302">
        <v>46.688499999999998</v>
      </c>
    </row>
    <row r="303" spans="3:5" x14ac:dyDescent="0.35">
      <c r="C303">
        <f t="shared" si="5"/>
        <v>2011</v>
      </c>
      <c r="D303" s="1">
        <v>40617</v>
      </c>
      <c r="E303">
        <v>47.601999999999997</v>
      </c>
    </row>
    <row r="304" spans="3:5" x14ac:dyDescent="0.35">
      <c r="C304">
        <f t="shared" si="5"/>
        <v>2011</v>
      </c>
      <c r="D304" s="1">
        <v>40618</v>
      </c>
      <c r="E304">
        <v>45.7607</v>
      </c>
    </row>
    <row r="305" spans="3:5" x14ac:dyDescent="0.35">
      <c r="C305">
        <f t="shared" si="5"/>
        <v>2011</v>
      </c>
      <c r="D305" s="1">
        <v>40619</v>
      </c>
      <c r="E305">
        <v>45.9009</v>
      </c>
    </row>
    <row r="306" spans="3:5" x14ac:dyDescent="0.35">
      <c r="C306">
        <f t="shared" si="5"/>
        <v>2011</v>
      </c>
      <c r="D306" s="1">
        <v>40620</v>
      </c>
      <c r="E306">
        <v>46.083300000000001</v>
      </c>
    </row>
    <row r="307" spans="3:5" x14ac:dyDescent="0.35">
      <c r="C307">
        <f t="shared" si="5"/>
        <v>2011</v>
      </c>
      <c r="D307" s="1">
        <v>40623</v>
      </c>
      <c r="E307">
        <v>45.710999999999999</v>
      </c>
    </row>
    <row r="308" spans="3:5" x14ac:dyDescent="0.35">
      <c r="C308">
        <f t="shared" si="5"/>
        <v>2011</v>
      </c>
      <c r="D308" s="1">
        <v>40624</v>
      </c>
      <c r="E308">
        <v>45.7303</v>
      </c>
    </row>
    <row r="309" spans="3:5" x14ac:dyDescent="0.35">
      <c r="C309">
        <f t="shared" si="5"/>
        <v>2011</v>
      </c>
      <c r="D309" s="1">
        <v>40625</v>
      </c>
      <c r="E309">
        <v>45.246600000000001</v>
      </c>
    </row>
    <row r="310" spans="3:5" x14ac:dyDescent="0.35">
      <c r="C310">
        <f t="shared" si="5"/>
        <v>2011</v>
      </c>
      <c r="D310" s="1">
        <v>40626</v>
      </c>
      <c r="E310">
        <v>43.941000000000003</v>
      </c>
    </row>
    <row r="311" spans="3:5" x14ac:dyDescent="0.35">
      <c r="C311">
        <f t="shared" si="5"/>
        <v>2011</v>
      </c>
      <c r="D311" s="1">
        <v>40627</v>
      </c>
      <c r="E311">
        <v>43.387999999999998</v>
      </c>
    </row>
    <row r="312" spans="3:5" x14ac:dyDescent="0.35">
      <c r="C312">
        <f t="shared" si="5"/>
        <v>2011</v>
      </c>
      <c r="D312" s="1">
        <v>40630</v>
      </c>
      <c r="E312">
        <v>43.552100000000003</v>
      </c>
    </row>
    <row r="313" spans="3:5" x14ac:dyDescent="0.35">
      <c r="C313">
        <f t="shared" si="5"/>
        <v>2011</v>
      </c>
      <c r="D313" s="1">
        <v>40631</v>
      </c>
      <c r="E313">
        <v>43.287100000000002</v>
      </c>
    </row>
    <row r="314" spans="3:5" x14ac:dyDescent="0.35">
      <c r="C314">
        <f t="shared" si="5"/>
        <v>2011</v>
      </c>
      <c r="D314" s="1">
        <v>40632</v>
      </c>
      <c r="E314">
        <v>44.091000000000001</v>
      </c>
    </row>
    <row r="315" spans="3:5" x14ac:dyDescent="0.35">
      <c r="C315">
        <f t="shared" si="5"/>
        <v>2011</v>
      </c>
      <c r="D315" s="1">
        <v>40633</v>
      </c>
      <c r="E315">
        <v>43.4238</v>
      </c>
    </row>
    <row r="316" spans="3:5" x14ac:dyDescent="0.35">
      <c r="C316">
        <f t="shared" si="5"/>
        <v>2011</v>
      </c>
      <c r="D316" s="1">
        <v>40634</v>
      </c>
      <c r="E316">
        <v>44.563800000000001</v>
      </c>
    </row>
    <row r="317" spans="3:5" x14ac:dyDescent="0.35">
      <c r="C317">
        <f t="shared" si="5"/>
        <v>2011</v>
      </c>
      <c r="D317" s="1">
        <v>40637</v>
      </c>
      <c r="E317">
        <v>45.594000000000001</v>
      </c>
    </row>
    <row r="318" spans="3:5" x14ac:dyDescent="0.35">
      <c r="C318">
        <f t="shared" si="5"/>
        <v>2011</v>
      </c>
      <c r="D318" s="1">
        <v>40638</v>
      </c>
      <c r="E318">
        <v>45.359499999999997</v>
      </c>
    </row>
    <row r="319" spans="3:5" x14ac:dyDescent="0.35">
      <c r="C319">
        <f t="shared" si="5"/>
        <v>2011</v>
      </c>
      <c r="D319" s="1">
        <v>40639</v>
      </c>
      <c r="E319">
        <v>45.5565</v>
      </c>
    </row>
    <row r="320" spans="3:5" x14ac:dyDescent="0.35">
      <c r="C320">
        <f t="shared" si="5"/>
        <v>2011</v>
      </c>
      <c r="D320" s="1">
        <v>40640</v>
      </c>
      <c r="E320">
        <v>45.946599999999997</v>
      </c>
    </row>
    <row r="321" spans="3:5" x14ac:dyDescent="0.35">
      <c r="C321">
        <f t="shared" si="5"/>
        <v>2011</v>
      </c>
      <c r="D321" s="1">
        <v>40641</v>
      </c>
      <c r="E321">
        <v>44.473100000000002</v>
      </c>
    </row>
    <row r="322" spans="3:5" x14ac:dyDescent="0.35">
      <c r="C322">
        <f t="shared" si="5"/>
        <v>2011</v>
      </c>
      <c r="D322" s="1">
        <v>40644</v>
      </c>
      <c r="E322">
        <v>45.049599999999998</v>
      </c>
    </row>
    <row r="323" spans="3:5" x14ac:dyDescent="0.35">
      <c r="C323">
        <f t="shared" ref="C323:C386" si="6">YEAR(D323)</f>
        <v>2011</v>
      </c>
      <c r="D323" s="1">
        <v>40645</v>
      </c>
      <c r="E323">
        <v>45.9666</v>
      </c>
    </row>
    <row r="324" spans="3:5" x14ac:dyDescent="0.35">
      <c r="C324">
        <f t="shared" si="6"/>
        <v>2011</v>
      </c>
      <c r="D324" s="1">
        <v>40646</v>
      </c>
      <c r="E324">
        <v>45.512700000000002</v>
      </c>
    </row>
    <row r="325" spans="3:5" x14ac:dyDescent="0.35">
      <c r="C325">
        <f t="shared" si="6"/>
        <v>2011</v>
      </c>
      <c r="D325" s="1">
        <v>40647</v>
      </c>
      <c r="E325">
        <v>44.735300000000002</v>
      </c>
    </row>
    <row r="326" spans="3:5" x14ac:dyDescent="0.35">
      <c r="C326">
        <f t="shared" si="6"/>
        <v>2011</v>
      </c>
      <c r="D326" s="1">
        <v>40651</v>
      </c>
      <c r="E326">
        <v>42.838700000000003</v>
      </c>
    </row>
    <row r="327" spans="3:5" x14ac:dyDescent="0.35">
      <c r="C327">
        <f t="shared" si="6"/>
        <v>2011</v>
      </c>
      <c r="D327" s="1">
        <v>40652</v>
      </c>
      <c r="E327">
        <v>43.391199999999998</v>
      </c>
    </row>
    <row r="328" spans="3:5" x14ac:dyDescent="0.35">
      <c r="C328">
        <f t="shared" si="6"/>
        <v>2011</v>
      </c>
      <c r="D328" s="1">
        <v>40653</v>
      </c>
      <c r="E328">
        <v>43.626800000000003</v>
      </c>
    </row>
    <row r="329" spans="3:5" x14ac:dyDescent="0.35">
      <c r="C329">
        <f t="shared" si="6"/>
        <v>2011</v>
      </c>
      <c r="D329" s="1">
        <v>40654</v>
      </c>
      <c r="E329">
        <v>43.872900000000001</v>
      </c>
    </row>
    <row r="330" spans="3:5" x14ac:dyDescent="0.35">
      <c r="C330">
        <f t="shared" si="6"/>
        <v>2011</v>
      </c>
      <c r="D330" s="1">
        <v>40658</v>
      </c>
      <c r="E330">
        <v>44.487099999999998</v>
      </c>
    </row>
    <row r="331" spans="3:5" x14ac:dyDescent="0.35">
      <c r="C331">
        <f t="shared" si="6"/>
        <v>2011</v>
      </c>
      <c r="D331" s="1">
        <v>40659</v>
      </c>
      <c r="E331">
        <v>44.061999999999998</v>
      </c>
    </row>
    <row r="332" spans="3:5" x14ac:dyDescent="0.35">
      <c r="C332">
        <f t="shared" si="6"/>
        <v>2011</v>
      </c>
      <c r="D332" s="1">
        <v>40660</v>
      </c>
      <c r="E332">
        <v>43.233400000000003</v>
      </c>
    </row>
    <row r="333" spans="3:5" x14ac:dyDescent="0.35">
      <c r="C333">
        <f t="shared" si="6"/>
        <v>2011</v>
      </c>
      <c r="D333" s="1">
        <v>40661</v>
      </c>
      <c r="E333">
        <v>43.404400000000003</v>
      </c>
    </row>
    <row r="334" spans="3:5" x14ac:dyDescent="0.35">
      <c r="C334">
        <f t="shared" si="6"/>
        <v>2011</v>
      </c>
      <c r="D334" s="1">
        <v>40662</v>
      </c>
      <c r="E334">
        <v>42.787700000000001</v>
      </c>
    </row>
    <row r="335" spans="3:5" x14ac:dyDescent="0.35">
      <c r="C335">
        <f t="shared" si="6"/>
        <v>2011</v>
      </c>
      <c r="D335" s="1">
        <v>40665</v>
      </c>
      <c r="E335">
        <v>42.754800000000003</v>
      </c>
    </row>
    <row r="336" spans="3:5" x14ac:dyDescent="0.35">
      <c r="C336">
        <f t="shared" si="6"/>
        <v>2011</v>
      </c>
      <c r="D336" s="1">
        <v>40666</v>
      </c>
      <c r="E336">
        <v>43.504399999999997</v>
      </c>
    </row>
    <row r="337" spans="3:5" x14ac:dyDescent="0.35">
      <c r="C337">
        <f t="shared" si="6"/>
        <v>2011</v>
      </c>
      <c r="D337" s="1">
        <v>40667</v>
      </c>
      <c r="E337">
        <v>44.9497</v>
      </c>
    </row>
    <row r="338" spans="3:5" x14ac:dyDescent="0.35">
      <c r="C338">
        <f t="shared" si="6"/>
        <v>2011</v>
      </c>
      <c r="D338" s="1">
        <v>40668</v>
      </c>
      <c r="E338">
        <v>45.777099999999997</v>
      </c>
    </row>
    <row r="339" spans="3:5" x14ac:dyDescent="0.35">
      <c r="C339">
        <f t="shared" si="6"/>
        <v>2011</v>
      </c>
      <c r="D339" s="1">
        <v>40669</v>
      </c>
      <c r="E339">
        <v>45.777900000000002</v>
      </c>
    </row>
    <row r="340" spans="3:5" x14ac:dyDescent="0.35">
      <c r="C340">
        <f t="shared" si="6"/>
        <v>2011</v>
      </c>
      <c r="D340" s="1">
        <v>40672</v>
      </c>
      <c r="E340">
        <v>45.194699999999997</v>
      </c>
    </row>
    <row r="341" spans="3:5" x14ac:dyDescent="0.35">
      <c r="C341">
        <f t="shared" si="6"/>
        <v>2011</v>
      </c>
      <c r="D341" s="1">
        <v>40673</v>
      </c>
      <c r="E341">
        <v>43.9617</v>
      </c>
    </row>
    <row r="342" spans="3:5" x14ac:dyDescent="0.35">
      <c r="C342">
        <f t="shared" si="6"/>
        <v>2011</v>
      </c>
      <c r="D342" s="1">
        <v>40674</v>
      </c>
      <c r="E342">
        <v>42.9739</v>
      </c>
    </row>
    <row r="343" spans="3:5" x14ac:dyDescent="0.35">
      <c r="C343">
        <f t="shared" si="6"/>
        <v>2011</v>
      </c>
      <c r="D343" s="1">
        <v>40675</v>
      </c>
      <c r="E343">
        <v>43.139400000000002</v>
      </c>
    </row>
    <row r="344" spans="3:5" x14ac:dyDescent="0.35">
      <c r="C344">
        <f t="shared" si="6"/>
        <v>2011</v>
      </c>
      <c r="D344" s="1">
        <v>40676</v>
      </c>
      <c r="E344">
        <v>42.396099999999997</v>
      </c>
    </row>
    <row r="345" spans="3:5" x14ac:dyDescent="0.35">
      <c r="C345">
        <f t="shared" si="6"/>
        <v>2011</v>
      </c>
      <c r="D345" s="1">
        <v>40679</v>
      </c>
      <c r="E345">
        <v>41.694099999999999</v>
      </c>
    </row>
    <row r="346" spans="3:5" x14ac:dyDescent="0.35">
      <c r="C346">
        <f t="shared" si="6"/>
        <v>2011</v>
      </c>
      <c r="D346" s="1">
        <v>40680</v>
      </c>
      <c r="E346">
        <v>43.202300000000001</v>
      </c>
    </row>
    <row r="347" spans="3:5" x14ac:dyDescent="0.35">
      <c r="C347">
        <f t="shared" si="6"/>
        <v>2011</v>
      </c>
      <c r="D347" s="1">
        <v>40681</v>
      </c>
      <c r="E347">
        <v>41.007599999999996</v>
      </c>
    </row>
    <row r="348" spans="3:5" x14ac:dyDescent="0.35">
      <c r="C348">
        <f t="shared" si="6"/>
        <v>2011</v>
      </c>
      <c r="D348" s="1">
        <v>40682</v>
      </c>
      <c r="E348">
        <v>42.114199999999997</v>
      </c>
    </row>
    <row r="349" spans="3:5" x14ac:dyDescent="0.35">
      <c r="C349">
        <f t="shared" si="6"/>
        <v>2011</v>
      </c>
      <c r="D349" s="1">
        <v>40683</v>
      </c>
      <c r="E349">
        <v>40.756100000000004</v>
      </c>
    </row>
    <row r="350" spans="3:5" x14ac:dyDescent="0.35">
      <c r="C350">
        <f t="shared" si="6"/>
        <v>2011</v>
      </c>
      <c r="D350" s="1">
        <v>40686</v>
      </c>
      <c r="E350">
        <v>40.147199999999998</v>
      </c>
    </row>
    <row r="351" spans="3:5" x14ac:dyDescent="0.35">
      <c r="C351">
        <f t="shared" si="6"/>
        <v>2011</v>
      </c>
      <c r="D351" s="1">
        <v>40687</v>
      </c>
      <c r="E351">
        <v>40.1265</v>
      </c>
    </row>
    <row r="352" spans="3:5" x14ac:dyDescent="0.35">
      <c r="C352">
        <f t="shared" si="6"/>
        <v>2011</v>
      </c>
      <c r="D352" s="1">
        <v>40688</v>
      </c>
      <c r="E352">
        <v>39.582799999999999</v>
      </c>
    </row>
    <row r="353" spans="3:5" x14ac:dyDescent="0.35">
      <c r="C353">
        <f t="shared" si="6"/>
        <v>2011</v>
      </c>
      <c r="D353" s="1">
        <v>40689</v>
      </c>
      <c r="E353">
        <v>39.471400000000003</v>
      </c>
    </row>
    <row r="354" spans="3:5" x14ac:dyDescent="0.35">
      <c r="C354">
        <f t="shared" si="6"/>
        <v>2011</v>
      </c>
      <c r="D354" s="1">
        <v>40690</v>
      </c>
      <c r="E354">
        <v>38.096499999999999</v>
      </c>
    </row>
    <row r="355" spans="3:5" x14ac:dyDescent="0.35">
      <c r="C355">
        <f t="shared" si="6"/>
        <v>2011</v>
      </c>
      <c r="D355" s="1">
        <v>40694</v>
      </c>
      <c r="E355">
        <v>38.972200000000001</v>
      </c>
    </row>
    <row r="356" spans="3:5" x14ac:dyDescent="0.35">
      <c r="C356">
        <f t="shared" si="6"/>
        <v>2011</v>
      </c>
      <c r="D356" s="1">
        <v>40695</v>
      </c>
      <c r="E356">
        <v>39.285600000000002</v>
      </c>
    </row>
    <row r="357" spans="3:5" x14ac:dyDescent="0.35">
      <c r="C357">
        <f t="shared" si="6"/>
        <v>2011</v>
      </c>
      <c r="D357" s="1">
        <v>40696</v>
      </c>
      <c r="E357">
        <v>39.144799999999996</v>
      </c>
    </row>
    <row r="358" spans="3:5" x14ac:dyDescent="0.35">
      <c r="C358">
        <f t="shared" si="6"/>
        <v>2011</v>
      </c>
      <c r="D358" s="1">
        <v>40697</v>
      </c>
      <c r="E358">
        <v>39.174799999999998</v>
      </c>
    </row>
    <row r="359" spans="3:5" x14ac:dyDescent="0.35">
      <c r="C359">
        <f t="shared" si="6"/>
        <v>2011</v>
      </c>
      <c r="D359" s="1">
        <v>40700</v>
      </c>
      <c r="E359">
        <v>39.436999999999998</v>
      </c>
    </row>
    <row r="360" spans="3:5" x14ac:dyDescent="0.35">
      <c r="C360">
        <f t="shared" si="6"/>
        <v>2011</v>
      </c>
      <c r="D360" s="1">
        <v>40701</v>
      </c>
      <c r="E360">
        <v>39.894300000000001</v>
      </c>
    </row>
    <row r="361" spans="3:5" x14ac:dyDescent="0.35">
      <c r="C361">
        <f t="shared" si="6"/>
        <v>2011</v>
      </c>
      <c r="D361" s="1">
        <v>40702</v>
      </c>
      <c r="E361">
        <v>39.601900000000001</v>
      </c>
    </row>
    <row r="362" spans="3:5" x14ac:dyDescent="0.35">
      <c r="C362">
        <f t="shared" si="6"/>
        <v>2011</v>
      </c>
      <c r="D362" s="1">
        <v>40703</v>
      </c>
      <c r="E362">
        <v>39.104399999999998</v>
      </c>
    </row>
    <row r="363" spans="3:5" x14ac:dyDescent="0.35">
      <c r="C363">
        <f t="shared" si="6"/>
        <v>2011</v>
      </c>
      <c r="D363" s="1">
        <v>40704</v>
      </c>
      <c r="E363">
        <v>39.599499999999999</v>
      </c>
    </row>
    <row r="364" spans="3:5" x14ac:dyDescent="0.35">
      <c r="C364">
        <f t="shared" si="6"/>
        <v>2011</v>
      </c>
      <c r="D364" s="1">
        <v>40707</v>
      </c>
      <c r="E364">
        <v>40.1111</v>
      </c>
    </row>
    <row r="365" spans="3:5" x14ac:dyDescent="0.35">
      <c r="C365">
        <f t="shared" si="6"/>
        <v>2011</v>
      </c>
      <c r="D365" s="1">
        <v>40708</v>
      </c>
      <c r="E365">
        <v>39.023099999999999</v>
      </c>
    </row>
    <row r="366" spans="3:5" x14ac:dyDescent="0.35">
      <c r="C366">
        <f t="shared" si="6"/>
        <v>2011</v>
      </c>
      <c r="D366" s="1">
        <v>40709</v>
      </c>
      <c r="E366">
        <v>38.163600000000002</v>
      </c>
    </row>
    <row r="367" spans="3:5" x14ac:dyDescent="0.35">
      <c r="C367">
        <f t="shared" si="6"/>
        <v>2011</v>
      </c>
      <c r="D367" s="1">
        <v>40710</v>
      </c>
      <c r="E367">
        <v>37.516800000000003</v>
      </c>
    </row>
    <row r="368" spans="3:5" x14ac:dyDescent="0.35">
      <c r="C368">
        <f t="shared" si="6"/>
        <v>2011</v>
      </c>
      <c r="D368" s="1">
        <v>40711</v>
      </c>
      <c r="E368">
        <v>37.720100000000002</v>
      </c>
    </row>
    <row r="369" spans="3:5" x14ac:dyDescent="0.35">
      <c r="C369">
        <f t="shared" si="6"/>
        <v>2011</v>
      </c>
      <c r="D369" s="1">
        <v>40714</v>
      </c>
      <c r="E369">
        <v>38.111400000000003</v>
      </c>
    </row>
    <row r="370" spans="3:5" x14ac:dyDescent="0.35">
      <c r="C370">
        <f t="shared" si="6"/>
        <v>2011</v>
      </c>
      <c r="D370" s="1">
        <v>40715</v>
      </c>
      <c r="E370">
        <v>38.178100000000001</v>
      </c>
    </row>
    <row r="371" spans="3:5" x14ac:dyDescent="0.35">
      <c r="C371">
        <f t="shared" si="6"/>
        <v>2011</v>
      </c>
      <c r="D371" s="1">
        <v>40716</v>
      </c>
      <c r="E371">
        <v>37.460099999999997</v>
      </c>
    </row>
    <row r="372" spans="3:5" x14ac:dyDescent="0.35">
      <c r="C372">
        <f t="shared" si="6"/>
        <v>2011</v>
      </c>
      <c r="D372" s="1">
        <v>40717</v>
      </c>
      <c r="E372">
        <v>38.686700000000002</v>
      </c>
    </row>
    <row r="373" spans="3:5" x14ac:dyDescent="0.35">
      <c r="C373">
        <f t="shared" si="6"/>
        <v>2011</v>
      </c>
      <c r="D373" s="1">
        <v>40718</v>
      </c>
      <c r="E373">
        <v>39.409500000000001</v>
      </c>
    </row>
    <row r="374" spans="3:5" x14ac:dyDescent="0.35">
      <c r="C374">
        <f t="shared" si="6"/>
        <v>2011</v>
      </c>
      <c r="D374" s="1">
        <v>40721</v>
      </c>
      <c r="E374">
        <v>39.6111</v>
      </c>
    </row>
    <row r="375" spans="3:5" x14ac:dyDescent="0.35">
      <c r="C375">
        <f t="shared" si="6"/>
        <v>2011</v>
      </c>
      <c r="D375" s="1">
        <v>40722</v>
      </c>
      <c r="E375">
        <v>39.418999999999997</v>
      </c>
    </row>
    <row r="376" spans="3:5" x14ac:dyDescent="0.35">
      <c r="C376">
        <f t="shared" si="6"/>
        <v>2011</v>
      </c>
      <c r="D376" s="1">
        <v>40723</v>
      </c>
      <c r="E376">
        <v>38.655299999999997</v>
      </c>
    </row>
    <row r="377" spans="3:5" x14ac:dyDescent="0.35">
      <c r="C377">
        <f t="shared" si="6"/>
        <v>2011</v>
      </c>
      <c r="D377" s="1">
        <v>40724</v>
      </c>
      <c r="E377">
        <v>39.537199999999999</v>
      </c>
    </row>
    <row r="378" spans="3:5" x14ac:dyDescent="0.35">
      <c r="C378">
        <f t="shared" si="6"/>
        <v>2011</v>
      </c>
      <c r="D378" s="1">
        <v>40725</v>
      </c>
      <c r="E378">
        <v>40.137300000000003</v>
      </c>
    </row>
    <row r="379" spans="3:5" x14ac:dyDescent="0.35">
      <c r="C379">
        <f t="shared" si="6"/>
        <v>2011</v>
      </c>
      <c r="D379" s="1">
        <v>40729</v>
      </c>
      <c r="E379">
        <v>38.687899999999999</v>
      </c>
    </row>
    <row r="380" spans="3:5" x14ac:dyDescent="0.35">
      <c r="C380">
        <f t="shared" si="6"/>
        <v>2011</v>
      </c>
      <c r="D380" s="1">
        <v>40730</v>
      </c>
      <c r="E380">
        <v>37.909100000000002</v>
      </c>
    </row>
    <row r="381" spans="3:5" x14ac:dyDescent="0.35">
      <c r="C381">
        <f t="shared" si="6"/>
        <v>2011</v>
      </c>
      <c r="D381" s="1">
        <v>40731</v>
      </c>
      <c r="E381">
        <v>37.482599999999998</v>
      </c>
    </row>
    <row r="382" spans="3:5" x14ac:dyDescent="0.35">
      <c r="C382">
        <f t="shared" si="6"/>
        <v>2011</v>
      </c>
      <c r="D382" s="1">
        <v>40732</v>
      </c>
      <c r="E382">
        <v>37.349499999999999</v>
      </c>
    </row>
    <row r="383" spans="3:5" x14ac:dyDescent="0.35">
      <c r="C383">
        <f t="shared" si="6"/>
        <v>2011</v>
      </c>
      <c r="D383" s="1">
        <v>40735</v>
      </c>
      <c r="E383">
        <v>37.198399999999999</v>
      </c>
    </row>
    <row r="384" spans="3:5" x14ac:dyDescent="0.35">
      <c r="C384">
        <f t="shared" si="6"/>
        <v>2011</v>
      </c>
      <c r="D384" s="1">
        <v>40736</v>
      </c>
      <c r="E384">
        <v>36.209600000000002</v>
      </c>
    </row>
    <row r="385" spans="3:5" x14ac:dyDescent="0.35">
      <c r="C385">
        <f t="shared" si="6"/>
        <v>2011</v>
      </c>
      <c r="D385" s="1">
        <v>40737</v>
      </c>
      <c r="E385">
        <v>35.771799999999999</v>
      </c>
    </row>
    <row r="386" spans="3:5" x14ac:dyDescent="0.35">
      <c r="C386">
        <f t="shared" si="6"/>
        <v>2011</v>
      </c>
      <c r="D386" s="1">
        <v>40738</v>
      </c>
      <c r="E386">
        <v>35.434699999999999</v>
      </c>
    </row>
    <row r="387" spans="3:5" x14ac:dyDescent="0.35">
      <c r="C387">
        <f t="shared" ref="C387:C450" si="7">YEAR(D387)</f>
        <v>2011</v>
      </c>
      <c r="D387" s="1">
        <v>40739</v>
      </c>
      <c r="E387">
        <v>34.685600000000001</v>
      </c>
    </row>
    <row r="388" spans="3:5" x14ac:dyDescent="0.35">
      <c r="C388">
        <f t="shared" si="7"/>
        <v>2011</v>
      </c>
      <c r="D388" s="1">
        <v>40742</v>
      </c>
      <c r="E388">
        <v>33.336399999999998</v>
      </c>
    </row>
    <row r="389" spans="3:5" x14ac:dyDescent="0.35">
      <c r="C389">
        <f t="shared" si="7"/>
        <v>2011</v>
      </c>
      <c r="D389" s="1">
        <v>40743</v>
      </c>
      <c r="E389">
        <v>32.607100000000003</v>
      </c>
    </row>
    <row r="390" spans="3:5" x14ac:dyDescent="0.35">
      <c r="C390">
        <f t="shared" si="7"/>
        <v>2011</v>
      </c>
      <c r="D390" s="1">
        <v>40744</v>
      </c>
      <c r="E390">
        <v>32.3232</v>
      </c>
    </row>
    <row r="391" spans="3:5" x14ac:dyDescent="0.35">
      <c r="C391">
        <f t="shared" si="7"/>
        <v>2011</v>
      </c>
      <c r="D391" s="1">
        <v>40745</v>
      </c>
      <c r="E391">
        <v>31.585100000000001</v>
      </c>
    </row>
    <row r="392" spans="3:5" x14ac:dyDescent="0.35">
      <c r="C392">
        <f t="shared" si="7"/>
        <v>2011</v>
      </c>
      <c r="D392" s="1">
        <v>40746</v>
      </c>
      <c r="E392">
        <v>31.344200000000001</v>
      </c>
    </row>
    <row r="393" spans="3:5" x14ac:dyDescent="0.35">
      <c r="C393">
        <f t="shared" si="7"/>
        <v>2011</v>
      </c>
      <c r="D393" s="1">
        <v>40749</v>
      </c>
      <c r="E393">
        <v>30.9831</v>
      </c>
    </row>
    <row r="394" spans="3:5" x14ac:dyDescent="0.35">
      <c r="C394">
        <f t="shared" si="7"/>
        <v>2011</v>
      </c>
      <c r="D394" s="1">
        <v>40750</v>
      </c>
      <c r="E394">
        <v>30.8432</v>
      </c>
    </row>
    <row r="395" spans="3:5" x14ac:dyDescent="0.35">
      <c r="C395">
        <f t="shared" si="7"/>
        <v>2011</v>
      </c>
      <c r="D395" s="1">
        <v>40751</v>
      </c>
      <c r="E395">
        <v>31.184899999999999</v>
      </c>
    </row>
    <row r="396" spans="3:5" x14ac:dyDescent="0.35">
      <c r="C396">
        <f t="shared" si="7"/>
        <v>2011</v>
      </c>
      <c r="D396" s="1">
        <v>40752</v>
      </c>
      <c r="E396">
        <v>31.5547</v>
      </c>
    </row>
    <row r="397" spans="3:5" x14ac:dyDescent="0.35">
      <c r="C397">
        <f t="shared" si="7"/>
        <v>2011</v>
      </c>
      <c r="D397" s="1">
        <v>40753</v>
      </c>
      <c r="E397">
        <v>31.383299999999998</v>
      </c>
    </row>
    <row r="398" spans="3:5" x14ac:dyDescent="0.35">
      <c r="C398">
        <f t="shared" si="7"/>
        <v>2011</v>
      </c>
      <c r="D398" s="1">
        <v>40756</v>
      </c>
      <c r="E398">
        <v>30.903500000000001</v>
      </c>
    </row>
    <row r="399" spans="3:5" x14ac:dyDescent="0.35">
      <c r="C399">
        <f t="shared" si="7"/>
        <v>2011</v>
      </c>
      <c r="D399" s="1">
        <v>40757</v>
      </c>
      <c r="E399">
        <v>30.290400000000002</v>
      </c>
    </row>
    <row r="400" spans="3:5" x14ac:dyDescent="0.35">
      <c r="C400">
        <f t="shared" si="7"/>
        <v>2011</v>
      </c>
      <c r="D400" s="1">
        <v>40758</v>
      </c>
      <c r="E400">
        <v>29.166</v>
      </c>
    </row>
    <row r="401" spans="3:5" x14ac:dyDescent="0.35">
      <c r="C401">
        <f t="shared" si="7"/>
        <v>2011</v>
      </c>
      <c r="D401" s="1">
        <v>40759</v>
      </c>
      <c r="E401">
        <v>28.839500000000001</v>
      </c>
    </row>
    <row r="402" spans="3:5" x14ac:dyDescent="0.35">
      <c r="C402">
        <f t="shared" si="7"/>
        <v>2011</v>
      </c>
      <c r="D402" s="1">
        <v>40760</v>
      </c>
      <c r="E402">
        <v>26.5717</v>
      </c>
    </row>
    <row r="403" spans="3:5" x14ac:dyDescent="0.35">
      <c r="C403">
        <f t="shared" si="7"/>
        <v>2011</v>
      </c>
      <c r="D403" s="1">
        <v>40763</v>
      </c>
      <c r="E403">
        <v>23.319800000000001</v>
      </c>
    </row>
    <row r="404" spans="3:5" x14ac:dyDescent="0.35">
      <c r="C404">
        <f t="shared" si="7"/>
        <v>2011</v>
      </c>
      <c r="D404" s="1">
        <v>40764</v>
      </c>
      <c r="E404">
        <v>22.955400000000001</v>
      </c>
    </row>
    <row r="405" spans="3:5" x14ac:dyDescent="0.35">
      <c r="C405">
        <f t="shared" si="7"/>
        <v>2011</v>
      </c>
      <c r="D405" s="1">
        <v>40765</v>
      </c>
      <c r="E405">
        <v>21.736599999999999</v>
      </c>
    </row>
    <row r="406" spans="3:5" x14ac:dyDescent="0.35">
      <c r="C406">
        <f t="shared" si="7"/>
        <v>2011</v>
      </c>
      <c r="D406" s="1">
        <v>40766</v>
      </c>
      <c r="E406">
        <v>22.2209</v>
      </c>
    </row>
    <row r="407" spans="3:5" x14ac:dyDescent="0.35">
      <c r="C407">
        <f t="shared" si="7"/>
        <v>2011</v>
      </c>
      <c r="D407" s="1">
        <v>40767</v>
      </c>
      <c r="E407">
        <v>22.203099999999999</v>
      </c>
    </row>
    <row r="408" spans="3:5" x14ac:dyDescent="0.35">
      <c r="C408">
        <f t="shared" si="7"/>
        <v>2011</v>
      </c>
      <c r="D408" s="1">
        <v>40770</v>
      </c>
      <c r="E408">
        <v>22.0381</v>
      </c>
    </row>
    <row r="409" spans="3:5" x14ac:dyDescent="0.35">
      <c r="C409">
        <f t="shared" si="7"/>
        <v>2011</v>
      </c>
      <c r="D409" s="1">
        <v>40771</v>
      </c>
      <c r="E409">
        <v>21.5091</v>
      </c>
    </row>
    <row r="410" spans="3:5" x14ac:dyDescent="0.35">
      <c r="C410">
        <f t="shared" si="7"/>
        <v>2011</v>
      </c>
      <c r="D410" s="1">
        <v>40772</v>
      </c>
      <c r="E410">
        <v>21.527200000000001</v>
      </c>
    </row>
    <row r="411" spans="3:5" x14ac:dyDescent="0.35">
      <c r="C411">
        <f t="shared" si="7"/>
        <v>2011</v>
      </c>
      <c r="D411" s="1">
        <v>40773</v>
      </c>
      <c r="E411">
        <v>20.265799999999999</v>
      </c>
    </row>
    <row r="412" spans="3:5" x14ac:dyDescent="0.35">
      <c r="C412">
        <f t="shared" si="7"/>
        <v>2011</v>
      </c>
      <c r="D412" s="1">
        <v>40774</v>
      </c>
      <c r="E412">
        <v>19.693899999999999</v>
      </c>
    </row>
    <row r="413" spans="3:5" x14ac:dyDescent="0.35">
      <c r="C413">
        <f t="shared" si="7"/>
        <v>2011</v>
      </c>
      <c r="D413" s="1">
        <v>40777</v>
      </c>
      <c r="E413">
        <v>19.6068</v>
      </c>
    </row>
    <row r="414" spans="3:5" x14ac:dyDescent="0.35">
      <c r="C414">
        <f t="shared" si="7"/>
        <v>2011</v>
      </c>
      <c r="D414" s="1">
        <v>40778</v>
      </c>
      <c r="E414">
        <v>19.573399999999999</v>
      </c>
    </row>
    <row r="415" spans="3:5" x14ac:dyDescent="0.35">
      <c r="C415">
        <f t="shared" si="7"/>
        <v>2011</v>
      </c>
      <c r="D415" s="1">
        <v>40779</v>
      </c>
      <c r="E415">
        <v>20.924900000000001</v>
      </c>
    </row>
    <row r="416" spans="3:5" x14ac:dyDescent="0.35">
      <c r="C416">
        <f t="shared" si="7"/>
        <v>2011</v>
      </c>
      <c r="D416" s="1">
        <v>40780</v>
      </c>
      <c r="E416">
        <v>20.541599999999999</v>
      </c>
    </row>
    <row r="417" spans="3:5" x14ac:dyDescent="0.35">
      <c r="C417">
        <f t="shared" si="7"/>
        <v>2011</v>
      </c>
      <c r="D417" s="1">
        <v>40781</v>
      </c>
      <c r="E417">
        <v>20.555599999999998</v>
      </c>
    </row>
    <row r="418" spans="3:5" x14ac:dyDescent="0.35">
      <c r="C418">
        <f t="shared" si="7"/>
        <v>2011</v>
      </c>
      <c r="D418" s="1">
        <v>40784</v>
      </c>
      <c r="E418">
        <v>20.689599999999999</v>
      </c>
    </row>
    <row r="419" spans="3:5" x14ac:dyDescent="0.35">
      <c r="C419">
        <f t="shared" si="7"/>
        <v>2011</v>
      </c>
      <c r="D419" s="1">
        <v>40785</v>
      </c>
      <c r="E419">
        <v>20.464300000000001</v>
      </c>
    </row>
    <row r="420" spans="3:5" x14ac:dyDescent="0.35">
      <c r="C420">
        <f t="shared" si="7"/>
        <v>2011</v>
      </c>
      <c r="D420" s="1">
        <v>40786</v>
      </c>
      <c r="E420">
        <v>20.421700000000001</v>
      </c>
    </row>
    <row r="421" spans="3:5" x14ac:dyDescent="0.35">
      <c r="C421">
        <f t="shared" si="7"/>
        <v>2011</v>
      </c>
      <c r="D421" s="1">
        <v>40787</v>
      </c>
      <c r="E421">
        <v>20.648900000000001</v>
      </c>
    </row>
    <row r="422" spans="3:5" x14ac:dyDescent="0.35">
      <c r="C422">
        <f t="shared" si="7"/>
        <v>2011</v>
      </c>
      <c r="D422" s="1">
        <v>40788</v>
      </c>
      <c r="E422">
        <v>20.501100000000001</v>
      </c>
    </row>
    <row r="423" spans="3:5" x14ac:dyDescent="0.35">
      <c r="C423">
        <f t="shared" si="7"/>
        <v>2011</v>
      </c>
      <c r="D423" s="1">
        <v>40792</v>
      </c>
      <c r="E423">
        <v>19.8856</v>
      </c>
    </row>
    <row r="424" spans="3:5" x14ac:dyDescent="0.35">
      <c r="C424">
        <f t="shared" si="7"/>
        <v>2011</v>
      </c>
      <c r="D424" s="1">
        <v>40793</v>
      </c>
      <c r="E424">
        <v>21.446400000000001</v>
      </c>
    </row>
    <row r="425" spans="3:5" x14ac:dyDescent="0.35">
      <c r="C425">
        <f t="shared" si="7"/>
        <v>2011</v>
      </c>
      <c r="D425" s="1">
        <v>40794</v>
      </c>
      <c r="E425">
        <v>21.673300000000001</v>
      </c>
    </row>
    <row r="426" spans="3:5" x14ac:dyDescent="0.35">
      <c r="C426">
        <f t="shared" si="7"/>
        <v>2011</v>
      </c>
      <c r="D426" s="1">
        <v>40795</v>
      </c>
      <c r="E426">
        <v>21.703399999999998</v>
      </c>
    </row>
    <row r="427" spans="3:5" x14ac:dyDescent="0.35">
      <c r="C427">
        <f t="shared" si="7"/>
        <v>2011</v>
      </c>
      <c r="D427" s="1">
        <v>40798</v>
      </c>
      <c r="E427">
        <v>22.8993</v>
      </c>
    </row>
    <row r="428" spans="3:5" x14ac:dyDescent="0.35">
      <c r="C428">
        <f t="shared" si="7"/>
        <v>2011</v>
      </c>
      <c r="D428" s="1">
        <v>40799</v>
      </c>
      <c r="E428">
        <v>23.3032</v>
      </c>
    </row>
    <row r="429" spans="3:5" x14ac:dyDescent="0.35">
      <c r="C429">
        <f t="shared" si="7"/>
        <v>2011</v>
      </c>
      <c r="D429" s="1">
        <v>40800</v>
      </c>
      <c r="E429">
        <v>23.122800000000002</v>
      </c>
    </row>
    <row r="430" spans="3:5" x14ac:dyDescent="0.35">
      <c r="C430">
        <f t="shared" si="7"/>
        <v>2011</v>
      </c>
      <c r="D430" s="1">
        <v>40801</v>
      </c>
      <c r="E430">
        <v>23.6479</v>
      </c>
    </row>
    <row r="431" spans="3:5" x14ac:dyDescent="0.35">
      <c r="C431">
        <f t="shared" si="7"/>
        <v>2011</v>
      </c>
      <c r="D431" s="1">
        <v>40802</v>
      </c>
      <c r="E431">
        <v>23.399699999999999</v>
      </c>
    </row>
    <row r="432" spans="3:5" x14ac:dyDescent="0.35">
      <c r="C432">
        <f t="shared" si="7"/>
        <v>2011</v>
      </c>
      <c r="D432" s="1">
        <v>40805</v>
      </c>
      <c r="E432">
        <v>24.019500000000001</v>
      </c>
    </row>
    <row r="433" spans="3:5" x14ac:dyDescent="0.35">
      <c r="C433">
        <f t="shared" si="7"/>
        <v>2011</v>
      </c>
      <c r="D433" s="1">
        <v>40806</v>
      </c>
      <c r="E433">
        <v>23.808</v>
      </c>
    </row>
    <row r="434" spans="3:5" x14ac:dyDescent="0.35">
      <c r="C434">
        <f t="shared" si="7"/>
        <v>2011</v>
      </c>
      <c r="D434" s="1">
        <v>40807</v>
      </c>
      <c r="E434">
        <v>24.104500000000002</v>
      </c>
    </row>
    <row r="435" spans="3:5" x14ac:dyDescent="0.35">
      <c r="C435">
        <f t="shared" si="7"/>
        <v>2011</v>
      </c>
      <c r="D435" s="1">
        <v>40808</v>
      </c>
      <c r="E435">
        <v>23.3659</v>
      </c>
    </row>
    <row r="436" spans="3:5" x14ac:dyDescent="0.35">
      <c r="C436">
        <f t="shared" si="7"/>
        <v>2011</v>
      </c>
      <c r="D436" s="1">
        <v>40809</v>
      </c>
      <c r="E436">
        <v>23.441700000000001</v>
      </c>
    </row>
    <row r="437" spans="3:5" x14ac:dyDescent="0.35">
      <c r="C437">
        <f t="shared" si="7"/>
        <v>2011</v>
      </c>
      <c r="D437" s="1">
        <v>40812</v>
      </c>
      <c r="E437">
        <v>24.119299999999999</v>
      </c>
    </row>
    <row r="438" spans="3:5" x14ac:dyDescent="0.35">
      <c r="C438">
        <f t="shared" si="7"/>
        <v>2011</v>
      </c>
      <c r="D438" s="1">
        <v>40813</v>
      </c>
      <c r="E438">
        <v>23.3856</v>
      </c>
    </row>
    <row r="439" spans="3:5" x14ac:dyDescent="0.35">
      <c r="C439">
        <f t="shared" si="7"/>
        <v>2011</v>
      </c>
      <c r="D439" s="1">
        <v>40814</v>
      </c>
      <c r="E439">
        <v>24.707100000000001</v>
      </c>
    </row>
    <row r="440" spans="3:5" x14ac:dyDescent="0.35">
      <c r="C440">
        <f t="shared" si="7"/>
        <v>2011</v>
      </c>
      <c r="D440" s="1">
        <v>40815</v>
      </c>
      <c r="E440">
        <v>24.844100000000001</v>
      </c>
    </row>
    <row r="441" spans="3:5" x14ac:dyDescent="0.35">
      <c r="C441">
        <f t="shared" si="7"/>
        <v>2011</v>
      </c>
      <c r="D441" s="1">
        <v>40816</v>
      </c>
      <c r="E441">
        <v>24.542000000000002</v>
      </c>
    </row>
    <row r="442" spans="3:5" x14ac:dyDescent="0.35">
      <c r="C442">
        <f t="shared" si="7"/>
        <v>2011</v>
      </c>
      <c r="D442" s="1">
        <v>40819</v>
      </c>
      <c r="E442">
        <v>24.131</v>
      </c>
    </row>
    <row r="443" spans="3:5" x14ac:dyDescent="0.35">
      <c r="C443">
        <f t="shared" si="7"/>
        <v>2011</v>
      </c>
      <c r="D443" s="1">
        <v>40820</v>
      </c>
      <c r="E443">
        <v>23.250599999999999</v>
      </c>
    </row>
    <row r="444" spans="3:5" x14ac:dyDescent="0.35">
      <c r="C444">
        <f t="shared" si="7"/>
        <v>2011</v>
      </c>
      <c r="D444" s="1">
        <v>40821</v>
      </c>
      <c r="E444">
        <v>23.101600000000001</v>
      </c>
    </row>
    <row r="445" spans="3:5" x14ac:dyDescent="0.35">
      <c r="C445">
        <f t="shared" si="7"/>
        <v>2011</v>
      </c>
      <c r="D445" s="1">
        <v>40822</v>
      </c>
      <c r="E445">
        <v>22.785299999999999</v>
      </c>
    </row>
    <row r="446" spans="3:5" x14ac:dyDescent="0.35">
      <c r="C446">
        <f t="shared" si="7"/>
        <v>2011</v>
      </c>
      <c r="D446" s="1">
        <v>40823</v>
      </c>
      <c r="E446">
        <v>23.541399999999999</v>
      </c>
    </row>
    <row r="447" spans="3:5" x14ac:dyDescent="0.35">
      <c r="C447">
        <f t="shared" si="7"/>
        <v>2011</v>
      </c>
      <c r="D447" s="1">
        <v>40826</v>
      </c>
      <c r="E447">
        <v>22.787700000000001</v>
      </c>
    </row>
    <row r="448" spans="3:5" x14ac:dyDescent="0.35">
      <c r="C448">
        <f t="shared" si="7"/>
        <v>2011</v>
      </c>
      <c r="D448" s="1">
        <v>40827</v>
      </c>
      <c r="E448">
        <v>23.384599999999999</v>
      </c>
    </row>
    <row r="449" spans="3:5" x14ac:dyDescent="0.35">
      <c r="C449">
        <f t="shared" si="7"/>
        <v>2011</v>
      </c>
      <c r="D449" s="1">
        <v>40828</v>
      </c>
      <c r="E449">
        <v>23.111000000000001</v>
      </c>
    </row>
    <row r="450" spans="3:5" x14ac:dyDescent="0.35">
      <c r="C450">
        <f t="shared" si="7"/>
        <v>2011</v>
      </c>
      <c r="D450" s="1">
        <v>40829</v>
      </c>
      <c r="E450">
        <v>23.3933</v>
      </c>
    </row>
    <row r="451" spans="3:5" x14ac:dyDescent="0.35">
      <c r="C451">
        <f t="shared" ref="C451:C514" si="8">YEAR(D451)</f>
        <v>2011</v>
      </c>
      <c r="D451" s="1">
        <v>40830</v>
      </c>
      <c r="E451">
        <v>22.972899999999999</v>
      </c>
    </row>
    <row r="452" spans="3:5" x14ac:dyDescent="0.35">
      <c r="C452">
        <f t="shared" si="8"/>
        <v>2011</v>
      </c>
      <c r="D452" s="1">
        <v>40833</v>
      </c>
      <c r="E452">
        <v>22.8002</v>
      </c>
    </row>
    <row r="453" spans="3:5" x14ac:dyDescent="0.35">
      <c r="C453">
        <f t="shared" si="8"/>
        <v>2011</v>
      </c>
      <c r="D453" s="1">
        <v>40834</v>
      </c>
      <c r="E453">
        <v>22.561299999999999</v>
      </c>
    </row>
    <row r="454" spans="3:5" x14ac:dyDescent="0.35">
      <c r="C454">
        <f t="shared" si="8"/>
        <v>2011</v>
      </c>
      <c r="D454" s="1">
        <v>40835</v>
      </c>
      <c r="E454">
        <v>22.323499999999999</v>
      </c>
    </row>
    <row r="455" spans="3:5" x14ac:dyDescent="0.35">
      <c r="C455">
        <f t="shared" si="8"/>
        <v>2011</v>
      </c>
      <c r="D455" s="1">
        <v>40836</v>
      </c>
      <c r="E455">
        <v>22.3916</v>
      </c>
    </row>
    <row r="456" spans="3:5" x14ac:dyDescent="0.35">
      <c r="C456">
        <f t="shared" si="8"/>
        <v>2011</v>
      </c>
      <c r="D456" s="1">
        <v>40837</v>
      </c>
      <c r="E456">
        <v>22.623799999999999</v>
      </c>
    </row>
    <row r="457" spans="3:5" x14ac:dyDescent="0.35">
      <c r="C457">
        <f t="shared" si="8"/>
        <v>2011</v>
      </c>
      <c r="D457" s="1">
        <v>40840</v>
      </c>
      <c r="E457">
        <v>22.553799999999999</v>
      </c>
    </row>
    <row r="458" spans="3:5" x14ac:dyDescent="0.35">
      <c r="C458">
        <f t="shared" si="8"/>
        <v>2011</v>
      </c>
      <c r="D458" s="1">
        <v>40841</v>
      </c>
      <c r="E458">
        <v>22.4894</v>
      </c>
    </row>
    <row r="459" spans="3:5" x14ac:dyDescent="0.35">
      <c r="C459">
        <f t="shared" si="8"/>
        <v>2011</v>
      </c>
      <c r="D459" s="1">
        <v>40842</v>
      </c>
      <c r="E459">
        <v>22.102799999999998</v>
      </c>
    </row>
    <row r="460" spans="3:5" x14ac:dyDescent="0.35">
      <c r="C460">
        <f t="shared" si="8"/>
        <v>2011</v>
      </c>
      <c r="D460" s="1">
        <v>40843</v>
      </c>
      <c r="E460">
        <v>22.833300000000001</v>
      </c>
    </row>
    <row r="461" spans="3:5" x14ac:dyDescent="0.35">
      <c r="C461">
        <f t="shared" si="8"/>
        <v>2011</v>
      </c>
      <c r="D461" s="1">
        <v>40844</v>
      </c>
      <c r="E461">
        <v>23.3401</v>
      </c>
    </row>
    <row r="462" spans="3:5" x14ac:dyDescent="0.35">
      <c r="C462">
        <f t="shared" si="8"/>
        <v>2011</v>
      </c>
      <c r="D462" s="1">
        <v>40847</v>
      </c>
      <c r="E462">
        <v>22.9663</v>
      </c>
    </row>
    <row r="463" spans="3:5" x14ac:dyDescent="0.35">
      <c r="C463">
        <f t="shared" si="8"/>
        <v>2011</v>
      </c>
      <c r="D463" s="1">
        <v>40848</v>
      </c>
      <c r="E463">
        <v>22.175799999999999</v>
      </c>
    </row>
    <row r="464" spans="3:5" x14ac:dyDescent="0.35">
      <c r="C464">
        <f t="shared" si="8"/>
        <v>2011</v>
      </c>
      <c r="D464" s="1">
        <v>40849</v>
      </c>
      <c r="E464">
        <v>21.73</v>
      </c>
    </row>
    <row r="465" spans="3:5" x14ac:dyDescent="0.35">
      <c r="C465">
        <f t="shared" si="8"/>
        <v>2011</v>
      </c>
      <c r="D465" s="1">
        <v>40850</v>
      </c>
      <c r="E465">
        <v>21.6205</v>
      </c>
    </row>
    <row r="466" spans="3:5" x14ac:dyDescent="0.35">
      <c r="C466">
        <f t="shared" si="8"/>
        <v>2011</v>
      </c>
      <c r="D466" s="1">
        <v>40851</v>
      </c>
      <c r="E466">
        <v>21.8123</v>
      </c>
    </row>
    <row r="467" spans="3:5" x14ac:dyDescent="0.35">
      <c r="C467">
        <f t="shared" si="8"/>
        <v>2011</v>
      </c>
      <c r="D467" s="1">
        <v>40854</v>
      </c>
      <c r="E467">
        <v>21.2621</v>
      </c>
    </row>
    <row r="468" spans="3:5" x14ac:dyDescent="0.35">
      <c r="C468">
        <f t="shared" si="8"/>
        <v>2011</v>
      </c>
      <c r="D468" s="1">
        <v>40855</v>
      </c>
      <c r="E468">
        <v>21.010200000000001</v>
      </c>
    </row>
    <row r="469" spans="3:5" x14ac:dyDescent="0.35">
      <c r="C469">
        <f t="shared" si="8"/>
        <v>2011</v>
      </c>
      <c r="D469" s="1">
        <v>40856</v>
      </c>
      <c r="E469">
        <v>21.1829</v>
      </c>
    </row>
    <row r="470" spans="3:5" x14ac:dyDescent="0.35">
      <c r="C470">
        <f t="shared" si="8"/>
        <v>2011</v>
      </c>
      <c r="D470" s="1">
        <v>40857</v>
      </c>
      <c r="E470">
        <v>20.765799999999999</v>
      </c>
    </row>
    <row r="471" spans="3:5" x14ac:dyDescent="0.35">
      <c r="C471">
        <f t="shared" si="8"/>
        <v>2011</v>
      </c>
      <c r="D471" s="1">
        <v>40858</v>
      </c>
      <c r="E471">
        <v>20.6173</v>
      </c>
    </row>
    <row r="472" spans="3:5" x14ac:dyDescent="0.35">
      <c r="C472">
        <f t="shared" si="8"/>
        <v>2011</v>
      </c>
      <c r="D472" s="1">
        <v>40861</v>
      </c>
      <c r="E472">
        <v>21.5776</v>
      </c>
    </row>
    <row r="473" spans="3:5" x14ac:dyDescent="0.35">
      <c r="C473">
        <f t="shared" si="8"/>
        <v>2011</v>
      </c>
      <c r="D473" s="1">
        <v>40862</v>
      </c>
      <c r="E473">
        <v>22.0077</v>
      </c>
    </row>
    <row r="474" spans="3:5" x14ac:dyDescent="0.35">
      <c r="C474">
        <f t="shared" si="8"/>
        <v>2011</v>
      </c>
      <c r="D474" s="1">
        <v>40863</v>
      </c>
      <c r="E474">
        <v>22.0503</v>
      </c>
    </row>
    <row r="475" spans="3:5" x14ac:dyDescent="0.35">
      <c r="C475">
        <f t="shared" si="8"/>
        <v>2011</v>
      </c>
      <c r="D475" s="1">
        <v>40864</v>
      </c>
      <c r="E475">
        <v>22.538599999999999</v>
      </c>
    </row>
    <row r="476" spans="3:5" x14ac:dyDescent="0.35">
      <c r="C476">
        <f t="shared" si="8"/>
        <v>2011</v>
      </c>
      <c r="D476" s="1">
        <v>40865</v>
      </c>
      <c r="E476">
        <v>21.837700000000002</v>
      </c>
    </row>
    <row r="477" spans="3:5" x14ac:dyDescent="0.35">
      <c r="C477">
        <f t="shared" si="8"/>
        <v>2011</v>
      </c>
      <c r="D477" s="1">
        <v>40868</v>
      </c>
      <c r="E477">
        <v>21.1859</v>
      </c>
    </row>
    <row r="478" spans="3:5" x14ac:dyDescent="0.35">
      <c r="C478">
        <f t="shared" si="8"/>
        <v>2011</v>
      </c>
      <c r="D478" s="1">
        <v>40869</v>
      </c>
      <c r="E478">
        <v>20.528600000000001</v>
      </c>
    </row>
    <row r="479" spans="3:5" x14ac:dyDescent="0.35">
      <c r="C479">
        <f t="shared" si="8"/>
        <v>2011</v>
      </c>
      <c r="D479" s="1">
        <v>40870</v>
      </c>
      <c r="E479">
        <v>20.349299999999999</v>
      </c>
    </row>
    <row r="480" spans="3:5" x14ac:dyDescent="0.35">
      <c r="C480">
        <f t="shared" si="8"/>
        <v>2011</v>
      </c>
      <c r="D480" s="1">
        <v>40872</v>
      </c>
      <c r="E480">
        <v>19.839200000000002</v>
      </c>
    </row>
    <row r="481" spans="3:5" x14ac:dyDescent="0.35">
      <c r="C481">
        <f t="shared" si="8"/>
        <v>2011</v>
      </c>
      <c r="D481" s="1">
        <v>40875</v>
      </c>
      <c r="E481">
        <v>19.8111</v>
      </c>
    </row>
    <row r="482" spans="3:5" x14ac:dyDescent="0.35">
      <c r="C482">
        <f t="shared" si="8"/>
        <v>2011</v>
      </c>
      <c r="D482" s="1">
        <v>40876</v>
      </c>
      <c r="E482">
        <v>19.546800000000001</v>
      </c>
    </row>
    <row r="483" spans="3:5" x14ac:dyDescent="0.35">
      <c r="C483">
        <f t="shared" si="8"/>
        <v>2011</v>
      </c>
      <c r="D483" s="1">
        <v>40877</v>
      </c>
      <c r="E483">
        <v>19.850300000000001</v>
      </c>
    </row>
    <row r="484" spans="3:5" x14ac:dyDescent="0.35">
      <c r="C484">
        <f t="shared" si="8"/>
        <v>2011</v>
      </c>
      <c r="D484" s="1">
        <v>40878</v>
      </c>
      <c r="E484">
        <v>20.241700000000002</v>
      </c>
    </row>
    <row r="485" spans="3:5" x14ac:dyDescent="0.35">
      <c r="C485">
        <f t="shared" si="8"/>
        <v>2011</v>
      </c>
      <c r="D485" s="1">
        <v>40879</v>
      </c>
      <c r="E485">
        <v>20.008099999999999</v>
      </c>
    </row>
    <row r="486" spans="3:5" x14ac:dyDescent="0.35">
      <c r="C486">
        <f t="shared" si="8"/>
        <v>2011</v>
      </c>
      <c r="D486" s="1">
        <v>40882</v>
      </c>
      <c r="E486">
        <v>20.39</v>
      </c>
    </row>
    <row r="487" spans="3:5" x14ac:dyDescent="0.35">
      <c r="C487">
        <f t="shared" si="8"/>
        <v>2011</v>
      </c>
      <c r="D487" s="1">
        <v>40883</v>
      </c>
      <c r="E487">
        <v>20.074300000000001</v>
      </c>
    </row>
    <row r="488" spans="3:5" x14ac:dyDescent="0.35">
      <c r="C488">
        <f t="shared" si="8"/>
        <v>2011</v>
      </c>
      <c r="D488" s="1">
        <v>40884</v>
      </c>
      <c r="E488">
        <v>19.997199999999999</v>
      </c>
    </row>
    <row r="489" spans="3:5" x14ac:dyDescent="0.35">
      <c r="C489">
        <f t="shared" si="8"/>
        <v>2011</v>
      </c>
      <c r="D489" s="1">
        <v>40885</v>
      </c>
      <c r="E489">
        <v>19.8034</v>
      </c>
    </row>
    <row r="490" spans="3:5" x14ac:dyDescent="0.35">
      <c r="C490">
        <f t="shared" si="8"/>
        <v>2011</v>
      </c>
      <c r="D490" s="1">
        <v>40886</v>
      </c>
      <c r="E490">
        <v>19.654800000000002</v>
      </c>
    </row>
    <row r="491" spans="3:5" x14ac:dyDescent="0.35">
      <c r="C491">
        <f t="shared" si="8"/>
        <v>2011</v>
      </c>
      <c r="D491" s="1">
        <v>40889</v>
      </c>
      <c r="E491">
        <v>19.782699999999998</v>
      </c>
    </row>
    <row r="492" spans="3:5" x14ac:dyDescent="0.35">
      <c r="C492">
        <f t="shared" si="8"/>
        <v>2011</v>
      </c>
      <c r="D492" s="1">
        <v>40890</v>
      </c>
      <c r="E492">
        <v>19.7303</v>
      </c>
    </row>
    <row r="493" spans="3:5" x14ac:dyDescent="0.35">
      <c r="C493">
        <f t="shared" si="8"/>
        <v>2011</v>
      </c>
      <c r="D493" s="1">
        <v>40891</v>
      </c>
      <c r="E493">
        <v>19.430499999999999</v>
      </c>
    </row>
    <row r="494" spans="3:5" x14ac:dyDescent="0.35">
      <c r="C494">
        <f t="shared" si="8"/>
        <v>2011</v>
      </c>
      <c r="D494" s="1">
        <v>40892</v>
      </c>
      <c r="E494">
        <v>19.967700000000001</v>
      </c>
    </row>
    <row r="495" spans="3:5" x14ac:dyDescent="0.35">
      <c r="C495">
        <f t="shared" si="8"/>
        <v>2011</v>
      </c>
      <c r="D495" s="1">
        <v>40893</v>
      </c>
      <c r="E495">
        <v>20.234200000000001</v>
      </c>
    </row>
    <row r="496" spans="3:5" x14ac:dyDescent="0.35">
      <c r="C496">
        <f t="shared" si="8"/>
        <v>2011</v>
      </c>
      <c r="D496" s="1">
        <v>40896</v>
      </c>
      <c r="E496">
        <v>19.808700000000002</v>
      </c>
    </row>
    <row r="497" spans="3:5" x14ac:dyDescent="0.35">
      <c r="C497">
        <f t="shared" si="8"/>
        <v>2011</v>
      </c>
      <c r="D497" s="1">
        <v>40897</v>
      </c>
      <c r="E497">
        <v>19.909700000000001</v>
      </c>
    </row>
    <row r="498" spans="3:5" x14ac:dyDescent="0.35">
      <c r="C498">
        <f t="shared" si="8"/>
        <v>2011</v>
      </c>
      <c r="D498" s="1">
        <v>40898</v>
      </c>
      <c r="E498">
        <v>19.783300000000001</v>
      </c>
    </row>
    <row r="499" spans="3:5" x14ac:dyDescent="0.35">
      <c r="C499">
        <f t="shared" si="8"/>
        <v>2011</v>
      </c>
      <c r="D499" s="1">
        <v>40899</v>
      </c>
      <c r="E499">
        <v>19.8139</v>
      </c>
    </row>
    <row r="500" spans="3:5" x14ac:dyDescent="0.35">
      <c r="C500">
        <f t="shared" si="8"/>
        <v>2011</v>
      </c>
      <c r="D500" s="1">
        <v>40900</v>
      </c>
      <c r="E500">
        <v>19.823599999999999</v>
      </c>
    </row>
    <row r="501" spans="3:5" x14ac:dyDescent="0.35">
      <c r="C501">
        <f t="shared" si="8"/>
        <v>2011</v>
      </c>
      <c r="D501" s="1">
        <v>40904</v>
      </c>
      <c r="E501">
        <v>19.750399999999999</v>
      </c>
    </row>
    <row r="502" spans="3:5" x14ac:dyDescent="0.35">
      <c r="C502">
        <f t="shared" si="8"/>
        <v>2011</v>
      </c>
      <c r="D502" s="1">
        <v>40905</v>
      </c>
      <c r="E502">
        <v>19.707699999999999</v>
      </c>
    </row>
    <row r="503" spans="3:5" x14ac:dyDescent="0.35">
      <c r="C503">
        <f t="shared" si="8"/>
        <v>2011</v>
      </c>
      <c r="D503" s="1">
        <v>40906</v>
      </c>
      <c r="E503">
        <v>19.596699999999998</v>
      </c>
    </row>
    <row r="504" spans="3:5" x14ac:dyDescent="0.35">
      <c r="C504">
        <f t="shared" si="8"/>
        <v>2011</v>
      </c>
      <c r="D504" s="1">
        <v>40907</v>
      </c>
      <c r="E504">
        <v>19.208600000000001</v>
      </c>
    </row>
    <row r="505" spans="3:5" x14ac:dyDescent="0.35">
      <c r="C505">
        <f t="shared" si="8"/>
        <v>2012</v>
      </c>
      <c r="D505" s="1">
        <v>40911</v>
      </c>
      <c r="E505">
        <v>19.795000000000002</v>
      </c>
    </row>
    <row r="506" spans="3:5" x14ac:dyDescent="0.35">
      <c r="C506">
        <f t="shared" si="8"/>
        <v>2012</v>
      </c>
      <c r="D506" s="1">
        <v>40912</v>
      </c>
      <c r="E506">
        <v>19.27</v>
      </c>
    </row>
    <row r="507" spans="3:5" x14ac:dyDescent="0.35">
      <c r="C507">
        <f t="shared" si="8"/>
        <v>2012</v>
      </c>
      <c r="D507" s="1">
        <v>40913</v>
      </c>
      <c r="E507">
        <v>18.761800000000001</v>
      </c>
    </row>
    <row r="508" spans="3:5" x14ac:dyDescent="0.35">
      <c r="C508">
        <f t="shared" si="8"/>
        <v>2012</v>
      </c>
      <c r="D508" s="1">
        <v>40914</v>
      </c>
      <c r="E508">
        <v>18.344899999999999</v>
      </c>
    </row>
    <row r="509" spans="3:5" x14ac:dyDescent="0.35">
      <c r="C509">
        <f t="shared" si="8"/>
        <v>2012</v>
      </c>
      <c r="D509" s="1">
        <v>40917</v>
      </c>
      <c r="E509">
        <v>17.9039</v>
      </c>
    </row>
    <row r="510" spans="3:5" x14ac:dyDescent="0.35">
      <c r="C510">
        <f t="shared" si="8"/>
        <v>2012</v>
      </c>
      <c r="D510" s="1">
        <v>40918</v>
      </c>
      <c r="E510">
        <v>18.021899999999999</v>
      </c>
    </row>
    <row r="511" spans="3:5" x14ac:dyDescent="0.35">
      <c r="C511">
        <f t="shared" si="8"/>
        <v>2012</v>
      </c>
      <c r="D511" s="1">
        <v>40919</v>
      </c>
      <c r="E511">
        <v>18.198699999999999</v>
      </c>
    </row>
    <row r="512" spans="3:5" x14ac:dyDescent="0.35">
      <c r="C512">
        <f t="shared" si="8"/>
        <v>2012</v>
      </c>
      <c r="D512" s="1">
        <v>40920</v>
      </c>
      <c r="E512">
        <v>18.784500000000001</v>
      </c>
    </row>
    <row r="513" spans="3:5" x14ac:dyDescent="0.35">
      <c r="C513">
        <f t="shared" si="8"/>
        <v>2012</v>
      </c>
      <c r="D513" s="1">
        <v>40921</v>
      </c>
      <c r="E513">
        <v>18.454000000000001</v>
      </c>
    </row>
    <row r="514" spans="3:5" x14ac:dyDescent="0.35">
      <c r="C514">
        <f t="shared" si="8"/>
        <v>2012</v>
      </c>
      <c r="D514" s="1">
        <v>40925</v>
      </c>
      <c r="E514">
        <v>18.813500000000001</v>
      </c>
    </row>
    <row r="515" spans="3:5" x14ac:dyDescent="0.35">
      <c r="C515">
        <f t="shared" ref="C515:C578" si="9">YEAR(D515)</f>
        <v>2012</v>
      </c>
      <c r="D515" s="1">
        <v>40926</v>
      </c>
      <c r="E515">
        <v>19.311699999999998</v>
      </c>
    </row>
    <row r="516" spans="3:5" x14ac:dyDescent="0.35">
      <c r="C516">
        <f t="shared" si="9"/>
        <v>2012</v>
      </c>
      <c r="D516" s="1">
        <v>40927</v>
      </c>
      <c r="E516">
        <v>19.388100000000001</v>
      </c>
    </row>
    <row r="517" spans="3:5" x14ac:dyDescent="0.35">
      <c r="C517">
        <f t="shared" si="9"/>
        <v>2012</v>
      </c>
      <c r="D517" s="1">
        <v>40928</v>
      </c>
      <c r="E517">
        <v>19.501799999999999</v>
      </c>
    </row>
    <row r="518" spans="3:5" x14ac:dyDescent="0.35">
      <c r="C518">
        <f t="shared" si="9"/>
        <v>2012</v>
      </c>
      <c r="D518" s="1">
        <v>40931</v>
      </c>
      <c r="E518">
        <v>19.975200000000001</v>
      </c>
    </row>
    <row r="519" spans="3:5" x14ac:dyDescent="0.35">
      <c r="C519">
        <f t="shared" si="9"/>
        <v>2012</v>
      </c>
      <c r="D519" s="1">
        <v>40932</v>
      </c>
      <c r="E519">
        <v>19.7758</v>
      </c>
    </row>
    <row r="520" spans="3:5" x14ac:dyDescent="0.35">
      <c r="C520">
        <f t="shared" si="9"/>
        <v>2012</v>
      </c>
      <c r="D520" s="1">
        <v>40933</v>
      </c>
      <c r="E520">
        <v>19.243300000000001</v>
      </c>
    </row>
    <row r="521" spans="3:5" x14ac:dyDescent="0.35">
      <c r="C521">
        <f t="shared" si="9"/>
        <v>2012</v>
      </c>
      <c r="D521" s="1">
        <v>40934</v>
      </c>
      <c r="E521">
        <v>20.144200000000001</v>
      </c>
    </row>
    <row r="522" spans="3:5" x14ac:dyDescent="0.35">
      <c r="C522">
        <f t="shared" si="9"/>
        <v>2012</v>
      </c>
      <c r="D522" s="1">
        <v>40935</v>
      </c>
      <c r="E522">
        <v>20.300699999999999</v>
      </c>
    </row>
    <row r="523" spans="3:5" x14ac:dyDescent="0.35">
      <c r="C523">
        <f t="shared" si="9"/>
        <v>2012</v>
      </c>
      <c r="D523" s="1">
        <v>40938</v>
      </c>
      <c r="E523">
        <v>20.889500000000002</v>
      </c>
    </row>
    <row r="524" spans="3:5" x14ac:dyDescent="0.35">
      <c r="C524">
        <f t="shared" si="9"/>
        <v>2012</v>
      </c>
      <c r="D524" s="1">
        <v>40939</v>
      </c>
      <c r="E524">
        <v>20.4773</v>
      </c>
    </row>
    <row r="525" spans="3:5" x14ac:dyDescent="0.35">
      <c r="C525">
        <f t="shared" si="9"/>
        <v>2012</v>
      </c>
      <c r="D525" s="1">
        <v>40940</v>
      </c>
      <c r="E525">
        <v>21.811299999999999</v>
      </c>
    </row>
    <row r="526" spans="3:5" x14ac:dyDescent="0.35">
      <c r="C526">
        <f t="shared" si="9"/>
        <v>2012</v>
      </c>
      <c r="D526" s="1">
        <v>40941</v>
      </c>
      <c r="E526">
        <v>23.164100000000001</v>
      </c>
    </row>
    <row r="527" spans="3:5" x14ac:dyDescent="0.35">
      <c r="C527">
        <f t="shared" si="9"/>
        <v>2012</v>
      </c>
      <c r="D527" s="1">
        <v>40942</v>
      </c>
      <c r="E527">
        <v>23.9209</v>
      </c>
    </row>
    <row r="528" spans="3:5" x14ac:dyDescent="0.35">
      <c r="C528">
        <f t="shared" si="9"/>
        <v>2012</v>
      </c>
      <c r="D528" s="1">
        <v>40945</v>
      </c>
      <c r="E528">
        <v>24.907900000000001</v>
      </c>
    </row>
    <row r="529" spans="3:5" x14ac:dyDescent="0.35">
      <c r="C529">
        <f t="shared" si="9"/>
        <v>2012</v>
      </c>
      <c r="D529" s="1">
        <v>40946</v>
      </c>
      <c r="E529">
        <v>24.2425</v>
      </c>
    </row>
    <row r="530" spans="3:5" x14ac:dyDescent="0.35">
      <c r="C530">
        <f t="shared" si="9"/>
        <v>2012</v>
      </c>
      <c r="D530" s="1">
        <v>40947</v>
      </c>
      <c r="E530">
        <v>24.802900000000001</v>
      </c>
    </row>
    <row r="531" spans="3:5" x14ac:dyDescent="0.35">
      <c r="C531">
        <f t="shared" si="9"/>
        <v>2012</v>
      </c>
      <c r="D531" s="1">
        <v>40948</v>
      </c>
      <c r="E531">
        <v>23.632300000000001</v>
      </c>
    </row>
    <row r="532" spans="3:5" x14ac:dyDescent="0.35">
      <c r="C532">
        <f t="shared" si="9"/>
        <v>2012</v>
      </c>
      <c r="D532" s="1">
        <v>40949</v>
      </c>
      <c r="E532">
        <v>23.658899999999999</v>
      </c>
    </row>
    <row r="533" spans="3:5" x14ac:dyDescent="0.35">
      <c r="C533">
        <f t="shared" si="9"/>
        <v>2012</v>
      </c>
      <c r="D533" s="1">
        <v>40952</v>
      </c>
      <c r="E533">
        <v>24.366700000000002</v>
      </c>
    </row>
    <row r="534" spans="3:5" x14ac:dyDescent="0.35">
      <c r="C534">
        <f t="shared" si="9"/>
        <v>2012</v>
      </c>
      <c r="D534" s="1">
        <v>40953</v>
      </c>
      <c r="E534">
        <v>23.906600000000001</v>
      </c>
    </row>
    <row r="535" spans="3:5" x14ac:dyDescent="0.35">
      <c r="C535">
        <f t="shared" si="9"/>
        <v>2012</v>
      </c>
      <c r="D535" s="1">
        <v>40954</v>
      </c>
      <c r="E535">
        <v>24.111799999999999</v>
      </c>
    </row>
    <row r="536" spans="3:5" x14ac:dyDescent="0.35">
      <c r="C536">
        <f t="shared" si="9"/>
        <v>2012</v>
      </c>
      <c r="D536" s="1">
        <v>40955</v>
      </c>
      <c r="E536">
        <v>23.987300000000001</v>
      </c>
    </row>
    <row r="537" spans="3:5" x14ac:dyDescent="0.35">
      <c r="C537">
        <f t="shared" si="9"/>
        <v>2012</v>
      </c>
      <c r="D537" s="1">
        <v>40956</v>
      </c>
      <c r="E537">
        <v>24.585100000000001</v>
      </c>
    </row>
    <row r="538" spans="3:5" x14ac:dyDescent="0.35">
      <c r="C538">
        <f t="shared" si="9"/>
        <v>2012</v>
      </c>
      <c r="D538" s="1">
        <v>40960</v>
      </c>
      <c r="E538">
        <v>25.427900000000001</v>
      </c>
    </row>
    <row r="539" spans="3:5" x14ac:dyDescent="0.35">
      <c r="C539">
        <f t="shared" si="9"/>
        <v>2012</v>
      </c>
      <c r="D539" s="1">
        <v>40961</v>
      </c>
      <c r="E539">
        <v>24.349</v>
      </c>
    </row>
    <row r="540" spans="3:5" x14ac:dyDescent="0.35">
      <c r="C540">
        <f t="shared" si="9"/>
        <v>2012</v>
      </c>
      <c r="D540" s="1">
        <v>40962</v>
      </c>
      <c r="E540">
        <v>23.4649</v>
      </c>
    </row>
    <row r="541" spans="3:5" x14ac:dyDescent="0.35">
      <c r="C541">
        <f t="shared" si="9"/>
        <v>2012</v>
      </c>
      <c r="D541" s="1">
        <v>40963</v>
      </c>
      <c r="E541">
        <v>23.6005</v>
      </c>
    </row>
    <row r="542" spans="3:5" x14ac:dyDescent="0.35">
      <c r="C542">
        <f t="shared" si="9"/>
        <v>2012</v>
      </c>
      <c r="D542" s="1">
        <v>40966</v>
      </c>
      <c r="E542">
        <v>22.247499999999999</v>
      </c>
    </row>
    <row r="543" spans="3:5" x14ac:dyDescent="0.35">
      <c r="C543">
        <f t="shared" si="9"/>
        <v>2012</v>
      </c>
      <c r="D543" s="1">
        <v>40967</v>
      </c>
      <c r="E543">
        <v>22.5642</v>
      </c>
    </row>
    <row r="544" spans="3:5" x14ac:dyDescent="0.35">
      <c r="C544">
        <f t="shared" si="9"/>
        <v>2012</v>
      </c>
      <c r="D544" s="1">
        <v>40968</v>
      </c>
      <c r="E544">
        <v>24.035900000000002</v>
      </c>
    </row>
    <row r="545" spans="3:5" x14ac:dyDescent="0.35">
      <c r="C545">
        <f t="shared" si="9"/>
        <v>2012</v>
      </c>
      <c r="D545" s="1">
        <v>40969</v>
      </c>
      <c r="E545">
        <v>23.6372</v>
      </c>
    </row>
    <row r="546" spans="3:5" x14ac:dyDescent="0.35">
      <c r="C546">
        <f t="shared" si="9"/>
        <v>2012</v>
      </c>
      <c r="D546" s="1">
        <v>40970</v>
      </c>
      <c r="E546">
        <v>23.6721</v>
      </c>
    </row>
    <row r="547" spans="3:5" x14ac:dyDescent="0.35">
      <c r="C547">
        <f t="shared" si="9"/>
        <v>2012</v>
      </c>
      <c r="D547" s="1">
        <v>40973</v>
      </c>
      <c r="E547">
        <v>22.921800000000001</v>
      </c>
    </row>
    <row r="548" spans="3:5" x14ac:dyDescent="0.35">
      <c r="C548">
        <f t="shared" si="9"/>
        <v>2012</v>
      </c>
      <c r="D548" s="1">
        <v>40974</v>
      </c>
      <c r="E548">
        <v>23.2163</v>
      </c>
    </row>
    <row r="549" spans="3:5" x14ac:dyDescent="0.35">
      <c r="C549">
        <f t="shared" si="9"/>
        <v>2012</v>
      </c>
      <c r="D549" s="1">
        <v>40975</v>
      </c>
      <c r="E549">
        <v>22.962599999999998</v>
      </c>
    </row>
    <row r="550" spans="3:5" x14ac:dyDescent="0.35">
      <c r="C550">
        <f t="shared" si="9"/>
        <v>2012</v>
      </c>
      <c r="D550" s="1">
        <v>40976</v>
      </c>
      <c r="E550">
        <v>22.729299999999999</v>
      </c>
    </row>
    <row r="551" spans="3:5" x14ac:dyDescent="0.35">
      <c r="C551">
        <f t="shared" si="9"/>
        <v>2012</v>
      </c>
      <c r="D551" s="1">
        <v>40977</v>
      </c>
      <c r="E551">
        <v>22.454799999999999</v>
      </c>
    </row>
    <row r="552" spans="3:5" x14ac:dyDescent="0.35">
      <c r="C552">
        <f t="shared" si="9"/>
        <v>2012</v>
      </c>
      <c r="D552" s="1">
        <v>40980</v>
      </c>
      <c r="E552">
        <v>22.118400000000001</v>
      </c>
    </row>
    <row r="553" spans="3:5" x14ac:dyDescent="0.35">
      <c r="C553">
        <f t="shared" si="9"/>
        <v>2012</v>
      </c>
      <c r="D553" s="1">
        <v>40981</v>
      </c>
      <c r="E553">
        <v>22.0838</v>
      </c>
    </row>
    <row r="554" spans="3:5" x14ac:dyDescent="0.35">
      <c r="C554">
        <f t="shared" si="9"/>
        <v>2012</v>
      </c>
      <c r="D554" s="1">
        <v>40982</v>
      </c>
      <c r="E554">
        <v>23.4224</v>
      </c>
    </row>
    <row r="555" spans="3:5" x14ac:dyDescent="0.35">
      <c r="C555">
        <f t="shared" si="9"/>
        <v>2012</v>
      </c>
      <c r="D555" s="1">
        <v>40983</v>
      </c>
      <c r="E555">
        <v>23.478100000000001</v>
      </c>
    </row>
    <row r="556" spans="3:5" x14ac:dyDescent="0.35">
      <c r="C556">
        <f t="shared" si="9"/>
        <v>2012</v>
      </c>
      <c r="D556" s="1">
        <v>40984</v>
      </c>
      <c r="E556">
        <v>24.112500000000001</v>
      </c>
    </row>
    <row r="557" spans="3:5" x14ac:dyDescent="0.35">
      <c r="C557">
        <f t="shared" si="9"/>
        <v>2012</v>
      </c>
      <c r="D557" s="1">
        <v>40987</v>
      </c>
      <c r="E557">
        <v>23.792100000000001</v>
      </c>
    </row>
    <row r="558" spans="3:5" x14ac:dyDescent="0.35">
      <c r="C558">
        <f t="shared" si="9"/>
        <v>2012</v>
      </c>
      <c r="D558" s="1">
        <v>40988</v>
      </c>
      <c r="E558">
        <v>23.59</v>
      </c>
    </row>
    <row r="559" spans="3:5" x14ac:dyDescent="0.35">
      <c r="C559">
        <f t="shared" si="9"/>
        <v>2012</v>
      </c>
      <c r="D559" s="1">
        <v>40989</v>
      </c>
      <c r="E559">
        <v>23.681899999999999</v>
      </c>
    </row>
    <row r="560" spans="3:5" x14ac:dyDescent="0.35">
      <c r="C560">
        <f t="shared" si="9"/>
        <v>2012</v>
      </c>
      <c r="D560" s="1">
        <v>40990</v>
      </c>
      <c r="E560">
        <v>24.170500000000001</v>
      </c>
    </row>
    <row r="561" spans="3:5" x14ac:dyDescent="0.35">
      <c r="C561">
        <f t="shared" si="9"/>
        <v>2012</v>
      </c>
      <c r="D561" s="1">
        <v>40991</v>
      </c>
      <c r="E561">
        <v>23.230799999999999</v>
      </c>
    </row>
    <row r="562" spans="3:5" x14ac:dyDescent="0.35">
      <c r="C562">
        <f t="shared" si="9"/>
        <v>2012</v>
      </c>
      <c r="D562" s="1">
        <v>40994</v>
      </c>
      <c r="E562">
        <v>23.461500000000001</v>
      </c>
    </row>
    <row r="563" spans="3:5" x14ac:dyDescent="0.35">
      <c r="C563">
        <f t="shared" si="9"/>
        <v>2012</v>
      </c>
      <c r="D563" s="1">
        <v>40995</v>
      </c>
      <c r="E563">
        <v>23.746600000000001</v>
      </c>
    </row>
    <row r="564" spans="3:5" x14ac:dyDescent="0.35">
      <c r="C564">
        <f t="shared" si="9"/>
        <v>2012</v>
      </c>
      <c r="D564" s="1">
        <v>40996</v>
      </c>
      <c r="E564">
        <v>23.637799999999999</v>
      </c>
    </row>
    <row r="565" spans="3:5" x14ac:dyDescent="0.35">
      <c r="C565">
        <f t="shared" si="9"/>
        <v>2012</v>
      </c>
      <c r="D565" s="1">
        <v>40997</v>
      </c>
      <c r="E565">
        <v>23.544699999999999</v>
      </c>
    </row>
    <row r="566" spans="3:5" x14ac:dyDescent="0.35">
      <c r="C566">
        <f t="shared" si="9"/>
        <v>2012</v>
      </c>
      <c r="D566" s="1">
        <v>40998</v>
      </c>
      <c r="E566">
        <v>23.6159</v>
      </c>
    </row>
    <row r="567" spans="3:5" x14ac:dyDescent="0.35">
      <c r="C567">
        <f t="shared" si="9"/>
        <v>2012</v>
      </c>
      <c r="D567" s="1">
        <v>41001</v>
      </c>
      <c r="E567">
        <v>24.008900000000001</v>
      </c>
    </row>
    <row r="568" spans="3:5" x14ac:dyDescent="0.35">
      <c r="C568">
        <f t="shared" si="9"/>
        <v>2012</v>
      </c>
      <c r="D568" s="1">
        <v>41002</v>
      </c>
      <c r="E568">
        <v>24.6327</v>
      </c>
    </row>
    <row r="569" spans="3:5" x14ac:dyDescent="0.35">
      <c r="C569">
        <f t="shared" si="9"/>
        <v>2012</v>
      </c>
      <c r="D569" s="1">
        <v>41003</v>
      </c>
      <c r="E569">
        <v>24.956</v>
      </c>
    </row>
    <row r="570" spans="3:5" x14ac:dyDescent="0.35">
      <c r="C570">
        <f t="shared" si="9"/>
        <v>2012</v>
      </c>
      <c r="D570" s="1">
        <v>41004</v>
      </c>
      <c r="E570">
        <v>24.557400000000001</v>
      </c>
    </row>
    <row r="571" spans="3:5" x14ac:dyDescent="0.35">
      <c r="C571">
        <f t="shared" si="9"/>
        <v>2012</v>
      </c>
      <c r="D571" s="1">
        <v>41008</v>
      </c>
      <c r="E571">
        <v>24.2454</v>
      </c>
    </row>
    <row r="572" spans="3:5" x14ac:dyDescent="0.35">
      <c r="C572">
        <f t="shared" si="9"/>
        <v>2012</v>
      </c>
      <c r="D572" s="1">
        <v>41009</v>
      </c>
      <c r="E572">
        <v>23.6663</v>
      </c>
    </row>
    <row r="573" spans="3:5" x14ac:dyDescent="0.35">
      <c r="C573">
        <f t="shared" si="9"/>
        <v>2012</v>
      </c>
      <c r="D573" s="1">
        <v>41010</v>
      </c>
      <c r="E573">
        <v>23.835999999999999</v>
      </c>
    </row>
    <row r="574" spans="3:5" x14ac:dyDescent="0.35">
      <c r="C574">
        <f t="shared" si="9"/>
        <v>2012</v>
      </c>
      <c r="D574" s="1">
        <v>41011</v>
      </c>
      <c r="E574">
        <v>24.514700000000001</v>
      </c>
    </row>
    <row r="575" spans="3:5" x14ac:dyDescent="0.35">
      <c r="C575">
        <f t="shared" si="9"/>
        <v>2012</v>
      </c>
      <c r="D575" s="1">
        <v>41012</v>
      </c>
      <c r="E575">
        <v>25.917899999999999</v>
      </c>
    </row>
    <row r="576" spans="3:5" x14ac:dyDescent="0.35">
      <c r="C576">
        <f t="shared" si="9"/>
        <v>2012</v>
      </c>
      <c r="D576" s="1">
        <v>41015</v>
      </c>
      <c r="E576">
        <v>25.755099999999999</v>
      </c>
    </row>
    <row r="577" spans="3:5" x14ac:dyDescent="0.35">
      <c r="C577">
        <f t="shared" si="9"/>
        <v>2012</v>
      </c>
      <c r="D577" s="1">
        <v>41016</v>
      </c>
      <c r="E577">
        <v>25.457899999999999</v>
      </c>
    </row>
    <row r="578" spans="3:5" x14ac:dyDescent="0.35">
      <c r="C578">
        <f t="shared" si="9"/>
        <v>2012</v>
      </c>
      <c r="D578" s="1">
        <v>41017</v>
      </c>
      <c r="E578">
        <v>25.2087</v>
      </c>
    </row>
    <row r="579" spans="3:5" x14ac:dyDescent="0.35">
      <c r="C579">
        <f t="shared" ref="C579:C642" si="10">YEAR(D579)</f>
        <v>2012</v>
      </c>
      <c r="D579" s="1">
        <v>41018</v>
      </c>
      <c r="E579">
        <v>24.742000000000001</v>
      </c>
    </row>
    <row r="580" spans="3:5" x14ac:dyDescent="0.35">
      <c r="C580">
        <f t="shared" si="10"/>
        <v>2012</v>
      </c>
      <c r="D580" s="1">
        <v>41019</v>
      </c>
      <c r="E580">
        <v>24.819099999999999</v>
      </c>
    </row>
    <row r="581" spans="3:5" x14ac:dyDescent="0.35">
      <c r="C581">
        <f t="shared" si="10"/>
        <v>2012</v>
      </c>
      <c r="D581" s="1">
        <v>41022</v>
      </c>
      <c r="E581">
        <v>24.997900000000001</v>
      </c>
    </row>
    <row r="582" spans="3:5" x14ac:dyDescent="0.35">
      <c r="C582">
        <f t="shared" si="10"/>
        <v>2012</v>
      </c>
      <c r="D582" s="1">
        <v>41023</v>
      </c>
      <c r="E582">
        <v>24.124700000000001</v>
      </c>
    </row>
    <row r="583" spans="3:5" x14ac:dyDescent="0.35">
      <c r="C583">
        <f t="shared" si="10"/>
        <v>2012</v>
      </c>
      <c r="D583" s="1">
        <v>41024</v>
      </c>
      <c r="E583">
        <v>24.53</v>
      </c>
    </row>
    <row r="584" spans="3:5" x14ac:dyDescent="0.35">
      <c r="C584">
        <f t="shared" si="10"/>
        <v>2012</v>
      </c>
      <c r="D584" s="1">
        <v>41025</v>
      </c>
      <c r="E584">
        <v>25.053899999999999</v>
      </c>
    </row>
    <row r="585" spans="3:5" x14ac:dyDescent="0.35">
      <c r="C585">
        <f t="shared" si="10"/>
        <v>2012</v>
      </c>
      <c r="D585" s="1">
        <v>41026</v>
      </c>
      <c r="E585">
        <v>24.777899999999999</v>
      </c>
    </row>
    <row r="586" spans="3:5" x14ac:dyDescent="0.35">
      <c r="C586">
        <f t="shared" si="10"/>
        <v>2012</v>
      </c>
      <c r="D586" s="1">
        <v>41029</v>
      </c>
      <c r="E586">
        <v>24.8643</v>
      </c>
    </row>
    <row r="587" spans="3:5" x14ac:dyDescent="0.35">
      <c r="C587">
        <f t="shared" si="10"/>
        <v>2012</v>
      </c>
      <c r="D587" s="1">
        <v>41030</v>
      </c>
      <c r="E587">
        <v>24.932300000000001</v>
      </c>
    </row>
    <row r="588" spans="3:5" x14ac:dyDescent="0.35">
      <c r="C588">
        <f t="shared" si="10"/>
        <v>2012</v>
      </c>
      <c r="D588" s="1">
        <v>41031</v>
      </c>
      <c r="E588">
        <v>24.345500000000001</v>
      </c>
    </row>
    <row r="589" spans="3:5" x14ac:dyDescent="0.35">
      <c r="C589">
        <f t="shared" si="10"/>
        <v>2012</v>
      </c>
      <c r="D589" s="1">
        <v>41032</v>
      </c>
      <c r="E589">
        <v>24.8325</v>
      </c>
    </row>
    <row r="590" spans="3:5" x14ac:dyDescent="0.35">
      <c r="C590">
        <f t="shared" si="10"/>
        <v>2012</v>
      </c>
      <c r="D590" s="1">
        <v>41033</v>
      </c>
      <c r="E590">
        <v>25.122699999999998</v>
      </c>
    </row>
    <row r="591" spans="3:5" x14ac:dyDescent="0.35">
      <c r="C591">
        <f t="shared" si="10"/>
        <v>2012</v>
      </c>
      <c r="D591" s="1">
        <v>41036</v>
      </c>
      <c r="E591">
        <v>25.679500000000001</v>
      </c>
    </row>
    <row r="592" spans="3:5" x14ac:dyDescent="0.35">
      <c r="C592">
        <f t="shared" si="10"/>
        <v>2012</v>
      </c>
      <c r="D592" s="1">
        <v>41037</v>
      </c>
      <c r="E592">
        <v>26.539899999999999</v>
      </c>
    </row>
    <row r="593" spans="3:5" x14ac:dyDescent="0.35">
      <c r="C593">
        <f t="shared" si="10"/>
        <v>2012</v>
      </c>
      <c r="D593" s="1">
        <v>41038</v>
      </c>
      <c r="E593">
        <v>25.781500000000001</v>
      </c>
    </row>
    <row r="594" spans="3:5" x14ac:dyDescent="0.35">
      <c r="C594">
        <f t="shared" si="10"/>
        <v>2012</v>
      </c>
      <c r="D594" s="1">
        <v>41039</v>
      </c>
      <c r="E594">
        <v>25.993099999999998</v>
      </c>
    </row>
    <row r="595" spans="3:5" x14ac:dyDescent="0.35">
      <c r="C595">
        <f t="shared" si="10"/>
        <v>2012</v>
      </c>
      <c r="D595" s="1">
        <v>41040</v>
      </c>
      <c r="E595">
        <v>26.583100000000002</v>
      </c>
    </row>
    <row r="596" spans="3:5" x14ac:dyDescent="0.35">
      <c r="C596">
        <f t="shared" si="10"/>
        <v>2012</v>
      </c>
      <c r="D596" s="1">
        <v>41043</v>
      </c>
      <c r="E596">
        <v>26.983899999999998</v>
      </c>
    </row>
    <row r="597" spans="3:5" x14ac:dyDescent="0.35">
      <c r="C597">
        <f t="shared" si="10"/>
        <v>2012</v>
      </c>
      <c r="D597" s="1">
        <v>41044</v>
      </c>
      <c r="E597">
        <v>26.200800000000001</v>
      </c>
    </row>
    <row r="598" spans="3:5" x14ac:dyDescent="0.35">
      <c r="C598">
        <f t="shared" si="10"/>
        <v>2012</v>
      </c>
      <c r="D598" s="1">
        <v>41045</v>
      </c>
      <c r="E598">
        <v>26.564699999999998</v>
      </c>
    </row>
    <row r="599" spans="3:5" x14ac:dyDescent="0.35">
      <c r="C599">
        <f t="shared" si="10"/>
        <v>2012</v>
      </c>
      <c r="D599" s="1">
        <v>41046</v>
      </c>
      <c r="E599">
        <v>25.5457</v>
      </c>
    </row>
    <row r="600" spans="3:5" x14ac:dyDescent="0.35">
      <c r="C600">
        <f t="shared" si="10"/>
        <v>2012</v>
      </c>
      <c r="D600" s="1">
        <v>41047</v>
      </c>
      <c r="E600">
        <v>24.910799999999998</v>
      </c>
    </row>
    <row r="601" spans="3:5" x14ac:dyDescent="0.35">
      <c r="C601">
        <f t="shared" si="10"/>
        <v>2012</v>
      </c>
      <c r="D601" s="1">
        <v>41050</v>
      </c>
      <c r="E601">
        <v>25.539000000000001</v>
      </c>
    </row>
    <row r="602" spans="3:5" x14ac:dyDescent="0.35">
      <c r="C602">
        <f t="shared" si="10"/>
        <v>2012</v>
      </c>
      <c r="D602" s="1">
        <v>41051</v>
      </c>
      <c r="E602">
        <v>25.9603</v>
      </c>
    </row>
    <row r="603" spans="3:5" x14ac:dyDescent="0.35">
      <c r="C603">
        <f t="shared" si="10"/>
        <v>2012</v>
      </c>
      <c r="D603" s="1">
        <v>41052</v>
      </c>
      <c r="E603">
        <v>25.5809</v>
      </c>
    </row>
    <row r="604" spans="3:5" x14ac:dyDescent="0.35">
      <c r="C604">
        <f t="shared" si="10"/>
        <v>2012</v>
      </c>
      <c r="D604" s="1">
        <v>41053</v>
      </c>
      <c r="E604">
        <v>24.412400000000002</v>
      </c>
    </row>
    <row r="605" spans="3:5" x14ac:dyDescent="0.35">
      <c r="C605">
        <f t="shared" si="10"/>
        <v>2012</v>
      </c>
      <c r="D605" s="1">
        <v>41054</v>
      </c>
      <c r="E605">
        <v>23.625800000000002</v>
      </c>
    </row>
    <row r="606" spans="3:5" x14ac:dyDescent="0.35">
      <c r="C606">
        <f t="shared" si="10"/>
        <v>2012</v>
      </c>
      <c r="D606" s="1">
        <v>41058</v>
      </c>
      <c r="E606">
        <v>24.354900000000001</v>
      </c>
    </row>
    <row r="607" spans="3:5" x14ac:dyDescent="0.35">
      <c r="C607">
        <f t="shared" si="10"/>
        <v>2012</v>
      </c>
      <c r="D607" s="1">
        <v>41059</v>
      </c>
      <c r="E607">
        <v>23.824000000000002</v>
      </c>
    </row>
    <row r="608" spans="3:5" x14ac:dyDescent="0.35">
      <c r="C608">
        <f t="shared" si="10"/>
        <v>2012</v>
      </c>
      <c r="D608" s="1">
        <v>41060</v>
      </c>
      <c r="E608">
        <v>23.5137</v>
      </c>
    </row>
    <row r="609" spans="3:5" x14ac:dyDescent="0.35">
      <c r="C609">
        <f t="shared" si="10"/>
        <v>2012</v>
      </c>
      <c r="D609" s="1">
        <v>41061</v>
      </c>
      <c r="E609">
        <v>23.187100000000001</v>
      </c>
    </row>
    <row r="610" spans="3:5" x14ac:dyDescent="0.35">
      <c r="C610">
        <f t="shared" si="10"/>
        <v>2012</v>
      </c>
      <c r="D610" s="1">
        <v>41064</v>
      </c>
      <c r="E610">
        <v>23.552099999999999</v>
      </c>
    </row>
    <row r="611" spans="3:5" x14ac:dyDescent="0.35">
      <c r="C611">
        <f t="shared" si="10"/>
        <v>2012</v>
      </c>
      <c r="D611" s="1">
        <v>41065</v>
      </c>
      <c r="E611">
        <v>23.691500000000001</v>
      </c>
    </row>
    <row r="612" spans="3:5" x14ac:dyDescent="0.35">
      <c r="C612">
        <f t="shared" si="10"/>
        <v>2012</v>
      </c>
      <c r="D612" s="1">
        <v>41066</v>
      </c>
      <c r="E612">
        <v>24.235499999999998</v>
      </c>
    </row>
    <row r="613" spans="3:5" x14ac:dyDescent="0.35">
      <c r="C613">
        <f t="shared" si="10"/>
        <v>2012</v>
      </c>
      <c r="D613" s="1">
        <v>41067</v>
      </c>
      <c r="E613">
        <v>25.0853</v>
      </c>
    </row>
    <row r="614" spans="3:5" x14ac:dyDescent="0.35">
      <c r="C614">
        <f t="shared" si="10"/>
        <v>2012</v>
      </c>
      <c r="D614" s="1">
        <v>41068</v>
      </c>
      <c r="E614">
        <v>25.438500000000001</v>
      </c>
    </row>
    <row r="615" spans="3:5" x14ac:dyDescent="0.35">
      <c r="C615">
        <f t="shared" si="10"/>
        <v>2012</v>
      </c>
      <c r="D615" s="1">
        <v>41071</v>
      </c>
      <c r="E615">
        <v>25.6035</v>
      </c>
    </row>
    <row r="616" spans="3:5" x14ac:dyDescent="0.35">
      <c r="C616">
        <f t="shared" si="10"/>
        <v>2012</v>
      </c>
      <c r="D616" s="1">
        <v>41072</v>
      </c>
      <c r="E616">
        <v>25.221499999999999</v>
      </c>
    </row>
    <row r="617" spans="3:5" x14ac:dyDescent="0.35">
      <c r="C617">
        <f t="shared" si="10"/>
        <v>2012</v>
      </c>
      <c r="D617" s="1">
        <v>41073</v>
      </c>
      <c r="E617">
        <v>25.297999999999998</v>
      </c>
    </row>
    <row r="618" spans="3:5" x14ac:dyDescent="0.35">
      <c r="C618">
        <f t="shared" si="10"/>
        <v>2012</v>
      </c>
      <c r="D618" s="1">
        <v>41074</v>
      </c>
      <c r="E618">
        <v>25.826499999999999</v>
      </c>
    </row>
    <row r="619" spans="3:5" x14ac:dyDescent="0.35">
      <c r="C619">
        <f t="shared" si="10"/>
        <v>2012</v>
      </c>
      <c r="D619" s="1">
        <v>41075</v>
      </c>
      <c r="E619">
        <v>25.396999999999998</v>
      </c>
    </row>
    <row r="620" spans="3:5" x14ac:dyDescent="0.35">
      <c r="C620">
        <f t="shared" si="10"/>
        <v>2012</v>
      </c>
      <c r="D620" s="1">
        <v>41078</v>
      </c>
      <c r="E620">
        <v>26.019600000000001</v>
      </c>
    </row>
    <row r="621" spans="3:5" x14ac:dyDescent="0.35">
      <c r="C621">
        <f t="shared" si="10"/>
        <v>2012</v>
      </c>
      <c r="D621" s="1">
        <v>41079</v>
      </c>
      <c r="E621">
        <v>26.616700000000002</v>
      </c>
    </row>
    <row r="622" spans="3:5" x14ac:dyDescent="0.35">
      <c r="C622">
        <f t="shared" si="10"/>
        <v>2012</v>
      </c>
      <c r="D622" s="1">
        <v>41080</v>
      </c>
      <c r="E622">
        <v>26.806100000000001</v>
      </c>
    </row>
    <row r="623" spans="3:5" x14ac:dyDescent="0.35">
      <c r="C623">
        <f t="shared" si="10"/>
        <v>2012</v>
      </c>
      <c r="D623" s="1">
        <v>41081</v>
      </c>
      <c r="E623">
        <v>29.1998</v>
      </c>
    </row>
    <row r="624" spans="3:5" x14ac:dyDescent="0.35">
      <c r="C624">
        <f t="shared" si="10"/>
        <v>2012</v>
      </c>
      <c r="D624" s="1">
        <v>41082</v>
      </c>
      <c r="E624">
        <v>29.0166</v>
      </c>
    </row>
    <row r="625" spans="3:5" x14ac:dyDescent="0.35">
      <c r="C625">
        <f t="shared" si="10"/>
        <v>2012</v>
      </c>
      <c r="D625" s="1">
        <v>41085</v>
      </c>
      <c r="E625">
        <v>27.536899999999999</v>
      </c>
    </row>
    <row r="626" spans="3:5" x14ac:dyDescent="0.35">
      <c r="C626">
        <f t="shared" si="10"/>
        <v>2012</v>
      </c>
      <c r="D626" s="1">
        <v>41086</v>
      </c>
      <c r="E626">
        <v>28.528600000000001</v>
      </c>
    </row>
    <row r="627" spans="3:5" x14ac:dyDescent="0.35">
      <c r="C627">
        <f t="shared" si="10"/>
        <v>2012</v>
      </c>
      <c r="D627" s="1">
        <v>41087</v>
      </c>
      <c r="E627">
        <v>29.966100000000001</v>
      </c>
    </row>
    <row r="628" spans="3:5" x14ac:dyDescent="0.35">
      <c r="C628">
        <f t="shared" si="10"/>
        <v>2012</v>
      </c>
      <c r="D628" s="1">
        <v>41088</v>
      </c>
      <c r="E628">
        <v>30.8063</v>
      </c>
    </row>
    <row r="629" spans="3:5" x14ac:dyDescent="0.35">
      <c r="C629">
        <f t="shared" si="10"/>
        <v>2012</v>
      </c>
      <c r="D629" s="1">
        <v>41089</v>
      </c>
      <c r="E629">
        <v>29.363099999999999</v>
      </c>
    </row>
    <row r="630" spans="3:5" x14ac:dyDescent="0.35">
      <c r="C630">
        <f t="shared" si="10"/>
        <v>2012</v>
      </c>
      <c r="D630" s="1">
        <v>41092</v>
      </c>
      <c r="E630">
        <v>30.1265</v>
      </c>
    </row>
    <row r="631" spans="3:5" x14ac:dyDescent="0.35">
      <c r="C631">
        <f t="shared" si="10"/>
        <v>2012</v>
      </c>
      <c r="D631" s="1">
        <v>41093</v>
      </c>
      <c r="E631">
        <v>29.407800000000002</v>
      </c>
    </row>
    <row r="632" spans="3:5" x14ac:dyDescent="0.35">
      <c r="C632">
        <f t="shared" si="10"/>
        <v>2012</v>
      </c>
      <c r="D632" s="1">
        <v>41095</v>
      </c>
      <c r="E632">
        <v>29.2471</v>
      </c>
    </row>
    <row r="633" spans="3:5" x14ac:dyDescent="0.35">
      <c r="C633">
        <f t="shared" si="10"/>
        <v>2012</v>
      </c>
      <c r="D633" s="1">
        <v>41096</v>
      </c>
      <c r="E633">
        <v>30.204999999999998</v>
      </c>
    </row>
    <row r="634" spans="3:5" x14ac:dyDescent="0.35">
      <c r="C634">
        <f t="shared" si="10"/>
        <v>2012</v>
      </c>
      <c r="D634" s="1">
        <v>41099</v>
      </c>
      <c r="E634">
        <v>29.770499999999998</v>
      </c>
    </row>
    <row r="635" spans="3:5" x14ac:dyDescent="0.35">
      <c r="C635">
        <f t="shared" si="10"/>
        <v>2012</v>
      </c>
      <c r="D635" s="1">
        <v>41100</v>
      </c>
      <c r="E635">
        <v>30.7241</v>
      </c>
    </row>
    <row r="636" spans="3:5" x14ac:dyDescent="0.35">
      <c r="C636">
        <f t="shared" si="10"/>
        <v>2012</v>
      </c>
      <c r="D636" s="1">
        <v>41101</v>
      </c>
      <c r="E636">
        <v>31.889600000000002</v>
      </c>
    </row>
    <row r="637" spans="3:5" x14ac:dyDescent="0.35">
      <c r="C637">
        <f t="shared" si="10"/>
        <v>2012</v>
      </c>
      <c r="D637" s="1">
        <v>41102</v>
      </c>
      <c r="E637">
        <v>32.066200000000002</v>
      </c>
    </row>
    <row r="638" spans="3:5" x14ac:dyDescent="0.35">
      <c r="C638">
        <f t="shared" si="10"/>
        <v>2012</v>
      </c>
      <c r="D638" s="1">
        <v>41103</v>
      </c>
      <c r="E638">
        <v>30.837399999999999</v>
      </c>
    </row>
    <row r="639" spans="3:5" x14ac:dyDescent="0.35">
      <c r="C639">
        <f t="shared" si="10"/>
        <v>2012</v>
      </c>
      <c r="D639" s="1">
        <v>41106</v>
      </c>
      <c r="E639">
        <v>30.3461</v>
      </c>
    </row>
    <row r="640" spans="3:5" x14ac:dyDescent="0.35">
      <c r="C640">
        <f t="shared" si="10"/>
        <v>2012</v>
      </c>
      <c r="D640" s="1">
        <v>41107</v>
      </c>
      <c r="E640">
        <v>29.7639</v>
      </c>
    </row>
    <row r="641" spans="3:5" x14ac:dyDescent="0.35">
      <c r="C641">
        <f t="shared" si="10"/>
        <v>2012</v>
      </c>
      <c r="D641" s="1">
        <v>41108</v>
      </c>
      <c r="E641">
        <v>30.942399999999999</v>
      </c>
    </row>
    <row r="642" spans="3:5" x14ac:dyDescent="0.35">
      <c r="C642">
        <f t="shared" si="10"/>
        <v>2012</v>
      </c>
      <c r="D642" s="1">
        <v>41109</v>
      </c>
      <c r="E642">
        <v>30.698399999999999</v>
      </c>
    </row>
    <row r="643" spans="3:5" x14ac:dyDescent="0.35">
      <c r="C643">
        <f t="shared" ref="C643:C706" si="11">YEAR(D643)</f>
        <v>2012</v>
      </c>
      <c r="D643" s="1">
        <v>41110</v>
      </c>
      <c r="E643">
        <v>30.160599999999999</v>
      </c>
    </row>
    <row r="644" spans="3:5" x14ac:dyDescent="0.35">
      <c r="C644">
        <f t="shared" si="11"/>
        <v>2012</v>
      </c>
      <c r="D644" s="1">
        <v>41113</v>
      </c>
      <c r="E644">
        <v>29.969100000000001</v>
      </c>
    </row>
    <row r="645" spans="3:5" x14ac:dyDescent="0.35">
      <c r="C645">
        <f t="shared" si="11"/>
        <v>2012</v>
      </c>
      <c r="D645" s="1">
        <v>41114</v>
      </c>
      <c r="E645">
        <v>30.200600000000001</v>
      </c>
    </row>
    <row r="646" spans="3:5" x14ac:dyDescent="0.35">
      <c r="C646">
        <f t="shared" si="11"/>
        <v>2012</v>
      </c>
      <c r="D646" s="1">
        <v>41115</v>
      </c>
      <c r="E646">
        <v>29.8383</v>
      </c>
    </row>
    <row r="647" spans="3:5" x14ac:dyDescent="0.35">
      <c r="C647">
        <f t="shared" si="11"/>
        <v>2012</v>
      </c>
      <c r="D647" s="1">
        <v>41116</v>
      </c>
      <c r="E647">
        <v>30.6248</v>
      </c>
    </row>
    <row r="648" spans="3:5" x14ac:dyDescent="0.35">
      <c r="C648">
        <f t="shared" si="11"/>
        <v>2012</v>
      </c>
      <c r="D648" s="1">
        <v>41117</v>
      </c>
      <c r="E648">
        <v>30.851400000000002</v>
      </c>
    </row>
    <row r="649" spans="3:5" x14ac:dyDescent="0.35">
      <c r="C649">
        <f t="shared" si="11"/>
        <v>2012</v>
      </c>
      <c r="D649" s="1">
        <v>41120</v>
      </c>
      <c r="E649">
        <v>31.0425</v>
      </c>
    </row>
    <row r="650" spans="3:5" x14ac:dyDescent="0.35">
      <c r="C650">
        <f t="shared" si="11"/>
        <v>2012</v>
      </c>
      <c r="D650" s="1">
        <v>41121</v>
      </c>
      <c r="E650">
        <v>31.987400000000001</v>
      </c>
    </row>
    <row r="651" spans="3:5" x14ac:dyDescent="0.35">
      <c r="C651">
        <f t="shared" si="11"/>
        <v>2012</v>
      </c>
      <c r="D651" s="1">
        <v>41122</v>
      </c>
      <c r="E651">
        <v>31.977</v>
      </c>
    </row>
    <row r="652" spans="3:5" x14ac:dyDescent="0.35">
      <c r="C652">
        <f t="shared" si="11"/>
        <v>2012</v>
      </c>
      <c r="D652" s="1">
        <v>41123</v>
      </c>
      <c r="E652">
        <v>31.912500000000001</v>
      </c>
    </row>
    <row r="653" spans="3:5" x14ac:dyDescent="0.35">
      <c r="C653">
        <f t="shared" si="11"/>
        <v>2012</v>
      </c>
      <c r="D653" s="1">
        <v>41124</v>
      </c>
      <c r="E653">
        <v>32.101999999999997</v>
      </c>
    </row>
    <row r="654" spans="3:5" x14ac:dyDescent="0.35">
      <c r="C654">
        <f t="shared" si="11"/>
        <v>2012</v>
      </c>
      <c r="D654" s="1">
        <v>41127</v>
      </c>
      <c r="E654">
        <v>32.536200000000001</v>
      </c>
    </row>
    <row r="655" spans="3:5" x14ac:dyDescent="0.35">
      <c r="C655">
        <f t="shared" si="11"/>
        <v>2012</v>
      </c>
      <c r="D655" s="1">
        <v>41128</v>
      </c>
      <c r="E655">
        <v>32.080800000000004</v>
      </c>
    </row>
    <row r="656" spans="3:5" x14ac:dyDescent="0.35">
      <c r="C656">
        <f t="shared" si="11"/>
        <v>2012</v>
      </c>
      <c r="D656" s="1">
        <v>41129</v>
      </c>
      <c r="E656">
        <v>30.531600000000001</v>
      </c>
    </row>
    <row r="657" spans="3:5" x14ac:dyDescent="0.35">
      <c r="C657">
        <f t="shared" si="11"/>
        <v>2012</v>
      </c>
      <c r="D657" s="1">
        <v>41130</v>
      </c>
      <c r="E657">
        <v>30.842199999999998</v>
      </c>
    </row>
    <row r="658" spans="3:5" x14ac:dyDescent="0.35">
      <c r="C658">
        <f t="shared" si="11"/>
        <v>2012</v>
      </c>
      <c r="D658" s="1">
        <v>41131</v>
      </c>
      <c r="E658">
        <v>31.013300000000001</v>
      </c>
    </row>
    <row r="659" spans="3:5" x14ac:dyDescent="0.35">
      <c r="C659">
        <f t="shared" si="11"/>
        <v>2012</v>
      </c>
      <c r="D659" s="1">
        <v>41134</v>
      </c>
      <c r="E659">
        <v>30.613</v>
      </c>
    </row>
    <row r="660" spans="3:5" x14ac:dyDescent="0.35">
      <c r="C660">
        <f t="shared" si="11"/>
        <v>2012</v>
      </c>
      <c r="D660" s="1">
        <v>41135</v>
      </c>
      <c r="E660">
        <v>30.9297</v>
      </c>
    </row>
    <row r="661" spans="3:5" x14ac:dyDescent="0.35">
      <c r="C661">
        <f t="shared" si="11"/>
        <v>2012</v>
      </c>
      <c r="D661" s="1">
        <v>41136</v>
      </c>
      <c r="E661">
        <v>31.3825</v>
      </c>
    </row>
    <row r="662" spans="3:5" x14ac:dyDescent="0.35">
      <c r="C662">
        <f t="shared" si="11"/>
        <v>2012</v>
      </c>
      <c r="D662" s="1">
        <v>41137</v>
      </c>
      <c r="E662">
        <v>32.135599999999997</v>
      </c>
    </row>
    <row r="663" spans="3:5" x14ac:dyDescent="0.35">
      <c r="C663">
        <f t="shared" si="11"/>
        <v>2012</v>
      </c>
      <c r="D663" s="1">
        <v>41138</v>
      </c>
      <c r="E663">
        <v>32.845700000000001</v>
      </c>
    </row>
    <row r="664" spans="3:5" x14ac:dyDescent="0.35">
      <c r="C664">
        <f t="shared" si="11"/>
        <v>2012</v>
      </c>
      <c r="D664" s="1">
        <v>41141</v>
      </c>
      <c r="E664">
        <v>32.635800000000003</v>
      </c>
    </row>
    <row r="665" spans="3:5" x14ac:dyDescent="0.35">
      <c r="C665">
        <f t="shared" si="11"/>
        <v>2012</v>
      </c>
      <c r="D665" s="1">
        <v>41142</v>
      </c>
      <c r="E665">
        <v>32.236400000000003</v>
      </c>
    </row>
    <row r="666" spans="3:5" x14ac:dyDescent="0.35">
      <c r="C666">
        <f t="shared" si="11"/>
        <v>2012</v>
      </c>
      <c r="D666" s="1">
        <v>41143</v>
      </c>
      <c r="E666">
        <v>32.687899999999999</v>
      </c>
    </row>
    <row r="667" spans="3:5" x14ac:dyDescent="0.35">
      <c r="C667">
        <f t="shared" si="11"/>
        <v>2012</v>
      </c>
      <c r="D667" s="1">
        <v>41144</v>
      </c>
      <c r="E667">
        <v>31.6218</v>
      </c>
    </row>
    <row r="668" spans="3:5" x14ac:dyDescent="0.35">
      <c r="C668">
        <f t="shared" si="11"/>
        <v>2012</v>
      </c>
      <c r="D668" s="1">
        <v>41145</v>
      </c>
      <c r="E668">
        <v>31.715399999999999</v>
      </c>
    </row>
    <row r="669" spans="3:5" x14ac:dyDescent="0.35">
      <c r="C669">
        <f t="shared" si="11"/>
        <v>2012</v>
      </c>
      <c r="D669" s="1">
        <v>41148</v>
      </c>
      <c r="E669">
        <v>32.297800000000002</v>
      </c>
    </row>
    <row r="670" spans="3:5" x14ac:dyDescent="0.35">
      <c r="C670">
        <f t="shared" si="11"/>
        <v>2012</v>
      </c>
      <c r="D670" s="1">
        <v>41149</v>
      </c>
      <c r="E670">
        <v>32.332999999999998</v>
      </c>
    </row>
    <row r="671" spans="3:5" x14ac:dyDescent="0.35">
      <c r="C671">
        <f t="shared" si="11"/>
        <v>2012</v>
      </c>
      <c r="D671" s="1">
        <v>41150</v>
      </c>
      <c r="E671">
        <v>31.8062</v>
      </c>
    </row>
    <row r="672" spans="3:5" x14ac:dyDescent="0.35">
      <c r="C672">
        <f t="shared" si="11"/>
        <v>2012</v>
      </c>
      <c r="D672" s="1">
        <v>41151</v>
      </c>
      <c r="E672">
        <v>31.698499999999999</v>
      </c>
    </row>
    <row r="673" spans="3:5" x14ac:dyDescent="0.35">
      <c r="C673">
        <f t="shared" si="11"/>
        <v>2012</v>
      </c>
      <c r="D673" s="1">
        <v>41152</v>
      </c>
      <c r="E673">
        <v>31.644400000000001</v>
      </c>
    </row>
    <row r="674" spans="3:5" x14ac:dyDescent="0.35">
      <c r="C674">
        <f t="shared" si="11"/>
        <v>2012</v>
      </c>
      <c r="D674" s="1">
        <v>41156</v>
      </c>
      <c r="E674">
        <v>31.9801</v>
      </c>
    </row>
    <row r="675" spans="3:5" x14ac:dyDescent="0.35">
      <c r="C675">
        <f t="shared" si="11"/>
        <v>2012</v>
      </c>
      <c r="D675" s="1">
        <v>41157</v>
      </c>
      <c r="E675">
        <v>33.415700000000001</v>
      </c>
    </row>
    <row r="676" spans="3:5" x14ac:dyDescent="0.35">
      <c r="C676">
        <f t="shared" si="11"/>
        <v>2012</v>
      </c>
      <c r="D676" s="1">
        <v>41158</v>
      </c>
      <c r="E676">
        <v>33.293799999999997</v>
      </c>
    </row>
    <row r="677" spans="3:5" x14ac:dyDescent="0.35">
      <c r="C677">
        <f t="shared" si="11"/>
        <v>2012</v>
      </c>
      <c r="D677" s="1">
        <v>41159</v>
      </c>
      <c r="E677">
        <v>33.556100000000001</v>
      </c>
    </row>
    <row r="678" spans="3:5" x14ac:dyDescent="0.35">
      <c r="C678">
        <f t="shared" si="11"/>
        <v>2012</v>
      </c>
      <c r="D678" s="1">
        <v>41162</v>
      </c>
      <c r="E678">
        <v>33.714599999999997</v>
      </c>
    </row>
    <row r="679" spans="3:5" x14ac:dyDescent="0.35">
      <c r="C679">
        <f t="shared" si="11"/>
        <v>2012</v>
      </c>
      <c r="D679" s="1">
        <v>41163</v>
      </c>
      <c r="E679">
        <v>33.365499999999997</v>
      </c>
    </row>
    <row r="680" spans="3:5" x14ac:dyDescent="0.35">
      <c r="C680">
        <f t="shared" si="11"/>
        <v>2012</v>
      </c>
      <c r="D680" s="1">
        <v>41164</v>
      </c>
      <c r="E680">
        <v>33.784599999999998</v>
      </c>
    </row>
    <row r="681" spans="3:5" x14ac:dyDescent="0.35">
      <c r="C681">
        <f t="shared" si="11"/>
        <v>2012</v>
      </c>
      <c r="D681" s="1">
        <v>41165</v>
      </c>
      <c r="E681">
        <v>32.663699999999999</v>
      </c>
    </row>
    <row r="682" spans="3:5" x14ac:dyDescent="0.35">
      <c r="C682">
        <f t="shared" si="11"/>
        <v>2012</v>
      </c>
      <c r="D682" s="1">
        <v>41166</v>
      </c>
      <c r="E682">
        <v>32.542700000000004</v>
      </c>
    </row>
    <row r="683" spans="3:5" x14ac:dyDescent="0.35">
      <c r="C683">
        <f t="shared" si="11"/>
        <v>2012</v>
      </c>
      <c r="D683" s="1">
        <v>41169</v>
      </c>
      <c r="E683">
        <v>33.300400000000003</v>
      </c>
    </row>
    <row r="684" spans="3:5" x14ac:dyDescent="0.35">
      <c r="C684">
        <f t="shared" si="11"/>
        <v>2012</v>
      </c>
      <c r="D684" s="1">
        <v>41170</v>
      </c>
      <c r="E684">
        <v>33.3735</v>
      </c>
    </row>
    <row r="685" spans="3:5" x14ac:dyDescent="0.35">
      <c r="C685">
        <f t="shared" si="11"/>
        <v>2012</v>
      </c>
      <c r="D685" s="1">
        <v>41171</v>
      </c>
      <c r="E685">
        <v>33.537399999999998</v>
      </c>
    </row>
    <row r="686" spans="3:5" x14ac:dyDescent="0.35">
      <c r="C686">
        <f t="shared" si="11"/>
        <v>2012</v>
      </c>
      <c r="D686" s="1">
        <v>41172</v>
      </c>
      <c r="E686">
        <v>33.467799999999997</v>
      </c>
    </row>
    <row r="687" spans="3:5" x14ac:dyDescent="0.35">
      <c r="C687">
        <f t="shared" si="11"/>
        <v>2012</v>
      </c>
      <c r="D687" s="1">
        <v>41173</v>
      </c>
      <c r="E687">
        <v>33.489600000000003</v>
      </c>
    </row>
    <row r="688" spans="3:5" x14ac:dyDescent="0.35">
      <c r="C688">
        <f t="shared" si="11"/>
        <v>2012</v>
      </c>
      <c r="D688" s="1">
        <v>41176</v>
      </c>
      <c r="E688">
        <v>33.779400000000003</v>
      </c>
    </row>
    <row r="689" spans="3:5" x14ac:dyDescent="0.35">
      <c r="C689">
        <f t="shared" si="11"/>
        <v>2012</v>
      </c>
      <c r="D689" s="1">
        <v>41177</v>
      </c>
      <c r="E689">
        <v>34.217500000000001</v>
      </c>
    </row>
    <row r="690" spans="3:5" x14ac:dyDescent="0.35">
      <c r="C690">
        <f t="shared" si="11"/>
        <v>2012</v>
      </c>
      <c r="D690" s="1">
        <v>41178</v>
      </c>
      <c r="E690">
        <v>35.029400000000003</v>
      </c>
    </row>
    <row r="691" spans="3:5" x14ac:dyDescent="0.35">
      <c r="C691">
        <f t="shared" si="11"/>
        <v>2012</v>
      </c>
      <c r="D691" s="1">
        <v>41179</v>
      </c>
      <c r="E691">
        <v>32.785299999999999</v>
      </c>
    </row>
    <row r="692" spans="3:5" x14ac:dyDescent="0.35">
      <c r="C692">
        <f t="shared" si="11"/>
        <v>2012</v>
      </c>
      <c r="D692" s="1">
        <v>41180</v>
      </c>
      <c r="E692">
        <v>32.121499999999997</v>
      </c>
    </row>
    <row r="693" spans="3:5" x14ac:dyDescent="0.35">
      <c r="C693">
        <f t="shared" si="11"/>
        <v>2012</v>
      </c>
      <c r="D693" s="1">
        <v>41183</v>
      </c>
      <c r="E693">
        <v>32.637</v>
      </c>
    </row>
    <row r="694" spans="3:5" x14ac:dyDescent="0.35">
      <c r="C694">
        <f t="shared" si="11"/>
        <v>2012</v>
      </c>
      <c r="D694" s="1">
        <v>41184</v>
      </c>
      <c r="E694">
        <v>33.478299999999997</v>
      </c>
    </row>
    <row r="695" spans="3:5" x14ac:dyDescent="0.35">
      <c r="C695">
        <f t="shared" si="11"/>
        <v>2012</v>
      </c>
      <c r="D695" s="1">
        <v>41185</v>
      </c>
      <c r="E695">
        <v>33.152700000000003</v>
      </c>
    </row>
    <row r="696" spans="3:5" x14ac:dyDescent="0.35">
      <c r="C696">
        <f t="shared" si="11"/>
        <v>2012</v>
      </c>
      <c r="D696" s="1">
        <v>41186</v>
      </c>
      <c r="E696">
        <v>32.929299999999998</v>
      </c>
    </row>
    <row r="697" spans="3:5" x14ac:dyDescent="0.35">
      <c r="C697">
        <f t="shared" si="11"/>
        <v>2012</v>
      </c>
      <c r="D697" s="1">
        <v>41187</v>
      </c>
      <c r="E697">
        <v>33.612299999999998</v>
      </c>
    </row>
    <row r="698" spans="3:5" x14ac:dyDescent="0.35">
      <c r="C698">
        <f t="shared" si="11"/>
        <v>2012</v>
      </c>
      <c r="D698" s="1">
        <v>41190</v>
      </c>
      <c r="E698">
        <v>33.627000000000002</v>
      </c>
    </row>
    <row r="699" spans="3:5" x14ac:dyDescent="0.35">
      <c r="C699">
        <f t="shared" si="11"/>
        <v>2012</v>
      </c>
      <c r="D699" s="1">
        <v>41191</v>
      </c>
      <c r="E699">
        <v>33.696800000000003</v>
      </c>
    </row>
    <row r="700" spans="3:5" x14ac:dyDescent="0.35">
      <c r="C700">
        <f t="shared" si="11"/>
        <v>2012</v>
      </c>
      <c r="D700" s="1">
        <v>41192</v>
      </c>
      <c r="E700">
        <v>33.607300000000002</v>
      </c>
    </row>
    <row r="701" spans="3:5" x14ac:dyDescent="0.35">
      <c r="C701">
        <f t="shared" si="11"/>
        <v>2012</v>
      </c>
      <c r="D701" s="1">
        <v>41193</v>
      </c>
      <c r="E701">
        <v>33.630699999999997</v>
      </c>
    </row>
    <row r="702" spans="3:5" x14ac:dyDescent="0.35">
      <c r="C702">
        <f t="shared" si="11"/>
        <v>2012</v>
      </c>
      <c r="D702" s="1">
        <v>41194</v>
      </c>
      <c r="E702">
        <v>34.406100000000002</v>
      </c>
    </row>
    <row r="703" spans="3:5" x14ac:dyDescent="0.35">
      <c r="C703">
        <f t="shared" si="11"/>
        <v>2012</v>
      </c>
      <c r="D703" s="1">
        <v>41197</v>
      </c>
      <c r="E703">
        <v>35.189799999999998</v>
      </c>
    </row>
    <row r="704" spans="3:5" x14ac:dyDescent="0.35">
      <c r="C704">
        <f t="shared" si="11"/>
        <v>2012</v>
      </c>
      <c r="D704" s="1">
        <v>41198</v>
      </c>
      <c r="E704">
        <v>34.950000000000003</v>
      </c>
    </row>
    <row r="705" spans="3:5" x14ac:dyDescent="0.35">
      <c r="C705">
        <f t="shared" si="11"/>
        <v>2012</v>
      </c>
      <c r="D705" s="1">
        <v>41199</v>
      </c>
      <c r="E705">
        <v>34.994700000000002</v>
      </c>
    </row>
    <row r="706" spans="3:5" x14ac:dyDescent="0.35">
      <c r="C706">
        <f t="shared" si="11"/>
        <v>2012</v>
      </c>
      <c r="D706" s="1">
        <v>41200</v>
      </c>
      <c r="E706">
        <v>34.768999999999998</v>
      </c>
    </row>
    <row r="707" spans="3:5" x14ac:dyDescent="0.35">
      <c r="C707">
        <f t="shared" ref="C707:C770" si="12">YEAR(D707)</f>
        <v>2012</v>
      </c>
      <c r="D707" s="1">
        <v>41201</v>
      </c>
      <c r="E707">
        <v>35.202300000000001</v>
      </c>
    </row>
    <row r="708" spans="3:5" x14ac:dyDescent="0.35">
      <c r="C708">
        <f t="shared" si="12"/>
        <v>2012</v>
      </c>
      <c r="D708" s="1">
        <v>41204</v>
      </c>
      <c r="E708">
        <v>35.388500000000001</v>
      </c>
    </row>
    <row r="709" spans="3:5" x14ac:dyDescent="0.35">
      <c r="C709">
        <f t="shared" si="12"/>
        <v>2012</v>
      </c>
      <c r="D709" s="1">
        <v>41205</v>
      </c>
      <c r="E709">
        <v>35.944600000000001</v>
      </c>
    </row>
    <row r="710" spans="3:5" x14ac:dyDescent="0.35">
      <c r="C710">
        <f t="shared" si="12"/>
        <v>2012</v>
      </c>
      <c r="D710" s="1">
        <v>41206</v>
      </c>
      <c r="E710">
        <v>35.941099999999999</v>
      </c>
    </row>
    <row r="711" spans="3:5" x14ac:dyDescent="0.35">
      <c r="C711">
        <f t="shared" si="12"/>
        <v>2012</v>
      </c>
      <c r="D711" s="1">
        <v>41207</v>
      </c>
      <c r="E711">
        <v>35.676499999999997</v>
      </c>
    </row>
    <row r="712" spans="3:5" x14ac:dyDescent="0.35">
      <c r="C712">
        <f t="shared" si="12"/>
        <v>2012</v>
      </c>
      <c r="D712" s="1">
        <v>41208</v>
      </c>
      <c r="E712">
        <v>35.758800000000001</v>
      </c>
    </row>
    <row r="713" spans="3:5" x14ac:dyDescent="0.35">
      <c r="C713">
        <f t="shared" si="12"/>
        <v>2012</v>
      </c>
      <c r="D713" s="1">
        <v>41213</v>
      </c>
      <c r="E713">
        <v>36.377099999999999</v>
      </c>
    </row>
    <row r="714" spans="3:5" x14ac:dyDescent="0.35">
      <c r="C714">
        <f t="shared" si="12"/>
        <v>2012</v>
      </c>
      <c r="D714" s="1">
        <v>41214</v>
      </c>
      <c r="E714">
        <v>36.9831</v>
      </c>
    </row>
    <row r="715" spans="3:5" x14ac:dyDescent="0.35">
      <c r="C715">
        <f t="shared" si="12"/>
        <v>2012</v>
      </c>
      <c r="D715" s="1">
        <v>41215</v>
      </c>
      <c r="E715">
        <v>37.791899999999998</v>
      </c>
    </row>
    <row r="716" spans="3:5" x14ac:dyDescent="0.35">
      <c r="C716">
        <f t="shared" si="12"/>
        <v>2012</v>
      </c>
      <c r="D716" s="1">
        <v>41218</v>
      </c>
      <c r="E716">
        <v>38.503799999999998</v>
      </c>
    </row>
    <row r="717" spans="3:5" x14ac:dyDescent="0.35">
      <c r="C717">
        <f t="shared" si="12"/>
        <v>2012</v>
      </c>
      <c r="D717" s="1">
        <v>41219</v>
      </c>
      <c r="E717">
        <v>38.197499999999998</v>
      </c>
    </row>
    <row r="718" spans="3:5" x14ac:dyDescent="0.35">
      <c r="C718">
        <f t="shared" si="12"/>
        <v>2012</v>
      </c>
      <c r="D718" s="1">
        <v>41220</v>
      </c>
      <c r="E718">
        <v>37.850299999999997</v>
      </c>
    </row>
    <row r="719" spans="3:5" x14ac:dyDescent="0.35">
      <c r="C719">
        <f t="shared" si="12"/>
        <v>2012</v>
      </c>
      <c r="D719" s="1">
        <v>41221</v>
      </c>
      <c r="E719">
        <v>38.302399999999999</v>
      </c>
    </row>
    <row r="720" spans="3:5" x14ac:dyDescent="0.35">
      <c r="C720">
        <f t="shared" si="12"/>
        <v>2012</v>
      </c>
      <c r="D720" s="1">
        <v>41222</v>
      </c>
      <c r="E720">
        <v>36.773899999999998</v>
      </c>
    </row>
    <row r="721" spans="3:5" x14ac:dyDescent="0.35">
      <c r="C721">
        <f t="shared" si="12"/>
        <v>2012</v>
      </c>
      <c r="D721" s="1">
        <v>41225</v>
      </c>
      <c r="E721">
        <v>37.109299999999998</v>
      </c>
    </row>
    <row r="722" spans="3:5" x14ac:dyDescent="0.35">
      <c r="C722">
        <f t="shared" si="12"/>
        <v>2012</v>
      </c>
      <c r="D722" s="1">
        <v>41226</v>
      </c>
      <c r="E722">
        <v>37.982700000000001</v>
      </c>
    </row>
    <row r="723" spans="3:5" x14ac:dyDescent="0.35">
      <c r="C723">
        <f t="shared" si="12"/>
        <v>2012</v>
      </c>
      <c r="D723" s="1">
        <v>41227</v>
      </c>
      <c r="E723">
        <v>38.246099999999998</v>
      </c>
    </row>
    <row r="724" spans="3:5" x14ac:dyDescent="0.35">
      <c r="C724">
        <f t="shared" si="12"/>
        <v>2012</v>
      </c>
      <c r="D724" s="1">
        <v>41228</v>
      </c>
      <c r="E724">
        <v>39.6935</v>
      </c>
    </row>
    <row r="725" spans="3:5" x14ac:dyDescent="0.35">
      <c r="C725">
        <f t="shared" si="12"/>
        <v>2012</v>
      </c>
      <c r="D725" s="1">
        <v>41229</v>
      </c>
      <c r="E725">
        <v>38.639299999999999</v>
      </c>
    </row>
    <row r="726" spans="3:5" x14ac:dyDescent="0.35">
      <c r="C726">
        <f t="shared" si="12"/>
        <v>2012</v>
      </c>
      <c r="D726" s="1">
        <v>41232</v>
      </c>
      <c r="E726">
        <v>41.761899999999997</v>
      </c>
    </row>
    <row r="727" spans="3:5" x14ac:dyDescent="0.35">
      <c r="C727">
        <f t="shared" si="12"/>
        <v>2012</v>
      </c>
      <c r="D727" s="1">
        <v>41233</v>
      </c>
      <c r="E727">
        <v>41.437800000000003</v>
      </c>
    </row>
    <row r="728" spans="3:5" x14ac:dyDescent="0.35">
      <c r="C728">
        <f t="shared" si="12"/>
        <v>2012</v>
      </c>
      <c r="D728" s="1">
        <v>41234</v>
      </c>
      <c r="E728">
        <v>41.394599999999997</v>
      </c>
    </row>
    <row r="729" spans="3:5" x14ac:dyDescent="0.35">
      <c r="C729">
        <f t="shared" si="12"/>
        <v>2012</v>
      </c>
      <c r="D729" s="1">
        <v>41236</v>
      </c>
      <c r="E729">
        <v>41.340600000000002</v>
      </c>
    </row>
    <row r="730" spans="3:5" x14ac:dyDescent="0.35">
      <c r="C730">
        <f t="shared" si="12"/>
        <v>2012</v>
      </c>
      <c r="D730" s="1">
        <v>41239</v>
      </c>
      <c r="E730">
        <v>42.735700000000001</v>
      </c>
    </row>
    <row r="731" spans="3:5" x14ac:dyDescent="0.35">
      <c r="C731">
        <f t="shared" si="12"/>
        <v>2012</v>
      </c>
      <c r="D731" s="1">
        <v>41240</v>
      </c>
      <c r="E731">
        <v>43.613999999999997</v>
      </c>
    </row>
    <row r="732" spans="3:5" x14ac:dyDescent="0.35">
      <c r="C732">
        <f t="shared" si="12"/>
        <v>2012</v>
      </c>
      <c r="D732" s="1">
        <v>41241</v>
      </c>
      <c r="E732">
        <v>45.2286</v>
      </c>
    </row>
    <row r="733" spans="3:5" x14ac:dyDescent="0.35">
      <c r="C733">
        <f t="shared" si="12"/>
        <v>2012</v>
      </c>
      <c r="D733" s="1">
        <v>41242</v>
      </c>
      <c r="E733">
        <v>44.613500000000002</v>
      </c>
    </row>
    <row r="734" spans="3:5" x14ac:dyDescent="0.35">
      <c r="C734">
        <f t="shared" si="12"/>
        <v>2012</v>
      </c>
      <c r="D734" s="1">
        <v>41243</v>
      </c>
      <c r="E734">
        <v>46.581600000000002</v>
      </c>
    </row>
    <row r="735" spans="3:5" x14ac:dyDescent="0.35">
      <c r="C735">
        <f t="shared" si="12"/>
        <v>2012</v>
      </c>
      <c r="D735" s="1">
        <v>41246</v>
      </c>
      <c r="E735">
        <v>49.3279</v>
      </c>
    </row>
    <row r="736" spans="3:5" x14ac:dyDescent="0.35">
      <c r="C736">
        <f t="shared" si="12"/>
        <v>2012</v>
      </c>
      <c r="D736" s="1">
        <v>41247</v>
      </c>
      <c r="E736">
        <v>52.5764</v>
      </c>
    </row>
    <row r="737" spans="3:5" x14ac:dyDescent="0.35">
      <c r="C737">
        <f t="shared" si="12"/>
        <v>2012</v>
      </c>
      <c r="D737" s="1">
        <v>41248</v>
      </c>
      <c r="E737">
        <v>51.4178</v>
      </c>
    </row>
    <row r="738" spans="3:5" x14ac:dyDescent="0.35">
      <c r="C738">
        <f t="shared" si="12"/>
        <v>2012</v>
      </c>
      <c r="D738" s="1">
        <v>41249</v>
      </c>
      <c r="E738">
        <v>52.904299999999999</v>
      </c>
    </row>
    <row r="739" spans="3:5" x14ac:dyDescent="0.35">
      <c r="C739">
        <f t="shared" si="12"/>
        <v>2012</v>
      </c>
      <c r="D739" s="1">
        <v>41250</v>
      </c>
      <c r="E739">
        <v>51.811300000000003</v>
      </c>
    </row>
    <row r="740" spans="3:5" x14ac:dyDescent="0.35">
      <c r="C740">
        <f t="shared" si="12"/>
        <v>2012</v>
      </c>
      <c r="D740" s="1">
        <v>41253</v>
      </c>
      <c r="E740">
        <v>51.892699999999998</v>
      </c>
    </row>
    <row r="741" spans="3:5" x14ac:dyDescent="0.35">
      <c r="C741">
        <f t="shared" si="12"/>
        <v>2012</v>
      </c>
      <c r="D741" s="1">
        <v>41254</v>
      </c>
      <c r="E741">
        <v>52.07</v>
      </c>
    </row>
    <row r="742" spans="3:5" x14ac:dyDescent="0.35">
      <c r="C742">
        <f t="shared" si="12"/>
        <v>2012</v>
      </c>
      <c r="D742" s="1">
        <v>41255</v>
      </c>
      <c r="E742">
        <v>51.838999999999999</v>
      </c>
    </row>
    <row r="743" spans="3:5" x14ac:dyDescent="0.35">
      <c r="C743">
        <f t="shared" si="12"/>
        <v>2012</v>
      </c>
      <c r="D743" s="1">
        <v>41256</v>
      </c>
      <c r="E743">
        <v>52.445</v>
      </c>
    </row>
    <row r="744" spans="3:5" x14ac:dyDescent="0.35">
      <c r="C744">
        <f t="shared" si="12"/>
        <v>2012</v>
      </c>
      <c r="D744" s="1">
        <v>41257</v>
      </c>
      <c r="E744">
        <v>52.489600000000003</v>
      </c>
    </row>
    <row r="745" spans="3:5" x14ac:dyDescent="0.35">
      <c r="C745">
        <f t="shared" si="12"/>
        <v>2012</v>
      </c>
      <c r="D745" s="1">
        <v>41260</v>
      </c>
      <c r="E745">
        <v>55.382399999999997</v>
      </c>
    </row>
    <row r="746" spans="3:5" x14ac:dyDescent="0.35">
      <c r="C746">
        <f t="shared" si="12"/>
        <v>2012</v>
      </c>
      <c r="D746" s="1">
        <v>41261</v>
      </c>
      <c r="E746">
        <v>56.4938</v>
      </c>
    </row>
    <row r="747" spans="3:5" x14ac:dyDescent="0.35">
      <c r="C747">
        <f t="shared" si="12"/>
        <v>2012</v>
      </c>
      <c r="D747" s="1">
        <v>41262</v>
      </c>
      <c r="E747">
        <v>55.844000000000001</v>
      </c>
    </row>
    <row r="748" spans="3:5" x14ac:dyDescent="0.35">
      <c r="C748">
        <f t="shared" si="12"/>
        <v>2012</v>
      </c>
      <c r="D748" s="1">
        <v>41263</v>
      </c>
      <c r="E748">
        <v>57.713900000000002</v>
      </c>
    </row>
    <row r="749" spans="3:5" x14ac:dyDescent="0.35">
      <c r="C749">
        <f t="shared" si="12"/>
        <v>2012</v>
      </c>
      <c r="D749" s="1">
        <v>41264</v>
      </c>
      <c r="E749">
        <v>57.501100000000001</v>
      </c>
    </row>
    <row r="750" spans="3:5" x14ac:dyDescent="0.35">
      <c r="C750">
        <f t="shared" si="12"/>
        <v>2012</v>
      </c>
      <c r="D750" s="1">
        <v>41267</v>
      </c>
      <c r="E750">
        <v>58.378700000000002</v>
      </c>
    </row>
    <row r="751" spans="3:5" x14ac:dyDescent="0.35">
      <c r="C751">
        <f t="shared" si="12"/>
        <v>2012</v>
      </c>
      <c r="D751" s="1">
        <v>41269</v>
      </c>
      <c r="E751">
        <v>58.378500000000003</v>
      </c>
    </row>
    <row r="752" spans="3:5" x14ac:dyDescent="0.35">
      <c r="C752">
        <f t="shared" si="12"/>
        <v>2012</v>
      </c>
      <c r="D752" s="1">
        <v>41270</v>
      </c>
      <c r="E752">
        <v>56.601300000000002</v>
      </c>
    </row>
    <row r="753" spans="3:5" x14ac:dyDescent="0.35">
      <c r="C753">
        <f t="shared" si="12"/>
        <v>2012</v>
      </c>
      <c r="D753" s="1">
        <v>41271</v>
      </c>
      <c r="E753">
        <v>56.668799999999997</v>
      </c>
    </row>
    <row r="754" spans="3:5" x14ac:dyDescent="0.35">
      <c r="C754">
        <f t="shared" si="12"/>
        <v>2012</v>
      </c>
      <c r="D754" s="1">
        <v>41274</v>
      </c>
      <c r="E754">
        <v>56.5184</v>
      </c>
    </row>
    <row r="755" spans="3:5" x14ac:dyDescent="0.35">
      <c r="C755">
        <f t="shared" si="12"/>
        <v>2013</v>
      </c>
      <c r="D755" s="1">
        <v>41276</v>
      </c>
      <c r="E755">
        <v>57.208500000000001</v>
      </c>
    </row>
    <row r="756" spans="3:5" x14ac:dyDescent="0.35">
      <c r="C756">
        <f t="shared" si="12"/>
        <v>2013</v>
      </c>
      <c r="D756" s="1">
        <v>41277</v>
      </c>
      <c r="E756">
        <v>57.084099999999999</v>
      </c>
    </row>
    <row r="757" spans="3:5" x14ac:dyDescent="0.35">
      <c r="C757">
        <f t="shared" si="12"/>
        <v>2013</v>
      </c>
      <c r="D757" s="1">
        <v>41278</v>
      </c>
      <c r="E757">
        <v>58.130099999999999</v>
      </c>
    </row>
    <row r="758" spans="3:5" x14ac:dyDescent="0.35">
      <c r="C758">
        <f t="shared" si="12"/>
        <v>2013</v>
      </c>
      <c r="D758" s="1">
        <v>41281</v>
      </c>
      <c r="E758">
        <v>59.4514</v>
      </c>
    </row>
    <row r="759" spans="3:5" x14ac:dyDescent="0.35">
      <c r="C759">
        <f t="shared" si="12"/>
        <v>2013</v>
      </c>
      <c r="D759" s="1">
        <v>41282</v>
      </c>
      <c r="E759">
        <v>59.104900000000001</v>
      </c>
    </row>
    <row r="760" spans="3:5" x14ac:dyDescent="0.35">
      <c r="C760">
        <f t="shared" si="12"/>
        <v>2013</v>
      </c>
      <c r="D760" s="1">
        <v>41283</v>
      </c>
      <c r="E760">
        <v>61.614800000000002</v>
      </c>
    </row>
    <row r="761" spans="3:5" x14ac:dyDescent="0.35">
      <c r="C761">
        <f t="shared" si="12"/>
        <v>2013</v>
      </c>
      <c r="D761" s="1">
        <v>41284</v>
      </c>
      <c r="E761">
        <v>60.308300000000003</v>
      </c>
    </row>
    <row r="762" spans="3:5" x14ac:dyDescent="0.35">
      <c r="C762">
        <f t="shared" si="12"/>
        <v>2013</v>
      </c>
      <c r="D762" s="1">
        <v>41285</v>
      </c>
      <c r="E762">
        <v>62.169699999999999</v>
      </c>
    </row>
    <row r="763" spans="3:5" x14ac:dyDescent="0.35">
      <c r="C763">
        <f t="shared" si="12"/>
        <v>2013</v>
      </c>
      <c r="D763" s="1">
        <v>41288</v>
      </c>
      <c r="E763">
        <v>60.817399999999999</v>
      </c>
    </row>
    <row r="764" spans="3:5" x14ac:dyDescent="0.35">
      <c r="C764">
        <f t="shared" si="12"/>
        <v>2013</v>
      </c>
      <c r="D764" s="1">
        <v>41289</v>
      </c>
      <c r="E764">
        <v>60.883099999999999</v>
      </c>
    </row>
    <row r="765" spans="3:5" x14ac:dyDescent="0.35">
      <c r="C765">
        <f t="shared" si="12"/>
        <v>2013</v>
      </c>
      <c r="D765" s="1">
        <v>41290</v>
      </c>
      <c r="E765">
        <v>60.713200000000001</v>
      </c>
    </row>
    <row r="766" spans="3:5" x14ac:dyDescent="0.35">
      <c r="C766">
        <f t="shared" si="12"/>
        <v>2013</v>
      </c>
      <c r="D766" s="1">
        <v>41291</v>
      </c>
      <c r="E766">
        <v>61.508400000000002</v>
      </c>
    </row>
    <row r="767" spans="3:5" x14ac:dyDescent="0.35">
      <c r="C767">
        <f t="shared" si="12"/>
        <v>2013</v>
      </c>
      <c r="D767" s="1">
        <v>41292</v>
      </c>
      <c r="E767">
        <v>62.012599999999999</v>
      </c>
    </row>
    <row r="768" spans="3:5" x14ac:dyDescent="0.35">
      <c r="C768">
        <f t="shared" si="12"/>
        <v>2013</v>
      </c>
      <c r="D768" s="1">
        <v>41296</v>
      </c>
      <c r="E768">
        <v>61.945099999999996</v>
      </c>
    </row>
    <row r="769" spans="3:5" x14ac:dyDescent="0.35">
      <c r="C769">
        <f t="shared" si="12"/>
        <v>2013</v>
      </c>
      <c r="D769" s="1">
        <v>41297</v>
      </c>
      <c r="E769">
        <v>62.963000000000001</v>
      </c>
    </row>
    <row r="770" spans="3:5" x14ac:dyDescent="0.35">
      <c r="C770">
        <f t="shared" si="12"/>
        <v>2013</v>
      </c>
      <c r="D770" s="1">
        <v>41298</v>
      </c>
      <c r="E770">
        <v>66.420100000000005</v>
      </c>
    </row>
    <row r="771" spans="3:5" x14ac:dyDescent="0.35">
      <c r="C771">
        <f t="shared" ref="C771:C834" si="13">YEAR(D771)</f>
        <v>2013</v>
      </c>
      <c r="D771" s="1">
        <v>41299</v>
      </c>
      <c r="E771">
        <v>68.148099999999999</v>
      </c>
    </row>
    <row r="772" spans="3:5" x14ac:dyDescent="0.35">
      <c r="C772">
        <f t="shared" si="13"/>
        <v>2013</v>
      </c>
      <c r="D772" s="1">
        <v>41302</v>
      </c>
      <c r="E772">
        <v>64.294799999999995</v>
      </c>
    </row>
    <row r="773" spans="3:5" x14ac:dyDescent="0.35">
      <c r="C773">
        <f t="shared" si="13"/>
        <v>2013</v>
      </c>
      <c r="D773" s="1">
        <v>41303</v>
      </c>
      <c r="E773">
        <v>65.766900000000007</v>
      </c>
    </row>
    <row r="774" spans="3:5" x14ac:dyDescent="0.35">
      <c r="C774">
        <f t="shared" si="13"/>
        <v>2013</v>
      </c>
      <c r="D774" s="1">
        <v>41304</v>
      </c>
      <c r="E774">
        <v>61.948999999999998</v>
      </c>
    </row>
    <row r="775" spans="3:5" x14ac:dyDescent="0.35">
      <c r="C775">
        <f t="shared" si="13"/>
        <v>2013</v>
      </c>
      <c r="D775" s="1">
        <v>41305</v>
      </c>
      <c r="E775">
        <v>60.237000000000002</v>
      </c>
    </row>
    <row r="776" spans="3:5" x14ac:dyDescent="0.35">
      <c r="C776">
        <f t="shared" si="13"/>
        <v>2013</v>
      </c>
      <c r="D776" s="1">
        <v>41306</v>
      </c>
      <c r="E776">
        <v>60.348399999999998</v>
      </c>
    </row>
    <row r="777" spans="3:5" x14ac:dyDescent="0.35">
      <c r="C777">
        <f t="shared" si="13"/>
        <v>2013</v>
      </c>
      <c r="D777" s="1">
        <v>41309</v>
      </c>
      <c r="E777">
        <v>62.236499999999999</v>
      </c>
    </row>
    <row r="778" spans="3:5" x14ac:dyDescent="0.35">
      <c r="C778">
        <f t="shared" si="13"/>
        <v>2013</v>
      </c>
      <c r="D778" s="1">
        <v>41310</v>
      </c>
      <c r="E778">
        <v>62.241</v>
      </c>
    </row>
    <row r="779" spans="3:5" x14ac:dyDescent="0.35">
      <c r="C779">
        <f t="shared" si="13"/>
        <v>2013</v>
      </c>
      <c r="D779" s="1">
        <v>41311</v>
      </c>
      <c r="E779">
        <v>62.819200000000002</v>
      </c>
    </row>
    <row r="780" spans="3:5" x14ac:dyDescent="0.35">
      <c r="C780">
        <f t="shared" si="13"/>
        <v>2013</v>
      </c>
      <c r="D780" s="1">
        <v>41312</v>
      </c>
      <c r="E780">
        <v>61.146500000000003</v>
      </c>
    </row>
    <row r="781" spans="3:5" x14ac:dyDescent="0.35">
      <c r="C781">
        <f t="shared" si="13"/>
        <v>2013</v>
      </c>
      <c r="D781" s="1">
        <v>41313</v>
      </c>
      <c r="E781">
        <v>60.433700000000002</v>
      </c>
    </row>
    <row r="782" spans="3:5" x14ac:dyDescent="0.35">
      <c r="C782">
        <f t="shared" si="13"/>
        <v>2013</v>
      </c>
      <c r="D782" s="1">
        <v>41316</v>
      </c>
      <c r="E782">
        <v>60.249099999999999</v>
      </c>
    </row>
    <row r="783" spans="3:5" x14ac:dyDescent="0.35">
      <c r="C783">
        <f t="shared" si="13"/>
        <v>2013</v>
      </c>
      <c r="D783" s="1">
        <v>41317</v>
      </c>
      <c r="E783">
        <v>60.447899999999997</v>
      </c>
    </row>
    <row r="784" spans="3:5" x14ac:dyDescent="0.35">
      <c r="C784">
        <f t="shared" si="13"/>
        <v>2013</v>
      </c>
      <c r="D784" s="1">
        <v>41318</v>
      </c>
      <c r="E784">
        <v>60.715899999999998</v>
      </c>
    </row>
    <row r="785" spans="3:5" x14ac:dyDescent="0.35">
      <c r="C785">
        <f t="shared" si="13"/>
        <v>2013</v>
      </c>
      <c r="D785" s="1">
        <v>41319</v>
      </c>
      <c r="E785">
        <v>63.802700000000002</v>
      </c>
    </row>
    <row r="786" spans="3:5" x14ac:dyDescent="0.35">
      <c r="C786">
        <f t="shared" si="13"/>
        <v>2013</v>
      </c>
      <c r="D786" s="1">
        <v>41320</v>
      </c>
      <c r="E786">
        <v>67.335800000000006</v>
      </c>
    </row>
    <row r="787" spans="3:5" x14ac:dyDescent="0.35">
      <c r="C787">
        <f t="shared" si="13"/>
        <v>2013</v>
      </c>
      <c r="D787" s="1">
        <v>41324</v>
      </c>
      <c r="E787">
        <v>65.141599999999997</v>
      </c>
    </row>
    <row r="788" spans="3:5" x14ac:dyDescent="0.35">
      <c r="C788">
        <f t="shared" si="13"/>
        <v>2013</v>
      </c>
      <c r="D788" s="1">
        <v>41325</v>
      </c>
      <c r="E788">
        <v>66.820499999999996</v>
      </c>
    </row>
    <row r="789" spans="3:5" x14ac:dyDescent="0.35">
      <c r="C789">
        <f t="shared" si="13"/>
        <v>2013</v>
      </c>
      <c r="D789" s="1">
        <v>41326</v>
      </c>
      <c r="E789">
        <v>66.646199999999993</v>
      </c>
    </row>
    <row r="790" spans="3:5" x14ac:dyDescent="0.35">
      <c r="C790">
        <f t="shared" si="13"/>
        <v>2013</v>
      </c>
      <c r="D790" s="1">
        <v>41327</v>
      </c>
      <c r="E790">
        <v>65.250100000000003</v>
      </c>
    </row>
    <row r="791" spans="3:5" x14ac:dyDescent="0.35">
      <c r="C791">
        <f t="shared" si="13"/>
        <v>2013</v>
      </c>
      <c r="D791" s="1">
        <v>41330</v>
      </c>
      <c r="E791">
        <v>65.965199999999996</v>
      </c>
    </row>
    <row r="792" spans="3:5" x14ac:dyDescent="0.35">
      <c r="C792">
        <f t="shared" si="13"/>
        <v>2013</v>
      </c>
      <c r="D792" s="1">
        <v>41331</v>
      </c>
      <c r="E792">
        <v>65.12</v>
      </c>
    </row>
    <row r="793" spans="3:5" x14ac:dyDescent="0.35">
      <c r="C793">
        <f t="shared" si="13"/>
        <v>2013</v>
      </c>
      <c r="D793" s="1">
        <v>41332</v>
      </c>
      <c r="E793">
        <v>66.141099999999994</v>
      </c>
    </row>
    <row r="794" spans="3:5" x14ac:dyDescent="0.35">
      <c r="C794">
        <f t="shared" si="13"/>
        <v>2013</v>
      </c>
      <c r="D794" s="1">
        <v>41333</v>
      </c>
      <c r="E794">
        <v>71.207700000000003</v>
      </c>
    </row>
    <row r="795" spans="3:5" x14ac:dyDescent="0.35">
      <c r="C795">
        <f t="shared" si="13"/>
        <v>2013</v>
      </c>
      <c r="D795" s="1">
        <v>41334</v>
      </c>
      <c r="E795">
        <v>70.222999999999999</v>
      </c>
    </row>
    <row r="796" spans="3:5" x14ac:dyDescent="0.35">
      <c r="C796">
        <f t="shared" si="13"/>
        <v>2013</v>
      </c>
      <c r="D796" s="1">
        <v>41337</v>
      </c>
      <c r="E796">
        <v>71.757400000000004</v>
      </c>
    </row>
    <row r="797" spans="3:5" x14ac:dyDescent="0.35">
      <c r="C797">
        <f t="shared" si="13"/>
        <v>2013</v>
      </c>
      <c r="D797" s="1">
        <v>41338</v>
      </c>
      <c r="E797">
        <v>72.0608</v>
      </c>
    </row>
    <row r="798" spans="3:5" x14ac:dyDescent="0.35">
      <c r="C798">
        <f t="shared" si="13"/>
        <v>2013</v>
      </c>
      <c r="D798" s="1">
        <v>41339</v>
      </c>
      <c r="E798">
        <v>73.865300000000005</v>
      </c>
    </row>
    <row r="799" spans="3:5" x14ac:dyDescent="0.35">
      <c r="C799">
        <f t="shared" si="13"/>
        <v>2013</v>
      </c>
      <c r="D799" s="1">
        <v>41340</v>
      </c>
      <c r="E799">
        <v>72.0428</v>
      </c>
    </row>
    <row r="800" spans="3:5" x14ac:dyDescent="0.35">
      <c r="C800">
        <f t="shared" si="13"/>
        <v>2013</v>
      </c>
      <c r="D800" s="1">
        <v>41341</v>
      </c>
      <c r="E800">
        <v>72.372100000000003</v>
      </c>
    </row>
    <row r="801" spans="3:5" x14ac:dyDescent="0.35">
      <c r="C801">
        <f t="shared" si="13"/>
        <v>2013</v>
      </c>
      <c r="D801" s="1">
        <v>41344</v>
      </c>
      <c r="E801">
        <v>71.262699999999995</v>
      </c>
    </row>
    <row r="802" spans="3:5" x14ac:dyDescent="0.35">
      <c r="C802">
        <f t="shared" si="13"/>
        <v>2013</v>
      </c>
      <c r="D802" s="1">
        <v>41345</v>
      </c>
      <c r="E802">
        <v>71.819400000000002</v>
      </c>
    </row>
    <row r="803" spans="3:5" x14ac:dyDescent="0.35">
      <c r="C803">
        <f t="shared" si="13"/>
        <v>2013</v>
      </c>
      <c r="D803" s="1">
        <v>41346</v>
      </c>
      <c r="E803">
        <v>71.058400000000006</v>
      </c>
    </row>
    <row r="804" spans="3:5" x14ac:dyDescent="0.35">
      <c r="C804">
        <f t="shared" si="13"/>
        <v>2013</v>
      </c>
      <c r="D804" s="1">
        <v>41347</v>
      </c>
      <c r="E804">
        <v>69.086399999999998</v>
      </c>
    </row>
    <row r="805" spans="3:5" x14ac:dyDescent="0.35">
      <c r="C805">
        <f t="shared" si="13"/>
        <v>2013</v>
      </c>
      <c r="D805" s="1">
        <v>41348</v>
      </c>
      <c r="E805">
        <v>68.525400000000005</v>
      </c>
    </row>
    <row r="806" spans="3:5" x14ac:dyDescent="0.35">
      <c r="C806">
        <f t="shared" si="13"/>
        <v>2013</v>
      </c>
      <c r="D806" s="1">
        <v>41351</v>
      </c>
      <c r="E806">
        <v>67.022599999999997</v>
      </c>
    </row>
    <row r="807" spans="3:5" x14ac:dyDescent="0.35">
      <c r="C807">
        <f t="shared" si="13"/>
        <v>2013</v>
      </c>
      <c r="D807" s="1">
        <v>41352</v>
      </c>
      <c r="E807">
        <v>67.613699999999994</v>
      </c>
    </row>
    <row r="808" spans="3:5" x14ac:dyDescent="0.35">
      <c r="C808">
        <f t="shared" si="13"/>
        <v>2013</v>
      </c>
      <c r="D808" s="1">
        <v>41353</v>
      </c>
      <c r="E808">
        <v>68.400800000000004</v>
      </c>
    </row>
    <row r="809" spans="3:5" x14ac:dyDescent="0.35">
      <c r="C809">
        <f t="shared" si="13"/>
        <v>2013</v>
      </c>
      <c r="D809" s="1">
        <v>41354</v>
      </c>
      <c r="E809">
        <v>68.098500000000001</v>
      </c>
    </row>
    <row r="810" spans="3:5" x14ac:dyDescent="0.35">
      <c r="C810">
        <f t="shared" si="13"/>
        <v>2013</v>
      </c>
      <c r="D810" s="1">
        <v>41355</v>
      </c>
      <c r="E810">
        <v>67.8309</v>
      </c>
    </row>
    <row r="811" spans="3:5" x14ac:dyDescent="0.35">
      <c r="C811">
        <f t="shared" si="13"/>
        <v>2013</v>
      </c>
      <c r="D811" s="1">
        <v>41358</v>
      </c>
      <c r="E811">
        <v>69.428200000000004</v>
      </c>
    </row>
    <row r="812" spans="3:5" x14ac:dyDescent="0.35">
      <c r="C812">
        <f t="shared" si="13"/>
        <v>2013</v>
      </c>
      <c r="D812" s="1">
        <v>41359</v>
      </c>
      <c r="E812">
        <v>68.702100000000002</v>
      </c>
    </row>
    <row r="813" spans="3:5" x14ac:dyDescent="0.35">
      <c r="C813">
        <f t="shared" si="13"/>
        <v>2013</v>
      </c>
      <c r="D813" s="1">
        <v>41360</v>
      </c>
      <c r="E813">
        <v>68.369</v>
      </c>
    </row>
    <row r="814" spans="3:5" x14ac:dyDescent="0.35">
      <c r="C814">
        <f t="shared" si="13"/>
        <v>2013</v>
      </c>
      <c r="D814" s="1">
        <v>41361</v>
      </c>
      <c r="E814">
        <v>69.268900000000002</v>
      </c>
    </row>
    <row r="815" spans="3:5" x14ac:dyDescent="0.35">
      <c r="C815">
        <f t="shared" si="13"/>
        <v>2013</v>
      </c>
      <c r="D815" s="1">
        <v>41365</v>
      </c>
      <c r="E815">
        <v>69.706800000000001</v>
      </c>
    </row>
    <row r="816" spans="3:5" x14ac:dyDescent="0.35">
      <c r="C816">
        <f t="shared" si="13"/>
        <v>2013</v>
      </c>
      <c r="D816" s="1">
        <v>41366</v>
      </c>
      <c r="E816">
        <v>70.630099999999999</v>
      </c>
    </row>
    <row r="817" spans="3:5" x14ac:dyDescent="0.35">
      <c r="C817">
        <f t="shared" si="13"/>
        <v>2013</v>
      </c>
      <c r="D817" s="1">
        <v>41367</v>
      </c>
      <c r="E817">
        <v>71.696100000000001</v>
      </c>
    </row>
    <row r="818" spans="3:5" x14ac:dyDescent="0.35">
      <c r="C818">
        <f t="shared" si="13"/>
        <v>2013</v>
      </c>
      <c r="D818" s="1">
        <v>41368</v>
      </c>
      <c r="E818">
        <v>71.193600000000004</v>
      </c>
    </row>
    <row r="819" spans="3:5" x14ac:dyDescent="0.35">
      <c r="C819">
        <f t="shared" si="13"/>
        <v>2013</v>
      </c>
      <c r="D819" s="1">
        <v>41369</v>
      </c>
      <c r="E819">
        <v>68.044300000000007</v>
      </c>
    </row>
    <row r="820" spans="3:5" x14ac:dyDescent="0.35">
      <c r="C820">
        <f t="shared" si="13"/>
        <v>2013</v>
      </c>
      <c r="D820" s="1">
        <v>41372</v>
      </c>
      <c r="E820">
        <v>68.374099999999999</v>
      </c>
    </row>
    <row r="821" spans="3:5" x14ac:dyDescent="0.35">
      <c r="C821">
        <f t="shared" si="13"/>
        <v>2013</v>
      </c>
      <c r="D821" s="1">
        <v>41373</v>
      </c>
      <c r="E821">
        <v>68.587400000000002</v>
      </c>
    </row>
    <row r="822" spans="3:5" x14ac:dyDescent="0.35">
      <c r="C822">
        <f t="shared" si="13"/>
        <v>2013</v>
      </c>
      <c r="D822" s="1">
        <v>41374</v>
      </c>
      <c r="E822">
        <v>68.725999999999999</v>
      </c>
    </row>
    <row r="823" spans="3:5" x14ac:dyDescent="0.35">
      <c r="C823">
        <f t="shared" si="13"/>
        <v>2013</v>
      </c>
      <c r="D823" s="1">
        <v>41375</v>
      </c>
      <c r="E823">
        <v>68.598299999999995</v>
      </c>
    </row>
    <row r="824" spans="3:5" x14ac:dyDescent="0.35">
      <c r="C824">
        <f t="shared" si="13"/>
        <v>2013</v>
      </c>
      <c r="D824" s="1">
        <v>41376</v>
      </c>
      <c r="E824">
        <v>69.69</v>
      </c>
    </row>
    <row r="825" spans="3:5" x14ac:dyDescent="0.35">
      <c r="C825">
        <f t="shared" si="13"/>
        <v>2013</v>
      </c>
      <c r="D825" s="1">
        <v>41379</v>
      </c>
      <c r="E825">
        <v>78.433700000000002</v>
      </c>
    </row>
    <row r="826" spans="3:5" x14ac:dyDescent="0.35">
      <c r="C826">
        <f t="shared" si="13"/>
        <v>2013</v>
      </c>
      <c r="D826" s="1">
        <v>41380</v>
      </c>
      <c r="E826">
        <v>78.0779</v>
      </c>
    </row>
    <row r="827" spans="3:5" x14ac:dyDescent="0.35">
      <c r="C827">
        <f t="shared" si="13"/>
        <v>2013</v>
      </c>
      <c r="D827" s="1">
        <v>41381</v>
      </c>
      <c r="E827">
        <v>79.498699999999999</v>
      </c>
    </row>
    <row r="828" spans="3:5" x14ac:dyDescent="0.35">
      <c r="C828">
        <f t="shared" si="13"/>
        <v>2013</v>
      </c>
      <c r="D828" s="1">
        <v>41382</v>
      </c>
      <c r="E828">
        <v>76.709900000000005</v>
      </c>
    </row>
    <row r="829" spans="3:5" x14ac:dyDescent="0.35">
      <c r="C829">
        <f t="shared" si="13"/>
        <v>2013</v>
      </c>
      <c r="D829" s="1">
        <v>41383</v>
      </c>
      <c r="E829">
        <v>76.444699999999997</v>
      </c>
    </row>
    <row r="830" spans="3:5" x14ac:dyDescent="0.35">
      <c r="C830">
        <f t="shared" si="13"/>
        <v>2013</v>
      </c>
      <c r="D830" s="1">
        <v>41386</v>
      </c>
      <c r="E830">
        <v>75.667500000000004</v>
      </c>
    </row>
    <row r="831" spans="3:5" x14ac:dyDescent="0.35">
      <c r="C831">
        <f t="shared" si="13"/>
        <v>2013</v>
      </c>
      <c r="D831" s="1">
        <v>41387</v>
      </c>
      <c r="E831">
        <v>76.211299999999994</v>
      </c>
    </row>
    <row r="832" spans="3:5" x14ac:dyDescent="0.35">
      <c r="C832">
        <f t="shared" si="13"/>
        <v>2013</v>
      </c>
      <c r="D832" s="1">
        <v>41388</v>
      </c>
      <c r="E832">
        <v>78.231700000000004</v>
      </c>
    </row>
    <row r="833" spans="3:5" x14ac:dyDescent="0.35">
      <c r="C833">
        <f t="shared" si="13"/>
        <v>2013</v>
      </c>
      <c r="D833" s="1">
        <v>41389</v>
      </c>
      <c r="E833">
        <v>76.591099999999997</v>
      </c>
    </row>
    <row r="834" spans="3:5" x14ac:dyDescent="0.35">
      <c r="C834">
        <f t="shared" si="13"/>
        <v>2013</v>
      </c>
      <c r="D834" s="1">
        <v>41390</v>
      </c>
      <c r="E834">
        <v>78.843599999999995</v>
      </c>
    </row>
    <row r="835" spans="3:5" x14ac:dyDescent="0.35">
      <c r="C835">
        <f t="shared" ref="C835:C898" si="14">YEAR(D835)</f>
        <v>2013</v>
      </c>
      <c r="D835" s="1">
        <v>41393</v>
      </c>
      <c r="E835">
        <v>76.1751</v>
      </c>
    </row>
    <row r="836" spans="3:5" x14ac:dyDescent="0.35">
      <c r="C836">
        <f t="shared" si="14"/>
        <v>2013</v>
      </c>
      <c r="D836" s="1">
        <v>41394</v>
      </c>
      <c r="E836">
        <v>76.410899999999998</v>
      </c>
    </row>
    <row r="837" spans="3:5" x14ac:dyDescent="0.35">
      <c r="C837">
        <f t="shared" si="14"/>
        <v>2013</v>
      </c>
      <c r="D837" s="1">
        <v>41395</v>
      </c>
      <c r="E837">
        <v>77.887799999999999</v>
      </c>
    </row>
    <row r="838" spans="3:5" x14ac:dyDescent="0.35">
      <c r="C838">
        <f t="shared" si="14"/>
        <v>2013</v>
      </c>
      <c r="D838" s="1">
        <v>41396</v>
      </c>
      <c r="E838">
        <v>78.569400000000002</v>
      </c>
    </row>
    <row r="839" spans="3:5" x14ac:dyDescent="0.35">
      <c r="C839">
        <f t="shared" si="14"/>
        <v>2013</v>
      </c>
      <c r="D839" s="1">
        <v>41397</v>
      </c>
      <c r="E839">
        <v>81.173699999999997</v>
      </c>
    </row>
    <row r="840" spans="3:5" x14ac:dyDescent="0.35">
      <c r="C840">
        <f t="shared" si="14"/>
        <v>2013</v>
      </c>
      <c r="D840" s="1">
        <v>41400</v>
      </c>
      <c r="E840">
        <v>83.627499999999998</v>
      </c>
    </row>
    <row r="841" spans="3:5" x14ac:dyDescent="0.35">
      <c r="C841">
        <f t="shared" si="14"/>
        <v>2013</v>
      </c>
      <c r="D841" s="1">
        <v>41401</v>
      </c>
      <c r="E841">
        <v>82.7196</v>
      </c>
    </row>
    <row r="842" spans="3:5" x14ac:dyDescent="0.35">
      <c r="C842">
        <f t="shared" si="14"/>
        <v>2013</v>
      </c>
      <c r="D842" s="1">
        <v>41402</v>
      </c>
      <c r="E842">
        <v>82.142700000000005</v>
      </c>
    </row>
    <row r="843" spans="3:5" x14ac:dyDescent="0.35">
      <c r="C843">
        <f t="shared" si="14"/>
        <v>2013</v>
      </c>
      <c r="D843" s="1">
        <v>41403</v>
      </c>
      <c r="E843">
        <v>82.333200000000005</v>
      </c>
    </row>
    <row r="844" spans="3:5" x14ac:dyDescent="0.35">
      <c r="C844">
        <f t="shared" si="14"/>
        <v>2013</v>
      </c>
      <c r="D844" s="1">
        <v>41404</v>
      </c>
      <c r="E844">
        <v>84.297499999999999</v>
      </c>
    </row>
    <row r="845" spans="3:5" x14ac:dyDescent="0.35">
      <c r="C845">
        <f t="shared" si="14"/>
        <v>2013</v>
      </c>
      <c r="D845" s="1">
        <v>41407</v>
      </c>
      <c r="E845">
        <v>83.675200000000004</v>
      </c>
    </row>
    <row r="846" spans="3:5" x14ac:dyDescent="0.35">
      <c r="C846">
        <f t="shared" si="14"/>
        <v>2013</v>
      </c>
      <c r="D846" s="1">
        <v>41408</v>
      </c>
      <c r="E846">
        <v>84.941100000000006</v>
      </c>
    </row>
    <row r="847" spans="3:5" x14ac:dyDescent="0.35">
      <c r="C847">
        <f t="shared" si="14"/>
        <v>2013</v>
      </c>
      <c r="D847" s="1">
        <v>41409</v>
      </c>
      <c r="E847">
        <v>89.219499999999996</v>
      </c>
    </row>
    <row r="848" spans="3:5" x14ac:dyDescent="0.35">
      <c r="C848">
        <f t="shared" si="14"/>
        <v>2013</v>
      </c>
      <c r="D848" s="1">
        <v>41410</v>
      </c>
      <c r="E848">
        <v>88.392200000000003</v>
      </c>
    </row>
    <row r="849" spans="3:5" x14ac:dyDescent="0.35">
      <c r="C849">
        <f t="shared" si="14"/>
        <v>2013</v>
      </c>
      <c r="D849" s="1">
        <v>41411</v>
      </c>
      <c r="E849">
        <v>90.881</v>
      </c>
    </row>
    <row r="850" spans="3:5" x14ac:dyDescent="0.35">
      <c r="C850">
        <f t="shared" si="14"/>
        <v>2013</v>
      </c>
      <c r="D850" s="1">
        <v>41414</v>
      </c>
      <c r="E850">
        <v>88.883099999999999</v>
      </c>
    </row>
    <row r="851" spans="3:5" x14ac:dyDescent="0.35">
      <c r="C851">
        <f t="shared" si="14"/>
        <v>2013</v>
      </c>
      <c r="D851" s="1">
        <v>41415</v>
      </c>
      <c r="E851">
        <v>92.156199999999998</v>
      </c>
    </row>
    <row r="852" spans="3:5" x14ac:dyDescent="0.35">
      <c r="C852">
        <f t="shared" si="14"/>
        <v>2013</v>
      </c>
      <c r="D852" s="1">
        <v>41416</v>
      </c>
      <c r="E852">
        <v>92.974500000000006</v>
      </c>
    </row>
    <row r="853" spans="3:5" x14ac:dyDescent="0.35">
      <c r="C853">
        <f t="shared" si="14"/>
        <v>2013</v>
      </c>
      <c r="D853" s="1">
        <v>41417</v>
      </c>
      <c r="E853">
        <v>91.903800000000004</v>
      </c>
    </row>
    <row r="854" spans="3:5" x14ac:dyDescent="0.35">
      <c r="C854">
        <f t="shared" si="14"/>
        <v>2013</v>
      </c>
      <c r="D854" s="1">
        <v>41418</v>
      </c>
      <c r="E854">
        <v>93.408000000000001</v>
      </c>
    </row>
    <row r="855" spans="3:5" x14ac:dyDescent="0.35">
      <c r="C855">
        <f t="shared" si="14"/>
        <v>2013</v>
      </c>
      <c r="D855" s="1">
        <v>41422</v>
      </c>
      <c r="E855">
        <v>95.564599999999999</v>
      </c>
    </row>
    <row r="856" spans="3:5" x14ac:dyDescent="0.35">
      <c r="C856">
        <f t="shared" si="14"/>
        <v>2013</v>
      </c>
      <c r="D856" s="1">
        <v>41423</v>
      </c>
      <c r="E856">
        <v>91.983400000000003</v>
      </c>
    </row>
    <row r="857" spans="3:5" x14ac:dyDescent="0.35">
      <c r="C857">
        <f t="shared" si="14"/>
        <v>2013</v>
      </c>
      <c r="D857" s="1">
        <v>41424</v>
      </c>
      <c r="E857">
        <v>90.001400000000004</v>
      </c>
    </row>
    <row r="858" spans="3:5" x14ac:dyDescent="0.35">
      <c r="C858">
        <f t="shared" si="14"/>
        <v>2013</v>
      </c>
      <c r="D858" s="1">
        <v>41425</v>
      </c>
      <c r="E858">
        <v>90.289100000000005</v>
      </c>
    </row>
    <row r="859" spans="3:5" x14ac:dyDescent="0.35">
      <c r="C859">
        <f t="shared" si="14"/>
        <v>2013</v>
      </c>
      <c r="D859" s="1">
        <v>41428</v>
      </c>
      <c r="E859">
        <v>75.181700000000006</v>
      </c>
    </row>
    <row r="860" spans="3:5" x14ac:dyDescent="0.35">
      <c r="C860">
        <f t="shared" si="14"/>
        <v>2013</v>
      </c>
      <c r="D860" s="1">
        <v>41429</v>
      </c>
      <c r="E860">
        <v>82.837699999999998</v>
      </c>
    </row>
    <row r="861" spans="3:5" x14ac:dyDescent="0.35">
      <c r="C861">
        <f t="shared" si="14"/>
        <v>2013</v>
      </c>
      <c r="D861" s="1">
        <v>41430</v>
      </c>
      <c r="E861">
        <v>84.337299999999999</v>
      </c>
    </row>
    <row r="862" spans="3:5" x14ac:dyDescent="0.35">
      <c r="C862">
        <f t="shared" si="14"/>
        <v>2013</v>
      </c>
      <c r="D862" s="1">
        <v>41431</v>
      </c>
      <c r="E862">
        <v>77.962299999999999</v>
      </c>
    </row>
    <row r="863" spans="3:5" x14ac:dyDescent="0.35">
      <c r="C863">
        <f t="shared" si="14"/>
        <v>2013</v>
      </c>
      <c r="D863" s="1">
        <v>41432</v>
      </c>
      <c r="E863">
        <v>83.508600000000001</v>
      </c>
    </row>
    <row r="864" spans="3:5" x14ac:dyDescent="0.35">
      <c r="C864">
        <f t="shared" si="14"/>
        <v>2013</v>
      </c>
      <c r="D864" s="1">
        <v>41435</v>
      </c>
      <c r="E864">
        <v>82.6982</v>
      </c>
    </row>
    <row r="865" spans="3:5" x14ac:dyDescent="0.35">
      <c r="C865">
        <f t="shared" si="14"/>
        <v>2013</v>
      </c>
      <c r="D865" s="1">
        <v>41436</v>
      </c>
      <c r="E865">
        <v>77.773499999999999</v>
      </c>
    </row>
    <row r="866" spans="3:5" x14ac:dyDescent="0.35">
      <c r="C866">
        <f t="shared" si="14"/>
        <v>2013</v>
      </c>
      <c r="D866" s="1">
        <v>41437</v>
      </c>
      <c r="E866">
        <v>78.135300000000001</v>
      </c>
    </row>
    <row r="867" spans="3:5" x14ac:dyDescent="0.35">
      <c r="C867">
        <f t="shared" si="14"/>
        <v>2013</v>
      </c>
      <c r="D867" s="1">
        <v>41438</v>
      </c>
      <c r="E867">
        <v>80.267600000000002</v>
      </c>
    </row>
    <row r="868" spans="3:5" x14ac:dyDescent="0.35">
      <c r="C868">
        <f t="shared" si="14"/>
        <v>2013</v>
      </c>
      <c r="D868" s="1">
        <v>41439</v>
      </c>
      <c r="E868">
        <v>84.063900000000004</v>
      </c>
    </row>
    <row r="869" spans="3:5" x14ac:dyDescent="0.35">
      <c r="C869">
        <f t="shared" si="14"/>
        <v>2013</v>
      </c>
      <c r="D869" s="1">
        <v>41442</v>
      </c>
      <c r="E869">
        <v>82.7346</v>
      </c>
    </row>
    <row r="870" spans="3:5" x14ac:dyDescent="0.35">
      <c r="C870">
        <f t="shared" si="14"/>
        <v>2013</v>
      </c>
      <c r="D870" s="1">
        <v>41443</v>
      </c>
      <c r="E870">
        <v>85.546499999999995</v>
      </c>
    </row>
    <row r="871" spans="3:5" x14ac:dyDescent="0.35">
      <c r="C871">
        <f t="shared" si="14"/>
        <v>2013</v>
      </c>
      <c r="D871" s="1">
        <v>41444</v>
      </c>
      <c r="E871">
        <v>85.225099999999998</v>
      </c>
    </row>
    <row r="872" spans="3:5" x14ac:dyDescent="0.35">
      <c r="C872">
        <f t="shared" si="14"/>
        <v>2013</v>
      </c>
      <c r="D872" s="1">
        <v>41445</v>
      </c>
      <c r="E872">
        <v>87.344700000000003</v>
      </c>
    </row>
    <row r="873" spans="3:5" x14ac:dyDescent="0.35">
      <c r="C873">
        <f t="shared" si="14"/>
        <v>2013</v>
      </c>
      <c r="D873" s="1">
        <v>41446</v>
      </c>
      <c r="E873">
        <v>82.521299999999997</v>
      </c>
    </row>
    <row r="874" spans="3:5" x14ac:dyDescent="0.35">
      <c r="C874">
        <f t="shared" si="14"/>
        <v>2013</v>
      </c>
      <c r="D874" s="1">
        <v>41449</v>
      </c>
      <c r="E874">
        <v>80.509799999999998</v>
      </c>
    </row>
    <row r="875" spans="3:5" x14ac:dyDescent="0.35">
      <c r="C875">
        <f t="shared" si="14"/>
        <v>2013</v>
      </c>
      <c r="D875" s="1">
        <v>41450</v>
      </c>
      <c r="E875">
        <v>87.302199999999999</v>
      </c>
    </row>
    <row r="876" spans="3:5" x14ac:dyDescent="0.35">
      <c r="C876">
        <f t="shared" si="14"/>
        <v>2013</v>
      </c>
      <c r="D876" s="1">
        <v>41451</v>
      </c>
      <c r="E876">
        <v>94.070400000000006</v>
      </c>
    </row>
    <row r="877" spans="3:5" x14ac:dyDescent="0.35">
      <c r="C877">
        <f t="shared" si="14"/>
        <v>2013</v>
      </c>
      <c r="D877" s="1">
        <v>41452</v>
      </c>
      <c r="E877">
        <v>101.7058</v>
      </c>
    </row>
    <row r="878" spans="3:5" x14ac:dyDescent="0.35">
      <c r="C878">
        <f t="shared" si="14"/>
        <v>2013</v>
      </c>
      <c r="D878" s="1">
        <v>41453</v>
      </c>
      <c r="E878">
        <v>99.4</v>
      </c>
    </row>
    <row r="879" spans="3:5" x14ac:dyDescent="0.35">
      <c r="C879">
        <f t="shared" si="14"/>
        <v>2013</v>
      </c>
      <c r="D879" s="1">
        <v>41456</v>
      </c>
      <c r="E879">
        <v>97.597099999999998</v>
      </c>
    </row>
    <row r="880" spans="3:5" x14ac:dyDescent="0.35">
      <c r="C880">
        <f t="shared" si="14"/>
        <v>2013</v>
      </c>
      <c r="D880" s="1">
        <v>41457</v>
      </c>
      <c r="E880">
        <v>97.792599999999993</v>
      </c>
    </row>
    <row r="881" spans="3:5" x14ac:dyDescent="0.35">
      <c r="C881">
        <f t="shared" si="14"/>
        <v>2013</v>
      </c>
      <c r="D881" s="1">
        <v>41458</v>
      </c>
      <c r="E881">
        <v>94.348100000000002</v>
      </c>
    </row>
    <row r="882" spans="3:5" x14ac:dyDescent="0.35">
      <c r="C882">
        <f t="shared" si="14"/>
        <v>2013</v>
      </c>
      <c r="D882" s="1">
        <v>41460</v>
      </c>
      <c r="E882">
        <v>98.823499999999996</v>
      </c>
    </row>
    <row r="883" spans="3:5" x14ac:dyDescent="0.35">
      <c r="C883">
        <f t="shared" si="14"/>
        <v>2013</v>
      </c>
      <c r="D883" s="1">
        <v>41463</v>
      </c>
      <c r="E883">
        <v>97.067400000000006</v>
      </c>
    </row>
    <row r="884" spans="3:5" x14ac:dyDescent="0.35">
      <c r="C884">
        <f t="shared" si="14"/>
        <v>2013</v>
      </c>
      <c r="D884" s="1">
        <v>41464</v>
      </c>
      <c r="E884">
        <v>102.10080000000001</v>
      </c>
    </row>
    <row r="885" spans="3:5" x14ac:dyDescent="0.35">
      <c r="C885">
        <f t="shared" si="14"/>
        <v>2013</v>
      </c>
      <c r="D885" s="1">
        <v>41465</v>
      </c>
      <c r="E885">
        <v>103.3417</v>
      </c>
    </row>
    <row r="886" spans="3:5" x14ac:dyDescent="0.35">
      <c r="C886">
        <f t="shared" si="14"/>
        <v>2013</v>
      </c>
      <c r="D886" s="1">
        <v>41466</v>
      </c>
      <c r="E886">
        <v>101.2684</v>
      </c>
    </row>
    <row r="887" spans="3:5" x14ac:dyDescent="0.35">
      <c r="C887">
        <f t="shared" si="14"/>
        <v>2013</v>
      </c>
      <c r="D887" s="1">
        <v>41467</v>
      </c>
      <c r="E887">
        <v>100.91119999999999</v>
      </c>
    </row>
    <row r="888" spans="3:5" x14ac:dyDescent="0.35">
      <c r="C888">
        <f t="shared" si="14"/>
        <v>2013</v>
      </c>
      <c r="D888" s="1">
        <v>41470</v>
      </c>
      <c r="E888">
        <v>100.04259999999999</v>
      </c>
    </row>
    <row r="889" spans="3:5" x14ac:dyDescent="0.35">
      <c r="C889">
        <f t="shared" si="14"/>
        <v>2013</v>
      </c>
      <c r="D889" s="1">
        <v>41471</v>
      </c>
      <c r="E889">
        <v>100.5312</v>
      </c>
    </row>
    <row r="890" spans="3:5" x14ac:dyDescent="0.35">
      <c r="C890">
        <f t="shared" si="14"/>
        <v>2013</v>
      </c>
      <c r="D890" s="1">
        <v>41472</v>
      </c>
      <c r="E890">
        <v>101.4295</v>
      </c>
    </row>
    <row r="891" spans="3:5" x14ac:dyDescent="0.35">
      <c r="C891">
        <f t="shared" si="14"/>
        <v>2013</v>
      </c>
      <c r="D891" s="1">
        <v>41473</v>
      </c>
      <c r="E891">
        <v>102.1639</v>
      </c>
    </row>
    <row r="892" spans="3:5" x14ac:dyDescent="0.35">
      <c r="C892">
        <f t="shared" si="14"/>
        <v>2013</v>
      </c>
      <c r="D892" s="1">
        <v>41474</v>
      </c>
      <c r="E892">
        <v>99.440100000000001</v>
      </c>
    </row>
    <row r="893" spans="3:5" x14ac:dyDescent="0.35">
      <c r="C893">
        <f t="shared" si="14"/>
        <v>2013</v>
      </c>
      <c r="D893" s="1">
        <v>41477</v>
      </c>
      <c r="E893">
        <v>97.947599999999994</v>
      </c>
    </row>
    <row r="894" spans="3:5" x14ac:dyDescent="0.35">
      <c r="C894">
        <f t="shared" si="14"/>
        <v>2013</v>
      </c>
      <c r="D894" s="1">
        <v>41478</v>
      </c>
      <c r="E894">
        <v>98.990899999999996</v>
      </c>
    </row>
    <row r="895" spans="3:5" x14ac:dyDescent="0.35">
      <c r="C895">
        <f t="shared" si="14"/>
        <v>2013</v>
      </c>
      <c r="D895" s="1">
        <v>41479</v>
      </c>
      <c r="E895">
        <v>100.4868</v>
      </c>
    </row>
    <row r="896" spans="3:5" x14ac:dyDescent="0.35">
      <c r="C896">
        <f t="shared" si="14"/>
        <v>2013</v>
      </c>
      <c r="D896" s="1">
        <v>41480</v>
      </c>
      <c r="E896">
        <v>97.905000000000001</v>
      </c>
    </row>
    <row r="897" spans="3:5" x14ac:dyDescent="0.35">
      <c r="C897">
        <f t="shared" si="14"/>
        <v>2013</v>
      </c>
      <c r="D897" s="1">
        <v>41481</v>
      </c>
      <c r="E897">
        <v>99.454300000000003</v>
      </c>
    </row>
    <row r="898" spans="3:5" x14ac:dyDescent="0.35">
      <c r="C898">
        <f t="shared" si="14"/>
        <v>2013</v>
      </c>
      <c r="D898" s="1">
        <v>41484</v>
      </c>
      <c r="E898">
        <v>98.546899999999994</v>
      </c>
    </row>
    <row r="899" spans="3:5" x14ac:dyDescent="0.35">
      <c r="C899">
        <f t="shared" ref="C899:C962" si="15">YEAR(D899)</f>
        <v>2013</v>
      </c>
      <c r="D899" s="1">
        <v>41485</v>
      </c>
      <c r="E899">
        <v>100.2257</v>
      </c>
    </row>
    <row r="900" spans="3:5" x14ac:dyDescent="0.35">
      <c r="C900">
        <f t="shared" si="15"/>
        <v>2013</v>
      </c>
      <c r="D900" s="1">
        <v>41486</v>
      </c>
      <c r="E900">
        <v>100.5954</v>
      </c>
    </row>
    <row r="901" spans="3:5" x14ac:dyDescent="0.35">
      <c r="C901">
        <f t="shared" si="15"/>
        <v>2013</v>
      </c>
      <c r="D901" s="1">
        <v>41487</v>
      </c>
      <c r="E901">
        <v>99.402900000000002</v>
      </c>
    </row>
    <row r="902" spans="3:5" x14ac:dyDescent="0.35">
      <c r="C902">
        <f t="shared" si="15"/>
        <v>2013</v>
      </c>
      <c r="D902" s="1">
        <v>41488</v>
      </c>
      <c r="E902">
        <v>100.045</v>
      </c>
    </row>
    <row r="903" spans="3:5" x14ac:dyDescent="0.35">
      <c r="C903">
        <f t="shared" si="15"/>
        <v>2013</v>
      </c>
      <c r="D903" s="1">
        <v>41491</v>
      </c>
      <c r="E903">
        <v>102.1477</v>
      </c>
    </row>
    <row r="904" spans="3:5" x14ac:dyDescent="0.35">
      <c r="C904">
        <f t="shared" si="15"/>
        <v>2013</v>
      </c>
      <c r="D904" s="1">
        <v>41492</v>
      </c>
      <c r="E904">
        <v>105.0772</v>
      </c>
    </row>
    <row r="905" spans="3:5" x14ac:dyDescent="0.35">
      <c r="C905">
        <f t="shared" si="15"/>
        <v>2013</v>
      </c>
      <c r="D905" s="1">
        <v>41493</v>
      </c>
      <c r="E905">
        <v>106.004</v>
      </c>
    </row>
    <row r="906" spans="3:5" x14ac:dyDescent="0.35">
      <c r="C906">
        <f t="shared" si="15"/>
        <v>2013</v>
      </c>
      <c r="D906" s="1">
        <v>41494</v>
      </c>
      <c r="E906">
        <v>102.7979</v>
      </c>
    </row>
    <row r="907" spans="3:5" x14ac:dyDescent="0.35">
      <c r="C907">
        <f t="shared" si="15"/>
        <v>2013</v>
      </c>
      <c r="D907" s="1">
        <v>41495</v>
      </c>
      <c r="E907">
        <v>103.07429999999999</v>
      </c>
    </row>
    <row r="908" spans="3:5" x14ac:dyDescent="0.35">
      <c r="C908">
        <f t="shared" si="15"/>
        <v>2013</v>
      </c>
      <c r="D908" s="1">
        <v>41498</v>
      </c>
      <c r="E908">
        <v>105.5852</v>
      </c>
    </row>
    <row r="909" spans="3:5" x14ac:dyDescent="0.35">
      <c r="C909">
        <f t="shared" si="15"/>
        <v>2013</v>
      </c>
      <c r="D909" s="1">
        <v>41499</v>
      </c>
      <c r="E909">
        <v>104.7256</v>
      </c>
    </row>
    <row r="910" spans="3:5" x14ac:dyDescent="0.35">
      <c r="C910">
        <f t="shared" si="15"/>
        <v>2013</v>
      </c>
      <c r="D910" s="1">
        <v>41500</v>
      </c>
      <c r="E910">
        <v>102.3631</v>
      </c>
    </row>
    <row r="911" spans="3:5" x14ac:dyDescent="0.35">
      <c r="C911">
        <f t="shared" si="15"/>
        <v>2013</v>
      </c>
      <c r="D911" s="1">
        <v>41501</v>
      </c>
      <c r="E911">
        <v>98.5702</v>
      </c>
    </row>
    <row r="912" spans="3:5" x14ac:dyDescent="0.35">
      <c r="C912">
        <f t="shared" si="15"/>
        <v>2013</v>
      </c>
      <c r="D912" s="1">
        <v>41502</v>
      </c>
      <c r="E912">
        <v>100.2323</v>
      </c>
    </row>
    <row r="913" spans="3:5" x14ac:dyDescent="0.35">
      <c r="C913">
        <f t="shared" si="15"/>
        <v>2013</v>
      </c>
      <c r="D913" s="1">
        <v>41505</v>
      </c>
      <c r="E913">
        <v>98.438299999999998</v>
      </c>
    </row>
    <row r="914" spans="3:5" x14ac:dyDescent="0.35">
      <c r="C914">
        <f t="shared" si="15"/>
        <v>2013</v>
      </c>
      <c r="D914" s="1">
        <v>41506</v>
      </c>
      <c r="E914">
        <v>93.247799999999998</v>
      </c>
    </row>
    <row r="915" spans="3:5" x14ac:dyDescent="0.35">
      <c r="C915">
        <f t="shared" si="15"/>
        <v>2013</v>
      </c>
      <c r="D915" s="1">
        <v>41507</v>
      </c>
      <c r="E915">
        <v>86.672700000000006</v>
      </c>
    </row>
    <row r="916" spans="3:5" x14ac:dyDescent="0.35">
      <c r="C916">
        <f t="shared" si="15"/>
        <v>2013</v>
      </c>
      <c r="D916" s="1">
        <v>41508</v>
      </c>
      <c r="E916">
        <v>83.859899999999996</v>
      </c>
    </row>
    <row r="917" spans="3:5" x14ac:dyDescent="0.35">
      <c r="C917">
        <f t="shared" si="15"/>
        <v>2013</v>
      </c>
      <c r="D917" s="1">
        <v>41509</v>
      </c>
      <c r="E917">
        <v>82.043899999999994</v>
      </c>
    </row>
    <row r="918" spans="3:5" x14ac:dyDescent="0.35">
      <c r="C918">
        <f t="shared" si="15"/>
        <v>2013</v>
      </c>
      <c r="D918" s="1">
        <v>41512</v>
      </c>
      <c r="E918">
        <v>83.719499999999996</v>
      </c>
    </row>
    <row r="919" spans="3:5" x14ac:dyDescent="0.35">
      <c r="C919">
        <f t="shared" si="15"/>
        <v>2013</v>
      </c>
      <c r="D919" s="1">
        <v>41513</v>
      </c>
      <c r="E919">
        <v>74.601399999999998</v>
      </c>
    </row>
    <row r="920" spans="3:5" x14ac:dyDescent="0.35">
      <c r="C920">
        <f t="shared" si="15"/>
        <v>2013</v>
      </c>
      <c r="D920" s="1">
        <v>41514</v>
      </c>
      <c r="E920">
        <v>68.958299999999994</v>
      </c>
    </row>
    <row r="921" spans="3:5" x14ac:dyDescent="0.35">
      <c r="C921">
        <f t="shared" si="15"/>
        <v>2013</v>
      </c>
      <c r="D921" s="1">
        <v>41515</v>
      </c>
      <c r="E921">
        <v>68.588399999999993</v>
      </c>
    </row>
    <row r="922" spans="3:5" x14ac:dyDescent="0.35">
      <c r="C922">
        <f t="shared" si="15"/>
        <v>2013</v>
      </c>
      <c r="D922" s="1">
        <v>41516</v>
      </c>
      <c r="E922">
        <v>69.395600000000002</v>
      </c>
    </row>
    <row r="923" spans="3:5" x14ac:dyDescent="0.35">
      <c r="C923">
        <f t="shared" si="15"/>
        <v>2013</v>
      </c>
      <c r="D923" s="1">
        <v>41520</v>
      </c>
      <c r="E923">
        <v>68.099100000000007</v>
      </c>
    </row>
    <row r="924" spans="3:5" x14ac:dyDescent="0.35">
      <c r="C924">
        <f t="shared" si="15"/>
        <v>2013</v>
      </c>
      <c r="D924" s="1">
        <v>41521</v>
      </c>
      <c r="E924">
        <v>67.690100000000001</v>
      </c>
    </row>
    <row r="925" spans="3:5" x14ac:dyDescent="0.35">
      <c r="C925">
        <f t="shared" si="15"/>
        <v>2013</v>
      </c>
      <c r="D925" s="1">
        <v>41522</v>
      </c>
      <c r="E925">
        <v>66.604699999999994</v>
      </c>
    </row>
    <row r="926" spans="3:5" x14ac:dyDescent="0.35">
      <c r="C926">
        <f t="shared" si="15"/>
        <v>2013</v>
      </c>
      <c r="D926" s="1">
        <v>41523</v>
      </c>
      <c r="E926">
        <v>64.642499999999998</v>
      </c>
    </row>
    <row r="927" spans="3:5" x14ac:dyDescent="0.35">
      <c r="C927">
        <f t="shared" si="15"/>
        <v>2013</v>
      </c>
      <c r="D927" s="1">
        <v>41526</v>
      </c>
      <c r="E927">
        <v>68.216200000000001</v>
      </c>
    </row>
    <row r="928" spans="3:5" x14ac:dyDescent="0.35">
      <c r="C928">
        <f t="shared" si="15"/>
        <v>2013</v>
      </c>
      <c r="D928" s="1">
        <v>41527</v>
      </c>
      <c r="E928">
        <v>77.952200000000005</v>
      </c>
    </row>
    <row r="929" spans="3:5" x14ac:dyDescent="0.35">
      <c r="C929">
        <f t="shared" si="15"/>
        <v>2013</v>
      </c>
      <c r="D929" s="1">
        <v>41528</v>
      </c>
      <c r="E929">
        <v>77.863100000000003</v>
      </c>
    </row>
    <row r="930" spans="3:5" x14ac:dyDescent="0.35">
      <c r="C930">
        <f t="shared" si="15"/>
        <v>2013</v>
      </c>
      <c r="D930" s="1">
        <v>41529</v>
      </c>
      <c r="E930">
        <v>81.138900000000007</v>
      </c>
    </row>
    <row r="931" spans="3:5" x14ac:dyDescent="0.35">
      <c r="C931">
        <f t="shared" si="15"/>
        <v>2013</v>
      </c>
      <c r="D931" s="1">
        <v>41530</v>
      </c>
      <c r="E931">
        <v>79.780199999999994</v>
      </c>
    </row>
    <row r="932" spans="3:5" x14ac:dyDescent="0.35">
      <c r="C932">
        <f t="shared" si="15"/>
        <v>2013</v>
      </c>
      <c r="D932" s="1">
        <v>41533</v>
      </c>
      <c r="E932">
        <v>83.699600000000004</v>
      </c>
    </row>
    <row r="933" spans="3:5" x14ac:dyDescent="0.35">
      <c r="C933">
        <f t="shared" si="15"/>
        <v>2013</v>
      </c>
      <c r="D933" s="1">
        <v>41534</v>
      </c>
      <c r="E933">
        <v>84.309700000000007</v>
      </c>
    </row>
    <row r="934" spans="3:5" x14ac:dyDescent="0.35">
      <c r="C934">
        <f t="shared" si="15"/>
        <v>2013</v>
      </c>
      <c r="D934" s="1">
        <v>41535</v>
      </c>
      <c r="E934">
        <v>85.570300000000003</v>
      </c>
    </row>
    <row r="935" spans="3:5" x14ac:dyDescent="0.35">
      <c r="C935">
        <f t="shared" si="15"/>
        <v>2013</v>
      </c>
      <c r="D935" s="1">
        <v>41536</v>
      </c>
      <c r="E935">
        <v>89.533799999999999</v>
      </c>
    </row>
    <row r="936" spans="3:5" x14ac:dyDescent="0.35">
      <c r="C936">
        <f t="shared" si="15"/>
        <v>2013</v>
      </c>
      <c r="D936" s="1">
        <v>41537</v>
      </c>
      <c r="E936">
        <v>93.123099999999994</v>
      </c>
    </row>
    <row r="937" spans="3:5" x14ac:dyDescent="0.35">
      <c r="C937">
        <f t="shared" si="15"/>
        <v>2013</v>
      </c>
      <c r="D937" s="1">
        <v>41540</v>
      </c>
      <c r="E937">
        <v>91.594499999999996</v>
      </c>
    </row>
    <row r="938" spans="3:5" x14ac:dyDescent="0.35">
      <c r="C938">
        <f t="shared" si="15"/>
        <v>2013</v>
      </c>
      <c r="D938" s="1">
        <v>41541</v>
      </c>
      <c r="E938">
        <v>93.621899999999997</v>
      </c>
    </row>
    <row r="939" spans="3:5" x14ac:dyDescent="0.35">
      <c r="C939">
        <f t="shared" si="15"/>
        <v>2013</v>
      </c>
      <c r="D939" s="1">
        <v>41542</v>
      </c>
      <c r="E939">
        <v>90.793000000000006</v>
      </c>
    </row>
    <row r="940" spans="3:5" x14ac:dyDescent="0.35">
      <c r="C940">
        <f t="shared" si="15"/>
        <v>2013</v>
      </c>
      <c r="D940" s="1">
        <v>41543</v>
      </c>
      <c r="E940">
        <v>89.389899999999997</v>
      </c>
    </row>
    <row r="941" spans="3:5" x14ac:dyDescent="0.35">
      <c r="C941">
        <f t="shared" si="15"/>
        <v>2013</v>
      </c>
      <c r="D941" s="1">
        <v>41544</v>
      </c>
      <c r="E941">
        <v>86.766199999999998</v>
      </c>
    </row>
    <row r="942" spans="3:5" x14ac:dyDescent="0.35">
      <c r="C942">
        <f t="shared" si="15"/>
        <v>2013</v>
      </c>
      <c r="D942" s="1">
        <v>41547</v>
      </c>
      <c r="E942">
        <v>88.585599999999999</v>
      </c>
    </row>
    <row r="943" spans="3:5" x14ac:dyDescent="0.35">
      <c r="C943">
        <f t="shared" si="15"/>
        <v>2013</v>
      </c>
      <c r="D943" s="1">
        <v>41548</v>
      </c>
      <c r="E943">
        <v>92.949799999999996</v>
      </c>
    </row>
    <row r="944" spans="3:5" x14ac:dyDescent="0.35">
      <c r="C944">
        <f t="shared" si="15"/>
        <v>2013</v>
      </c>
      <c r="D944" s="1">
        <v>41549</v>
      </c>
      <c r="E944">
        <v>90.054599999999994</v>
      </c>
    </row>
    <row r="945" spans="3:5" x14ac:dyDescent="0.35">
      <c r="C945">
        <f t="shared" si="15"/>
        <v>2013</v>
      </c>
      <c r="D945" s="1">
        <v>41550</v>
      </c>
      <c r="E945">
        <v>91.468500000000006</v>
      </c>
    </row>
    <row r="946" spans="3:5" x14ac:dyDescent="0.35">
      <c r="C946">
        <f t="shared" si="15"/>
        <v>2013</v>
      </c>
      <c r="D946" s="1">
        <v>41551</v>
      </c>
      <c r="E946">
        <v>92.517700000000005</v>
      </c>
    </row>
    <row r="947" spans="3:5" x14ac:dyDescent="0.35">
      <c r="C947">
        <f t="shared" si="15"/>
        <v>2013</v>
      </c>
      <c r="D947" s="1">
        <v>41554</v>
      </c>
      <c r="E947">
        <v>91.494799999999998</v>
      </c>
    </row>
    <row r="948" spans="3:5" x14ac:dyDescent="0.35">
      <c r="C948">
        <f t="shared" si="15"/>
        <v>2013</v>
      </c>
      <c r="D948" s="1">
        <v>41556</v>
      </c>
      <c r="E948">
        <v>89.590500000000006</v>
      </c>
    </row>
    <row r="949" spans="3:5" x14ac:dyDescent="0.35">
      <c r="C949">
        <f t="shared" si="15"/>
        <v>2013</v>
      </c>
      <c r="D949" s="1">
        <v>41557</v>
      </c>
      <c r="E949">
        <v>92.221599999999995</v>
      </c>
    </row>
    <row r="950" spans="3:5" x14ac:dyDescent="0.35">
      <c r="C950">
        <f t="shared" si="15"/>
        <v>2013</v>
      </c>
      <c r="D950" s="1">
        <v>41558</v>
      </c>
      <c r="E950">
        <v>96.628399999999999</v>
      </c>
    </row>
    <row r="951" spans="3:5" x14ac:dyDescent="0.35">
      <c r="C951">
        <f t="shared" si="15"/>
        <v>2013</v>
      </c>
      <c r="D951" s="1">
        <v>41561</v>
      </c>
      <c r="E951">
        <v>95.415099999999995</v>
      </c>
    </row>
    <row r="952" spans="3:5" x14ac:dyDescent="0.35">
      <c r="C952">
        <f t="shared" si="15"/>
        <v>2013</v>
      </c>
      <c r="D952" s="1">
        <v>41562</v>
      </c>
      <c r="E952">
        <v>95.947199999999995</v>
      </c>
    </row>
    <row r="953" spans="3:5" x14ac:dyDescent="0.35">
      <c r="C953">
        <f t="shared" si="15"/>
        <v>2013</v>
      </c>
      <c r="D953" s="1">
        <v>41563</v>
      </c>
      <c r="E953">
        <v>95.119</v>
      </c>
    </row>
    <row r="954" spans="3:5" x14ac:dyDescent="0.35">
      <c r="C954">
        <f t="shared" si="15"/>
        <v>2013</v>
      </c>
      <c r="D954" s="1">
        <v>41564</v>
      </c>
      <c r="E954">
        <v>92.693399999999997</v>
      </c>
    </row>
    <row r="955" spans="3:5" x14ac:dyDescent="0.35">
      <c r="C955">
        <f t="shared" si="15"/>
        <v>2013</v>
      </c>
      <c r="D955" s="1">
        <v>41565</v>
      </c>
      <c r="E955">
        <v>93.640199999999993</v>
      </c>
    </row>
    <row r="956" spans="3:5" x14ac:dyDescent="0.35">
      <c r="C956">
        <f t="shared" si="15"/>
        <v>2013</v>
      </c>
      <c r="D956" s="1">
        <v>41568</v>
      </c>
      <c r="E956">
        <v>98.9268</v>
      </c>
    </row>
    <row r="957" spans="3:5" x14ac:dyDescent="0.35">
      <c r="C957">
        <f t="shared" si="15"/>
        <v>2013</v>
      </c>
      <c r="D957" s="1">
        <v>41569</v>
      </c>
      <c r="E957">
        <v>97.871799999999993</v>
      </c>
    </row>
    <row r="958" spans="3:5" x14ac:dyDescent="0.35">
      <c r="C958">
        <f t="shared" si="15"/>
        <v>2013</v>
      </c>
      <c r="D958" s="1">
        <v>41570</v>
      </c>
      <c r="E958">
        <v>96.741200000000006</v>
      </c>
    </row>
    <row r="959" spans="3:5" x14ac:dyDescent="0.35">
      <c r="C959">
        <f t="shared" si="15"/>
        <v>2013</v>
      </c>
      <c r="D959" s="1">
        <v>41571</v>
      </c>
      <c r="E959">
        <v>97.337100000000007</v>
      </c>
    </row>
    <row r="960" spans="3:5" x14ac:dyDescent="0.35">
      <c r="C960">
        <f t="shared" si="15"/>
        <v>2013</v>
      </c>
      <c r="D960" s="1">
        <v>41572</v>
      </c>
      <c r="E960">
        <v>96.197400000000002</v>
      </c>
    </row>
    <row r="961" spans="3:5" x14ac:dyDescent="0.35">
      <c r="C961">
        <f t="shared" si="15"/>
        <v>2013</v>
      </c>
      <c r="D961" s="1">
        <v>41575</v>
      </c>
      <c r="E961">
        <v>95.898099999999999</v>
      </c>
    </row>
    <row r="962" spans="3:5" x14ac:dyDescent="0.35">
      <c r="C962">
        <f t="shared" si="15"/>
        <v>2013</v>
      </c>
      <c r="D962" s="1">
        <v>41576</v>
      </c>
      <c r="E962">
        <v>96.345399999999998</v>
      </c>
    </row>
    <row r="963" spans="3:5" x14ac:dyDescent="0.35">
      <c r="C963">
        <f t="shared" ref="C963:C1026" si="16">YEAR(D963)</f>
        <v>2013</v>
      </c>
      <c r="D963" s="1">
        <v>41577</v>
      </c>
      <c r="E963">
        <v>92.685599999999994</v>
      </c>
    </row>
    <row r="964" spans="3:5" x14ac:dyDescent="0.35">
      <c r="C964">
        <f t="shared" si="16"/>
        <v>2013</v>
      </c>
      <c r="D964" s="1">
        <v>41578</v>
      </c>
      <c r="E964">
        <v>92.209599999999995</v>
      </c>
    </row>
    <row r="965" spans="3:5" x14ac:dyDescent="0.35">
      <c r="C965">
        <f t="shared" si="16"/>
        <v>2013</v>
      </c>
      <c r="D965" s="1">
        <v>41579</v>
      </c>
      <c r="E965">
        <v>93.9893</v>
      </c>
    </row>
    <row r="966" spans="3:5" x14ac:dyDescent="0.35">
      <c r="C966">
        <f t="shared" si="16"/>
        <v>2013</v>
      </c>
      <c r="D966" s="1">
        <v>41582</v>
      </c>
      <c r="E966">
        <v>92.278499999999994</v>
      </c>
    </row>
    <row r="967" spans="3:5" x14ac:dyDescent="0.35">
      <c r="C967">
        <f t="shared" si="16"/>
        <v>2013</v>
      </c>
      <c r="D967" s="1">
        <v>41583</v>
      </c>
      <c r="E967">
        <v>90.411199999999994</v>
      </c>
    </row>
    <row r="968" spans="3:5" x14ac:dyDescent="0.35">
      <c r="C968">
        <f t="shared" si="16"/>
        <v>2013</v>
      </c>
      <c r="D968" s="1">
        <v>41584</v>
      </c>
      <c r="E968">
        <v>90.280500000000004</v>
      </c>
    </row>
    <row r="969" spans="3:5" x14ac:dyDescent="0.35">
      <c r="C969">
        <f t="shared" si="16"/>
        <v>2013</v>
      </c>
      <c r="D969" s="1">
        <v>41585</v>
      </c>
      <c r="E969">
        <v>89.981399999999994</v>
      </c>
    </row>
    <row r="970" spans="3:5" x14ac:dyDescent="0.35">
      <c r="C970">
        <f t="shared" si="16"/>
        <v>2013</v>
      </c>
      <c r="D970" s="1">
        <v>41586</v>
      </c>
      <c r="E970">
        <v>89.732200000000006</v>
      </c>
    </row>
    <row r="971" spans="3:5" x14ac:dyDescent="0.35">
      <c r="C971">
        <f t="shared" si="16"/>
        <v>2013</v>
      </c>
      <c r="D971" s="1">
        <v>41589</v>
      </c>
      <c r="E971">
        <v>85.270899999999997</v>
      </c>
    </row>
    <row r="972" spans="3:5" x14ac:dyDescent="0.35">
      <c r="C972">
        <f t="shared" si="16"/>
        <v>2013</v>
      </c>
      <c r="D972" s="1">
        <v>41590</v>
      </c>
      <c r="E972">
        <v>86.5214</v>
      </c>
    </row>
    <row r="973" spans="3:5" x14ac:dyDescent="0.35">
      <c r="C973">
        <f t="shared" si="16"/>
        <v>2013</v>
      </c>
      <c r="D973" s="1">
        <v>41591</v>
      </c>
      <c r="E973">
        <v>85.050399999999996</v>
      </c>
    </row>
    <row r="974" spans="3:5" x14ac:dyDescent="0.35">
      <c r="C974">
        <f t="shared" si="16"/>
        <v>2013</v>
      </c>
      <c r="D974" s="1">
        <v>41592</v>
      </c>
      <c r="E974">
        <v>87.178600000000003</v>
      </c>
    </row>
    <row r="975" spans="3:5" x14ac:dyDescent="0.35">
      <c r="C975">
        <f t="shared" si="16"/>
        <v>2013</v>
      </c>
      <c r="D975" s="1">
        <v>41593</v>
      </c>
      <c r="E975">
        <v>88.837199999999996</v>
      </c>
    </row>
    <row r="976" spans="3:5" x14ac:dyDescent="0.35">
      <c r="C976">
        <f t="shared" si="16"/>
        <v>2013</v>
      </c>
      <c r="D976" s="1">
        <v>41596</v>
      </c>
      <c r="E976">
        <v>92.006200000000007</v>
      </c>
    </row>
    <row r="977" spans="3:5" x14ac:dyDescent="0.35">
      <c r="C977">
        <f t="shared" si="16"/>
        <v>2013</v>
      </c>
      <c r="D977" s="1">
        <v>41597</v>
      </c>
      <c r="E977">
        <v>89.465100000000007</v>
      </c>
    </row>
    <row r="978" spans="3:5" x14ac:dyDescent="0.35">
      <c r="C978">
        <f t="shared" si="16"/>
        <v>2013</v>
      </c>
      <c r="D978" s="1">
        <v>41598</v>
      </c>
      <c r="E978">
        <v>93.031800000000004</v>
      </c>
    </row>
    <row r="979" spans="3:5" x14ac:dyDescent="0.35">
      <c r="C979">
        <f t="shared" si="16"/>
        <v>2013</v>
      </c>
      <c r="D979" s="1">
        <v>41599</v>
      </c>
      <c r="E979">
        <v>92.868300000000005</v>
      </c>
    </row>
    <row r="980" spans="3:5" x14ac:dyDescent="0.35">
      <c r="C980">
        <f t="shared" si="16"/>
        <v>2013</v>
      </c>
      <c r="D980" s="1">
        <v>41600</v>
      </c>
      <c r="E980">
        <v>93.552400000000006</v>
      </c>
    </row>
    <row r="981" spans="3:5" x14ac:dyDescent="0.35">
      <c r="C981">
        <f t="shared" si="16"/>
        <v>2013</v>
      </c>
      <c r="D981" s="1">
        <v>41603</v>
      </c>
      <c r="E981">
        <v>95.635000000000005</v>
      </c>
    </row>
    <row r="982" spans="3:5" x14ac:dyDescent="0.35">
      <c r="C982">
        <f t="shared" si="16"/>
        <v>2013</v>
      </c>
      <c r="D982" s="1">
        <v>41604</v>
      </c>
      <c r="E982">
        <v>93.161900000000003</v>
      </c>
    </row>
    <row r="983" spans="3:5" x14ac:dyDescent="0.35">
      <c r="C983">
        <f t="shared" si="16"/>
        <v>2013</v>
      </c>
      <c r="D983" s="1">
        <v>41605</v>
      </c>
      <c r="E983">
        <v>92.715599999999995</v>
      </c>
    </row>
    <row r="984" spans="3:5" x14ac:dyDescent="0.35">
      <c r="C984">
        <f t="shared" si="16"/>
        <v>2013</v>
      </c>
      <c r="D984" s="1">
        <v>41607</v>
      </c>
      <c r="E984">
        <v>92.416300000000007</v>
      </c>
    </row>
    <row r="985" spans="3:5" x14ac:dyDescent="0.35">
      <c r="C985">
        <f t="shared" si="16"/>
        <v>2013</v>
      </c>
      <c r="D985" s="1">
        <v>41610</v>
      </c>
      <c r="E985">
        <v>94.278300000000002</v>
      </c>
    </row>
    <row r="986" spans="3:5" x14ac:dyDescent="0.35">
      <c r="C986">
        <f t="shared" si="16"/>
        <v>2013</v>
      </c>
      <c r="D986" s="1">
        <v>41611</v>
      </c>
      <c r="E986">
        <v>89.191999999999993</v>
      </c>
    </row>
    <row r="987" spans="3:5" x14ac:dyDescent="0.35">
      <c r="C987">
        <f t="shared" si="16"/>
        <v>2013</v>
      </c>
      <c r="D987" s="1">
        <v>41612</v>
      </c>
      <c r="E987">
        <v>86.393100000000004</v>
      </c>
    </row>
    <row r="988" spans="3:5" x14ac:dyDescent="0.35">
      <c r="C988">
        <f t="shared" si="16"/>
        <v>2013</v>
      </c>
      <c r="D988" s="1">
        <v>41613</v>
      </c>
      <c r="E988">
        <v>86.235100000000003</v>
      </c>
    </row>
    <row r="989" spans="3:5" x14ac:dyDescent="0.35">
      <c r="C989">
        <f t="shared" si="16"/>
        <v>2013</v>
      </c>
      <c r="D989" s="1">
        <v>41614</v>
      </c>
      <c r="E989">
        <v>89.442700000000002</v>
      </c>
    </row>
    <row r="990" spans="3:5" x14ac:dyDescent="0.35">
      <c r="C990">
        <f t="shared" si="16"/>
        <v>2013</v>
      </c>
      <c r="D990" s="1">
        <v>41617</v>
      </c>
      <c r="E990">
        <v>89.815799999999996</v>
      </c>
    </row>
    <row r="991" spans="3:5" x14ac:dyDescent="0.35">
      <c r="C991">
        <f t="shared" si="16"/>
        <v>2013</v>
      </c>
      <c r="D991" s="1">
        <v>41618</v>
      </c>
      <c r="E991">
        <v>87.090599999999995</v>
      </c>
    </row>
    <row r="992" spans="3:5" x14ac:dyDescent="0.35">
      <c r="C992">
        <f t="shared" si="16"/>
        <v>2013</v>
      </c>
      <c r="D992" s="1">
        <v>41619</v>
      </c>
      <c r="E992">
        <v>88.3279</v>
      </c>
    </row>
    <row r="993" spans="3:5" x14ac:dyDescent="0.35">
      <c r="C993">
        <f t="shared" si="16"/>
        <v>2013</v>
      </c>
      <c r="D993" s="1">
        <v>41620</v>
      </c>
      <c r="E993">
        <v>87.696200000000005</v>
      </c>
    </row>
    <row r="994" spans="3:5" x14ac:dyDescent="0.35">
      <c r="C994">
        <f t="shared" si="16"/>
        <v>2013</v>
      </c>
      <c r="D994" s="1">
        <v>41621</v>
      </c>
      <c r="E994">
        <v>88.747900000000001</v>
      </c>
    </row>
    <row r="995" spans="3:5" x14ac:dyDescent="0.35">
      <c r="C995">
        <f t="shared" si="16"/>
        <v>2013</v>
      </c>
      <c r="D995" s="1">
        <v>41624</v>
      </c>
      <c r="E995">
        <v>88.558300000000003</v>
      </c>
    </row>
    <row r="996" spans="3:5" x14ac:dyDescent="0.35">
      <c r="C996">
        <f t="shared" si="16"/>
        <v>2013</v>
      </c>
      <c r="D996" s="1">
        <v>41625</v>
      </c>
      <c r="E996">
        <v>84.774299999999997</v>
      </c>
    </row>
    <row r="997" spans="3:5" x14ac:dyDescent="0.35">
      <c r="C997">
        <f t="shared" si="16"/>
        <v>2013</v>
      </c>
      <c r="D997" s="1">
        <v>41626</v>
      </c>
      <c r="E997">
        <v>85.571100000000001</v>
      </c>
    </row>
    <row r="998" spans="3:5" x14ac:dyDescent="0.35">
      <c r="C998">
        <f t="shared" si="16"/>
        <v>2013</v>
      </c>
      <c r="D998" s="1">
        <v>41627</v>
      </c>
      <c r="E998">
        <v>83.581500000000005</v>
      </c>
    </row>
    <row r="999" spans="3:5" x14ac:dyDescent="0.35">
      <c r="C999">
        <f t="shared" si="16"/>
        <v>2013</v>
      </c>
      <c r="D999" s="1">
        <v>41628</v>
      </c>
      <c r="E999">
        <v>82.218100000000007</v>
      </c>
    </row>
    <row r="1000" spans="3:5" x14ac:dyDescent="0.35">
      <c r="C1000">
        <f t="shared" si="16"/>
        <v>2013</v>
      </c>
      <c r="D1000" s="1">
        <v>41631</v>
      </c>
      <c r="E1000">
        <v>78.728099999999998</v>
      </c>
    </row>
    <row r="1001" spans="3:5" x14ac:dyDescent="0.35">
      <c r="C1001">
        <f t="shared" si="16"/>
        <v>2013</v>
      </c>
      <c r="D1001" s="1">
        <v>41632</v>
      </c>
      <c r="E1001">
        <v>80.9786</v>
      </c>
    </row>
    <row r="1002" spans="3:5" x14ac:dyDescent="0.35">
      <c r="C1002">
        <f t="shared" si="16"/>
        <v>2013</v>
      </c>
      <c r="D1002" s="1">
        <v>41634</v>
      </c>
      <c r="E1002">
        <v>73.360399999999998</v>
      </c>
    </row>
    <row r="1003" spans="3:5" x14ac:dyDescent="0.35">
      <c r="C1003">
        <f t="shared" si="16"/>
        <v>2013</v>
      </c>
      <c r="D1003" s="1">
        <v>41635</v>
      </c>
      <c r="E1003">
        <v>69.906300000000002</v>
      </c>
    </row>
    <row r="1004" spans="3:5" x14ac:dyDescent="0.35">
      <c r="C1004">
        <f t="shared" si="16"/>
        <v>2013</v>
      </c>
      <c r="D1004" s="1">
        <v>41638</v>
      </c>
      <c r="E1004">
        <v>76.298699999999997</v>
      </c>
    </row>
    <row r="1005" spans="3:5" x14ac:dyDescent="0.35">
      <c r="C1005">
        <f t="shared" si="16"/>
        <v>2013</v>
      </c>
      <c r="D1005" s="1">
        <v>41639</v>
      </c>
      <c r="E1005">
        <v>78.5916</v>
      </c>
    </row>
    <row r="1006" spans="3:5" x14ac:dyDescent="0.35">
      <c r="C1006">
        <f t="shared" si="16"/>
        <v>2014</v>
      </c>
      <c r="D1006" s="1">
        <v>41641</v>
      </c>
      <c r="E1006">
        <v>75.234999999999999</v>
      </c>
    </row>
    <row r="1007" spans="3:5" x14ac:dyDescent="0.35">
      <c r="C1007">
        <f t="shared" si="16"/>
        <v>2014</v>
      </c>
      <c r="D1007" s="1">
        <v>41642</v>
      </c>
      <c r="E1007">
        <v>74.235699999999994</v>
      </c>
    </row>
    <row r="1008" spans="3:5" x14ac:dyDescent="0.35">
      <c r="C1008">
        <f t="shared" si="16"/>
        <v>2014</v>
      </c>
      <c r="D1008" s="1">
        <v>41645</v>
      </c>
      <c r="E1008">
        <v>77.525000000000006</v>
      </c>
    </row>
    <row r="1009" spans="3:5" x14ac:dyDescent="0.35">
      <c r="C1009">
        <f t="shared" si="16"/>
        <v>2014</v>
      </c>
      <c r="D1009" s="1">
        <v>41646</v>
      </c>
      <c r="E1009">
        <v>79.762100000000004</v>
      </c>
    </row>
    <row r="1010" spans="3:5" x14ac:dyDescent="0.35">
      <c r="C1010">
        <f t="shared" si="16"/>
        <v>2014</v>
      </c>
      <c r="D1010" s="1">
        <v>41647</v>
      </c>
      <c r="E1010">
        <v>79.576400000000007</v>
      </c>
    </row>
    <row r="1011" spans="3:5" x14ac:dyDescent="0.35">
      <c r="C1011">
        <f t="shared" si="16"/>
        <v>2014</v>
      </c>
      <c r="D1011" s="1">
        <v>41648</v>
      </c>
      <c r="E1011">
        <v>79.608800000000002</v>
      </c>
    </row>
    <row r="1012" spans="3:5" x14ac:dyDescent="0.35">
      <c r="C1012">
        <f t="shared" si="16"/>
        <v>2014</v>
      </c>
      <c r="D1012" s="1">
        <v>41649</v>
      </c>
      <c r="E1012">
        <v>81.482500000000002</v>
      </c>
    </row>
    <row r="1013" spans="3:5" x14ac:dyDescent="0.35">
      <c r="C1013">
        <f t="shared" si="16"/>
        <v>2014</v>
      </c>
      <c r="D1013" s="1">
        <v>41652</v>
      </c>
      <c r="E1013">
        <v>82.394599999999997</v>
      </c>
    </row>
    <row r="1014" spans="3:5" x14ac:dyDescent="0.35">
      <c r="C1014">
        <f t="shared" si="16"/>
        <v>2014</v>
      </c>
      <c r="D1014" s="1">
        <v>41653</v>
      </c>
      <c r="E1014">
        <v>82.787300000000002</v>
      </c>
    </row>
    <row r="1015" spans="3:5" x14ac:dyDescent="0.35">
      <c r="C1015">
        <f t="shared" si="16"/>
        <v>2014</v>
      </c>
      <c r="D1015" s="1">
        <v>41654</v>
      </c>
      <c r="E1015">
        <v>84.278300000000002</v>
      </c>
    </row>
    <row r="1016" spans="3:5" x14ac:dyDescent="0.35">
      <c r="C1016">
        <f t="shared" si="16"/>
        <v>2014</v>
      </c>
      <c r="D1016" s="1">
        <v>41655</v>
      </c>
      <c r="E1016">
        <v>82.272099999999995</v>
      </c>
    </row>
    <row r="1017" spans="3:5" x14ac:dyDescent="0.35">
      <c r="C1017">
        <f t="shared" si="16"/>
        <v>2014</v>
      </c>
      <c r="D1017" s="1">
        <v>41656</v>
      </c>
      <c r="E1017">
        <v>76.475099999999998</v>
      </c>
    </row>
    <row r="1018" spans="3:5" x14ac:dyDescent="0.35">
      <c r="C1018">
        <f t="shared" si="16"/>
        <v>2014</v>
      </c>
      <c r="D1018" s="1">
        <v>41660</v>
      </c>
      <c r="E1018">
        <v>79.741100000000003</v>
      </c>
    </row>
    <row r="1019" spans="3:5" x14ac:dyDescent="0.35">
      <c r="C1019">
        <f t="shared" si="16"/>
        <v>2014</v>
      </c>
      <c r="D1019" s="1">
        <v>41661</v>
      </c>
      <c r="E1019">
        <v>80.955600000000004</v>
      </c>
    </row>
    <row r="1020" spans="3:5" x14ac:dyDescent="0.35">
      <c r="C1020">
        <f t="shared" si="16"/>
        <v>2014</v>
      </c>
      <c r="D1020" s="1">
        <v>41662</v>
      </c>
      <c r="E1020">
        <v>76.250900000000001</v>
      </c>
    </row>
    <row r="1021" spans="3:5" x14ac:dyDescent="0.35">
      <c r="C1021">
        <f t="shared" si="16"/>
        <v>2014</v>
      </c>
      <c r="D1021" s="1">
        <v>41663</v>
      </c>
      <c r="E1021">
        <v>75.931700000000006</v>
      </c>
    </row>
    <row r="1022" spans="3:5" x14ac:dyDescent="0.35">
      <c r="C1022">
        <f t="shared" si="16"/>
        <v>2014</v>
      </c>
      <c r="D1022" s="1">
        <v>41666</v>
      </c>
      <c r="E1022">
        <v>74.697500000000005</v>
      </c>
    </row>
    <row r="1023" spans="3:5" x14ac:dyDescent="0.35">
      <c r="C1023">
        <f t="shared" si="16"/>
        <v>2014</v>
      </c>
      <c r="D1023" s="1">
        <v>41667</v>
      </c>
      <c r="E1023">
        <v>75.468699999999998</v>
      </c>
    </row>
    <row r="1024" spans="3:5" x14ac:dyDescent="0.35">
      <c r="C1024">
        <f t="shared" si="16"/>
        <v>2014</v>
      </c>
      <c r="D1024" s="1">
        <v>41668</v>
      </c>
      <c r="E1024">
        <v>79.143199999999993</v>
      </c>
    </row>
    <row r="1025" spans="3:5" x14ac:dyDescent="0.35">
      <c r="C1025">
        <f t="shared" si="16"/>
        <v>2014</v>
      </c>
      <c r="D1025" s="1">
        <v>41669</v>
      </c>
      <c r="E1025">
        <v>77.354900000000001</v>
      </c>
    </row>
    <row r="1026" spans="3:5" x14ac:dyDescent="0.35">
      <c r="C1026">
        <f t="shared" si="16"/>
        <v>2014</v>
      </c>
      <c r="D1026" s="1">
        <v>41670</v>
      </c>
      <c r="E1026">
        <v>74.676500000000004</v>
      </c>
    </row>
    <row r="1027" spans="3:5" x14ac:dyDescent="0.35">
      <c r="C1027">
        <f t="shared" ref="C1027:C1090" si="17">YEAR(D1027)</f>
        <v>2014</v>
      </c>
      <c r="D1027" s="1">
        <v>41673</v>
      </c>
      <c r="E1027">
        <v>73.709100000000007</v>
      </c>
    </row>
    <row r="1028" spans="3:5" x14ac:dyDescent="0.35">
      <c r="C1028">
        <f t="shared" si="17"/>
        <v>2014</v>
      </c>
      <c r="D1028" s="1">
        <v>41674</v>
      </c>
      <c r="E1028">
        <v>75.752499999999998</v>
      </c>
    </row>
    <row r="1029" spans="3:5" x14ac:dyDescent="0.35">
      <c r="C1029">
        <f t="shared" si="17"/>
        <v>2014</v>
      </c>
      <c r="D1029" s="1">
        <v>41675</v>
      </c>
      <c r="E1029">
        <v>77.338399999999993</v>
      </c>
    </row>
    <row r="1030" spans="3:5" x14ac:dyDescent="0.35">
      <c r="C1030">
        <f t="shared" si="17"/>
        <v>2014</v>
      </c>
      <c r="D1030" s="1">
        <v>41676</v>
      </c>
      <c r="E1030">
        <v>78.845600000000005</v>
      </c>
    </row>
    <row r="1031" spans="3:5" x14ac:dyDescent="0.35">
      <c r="C1031">
        <f t="shared" si="17"/>
        <v>2014</v>
      </c>
      <c r="D1031" s="1">
        <v>41677</v>
      </c>
      <c r="E1031">
        <v>78.520099999999999</v>
      </c>
    </row>
    <row r="1032" spans="3:5" x14ac:dyDescent="0.35">
      <c r="C1032">
        <f t="shared" si="17"/>
        <v>2014</v>
      </c>
      <c r="D1032" s="1">
        <v>41680</v>
      </c>
      <c r="E1032">
        <v>77.434299999999993</v>
      </c>
    </row>
    <row r="1033" spans="3:5" x14ac:dyDescent="0.35">
      <c r="C1033">
        <f t="shared" si="17"/>
        <v>2014</v>
      </c>
      <c r="D1033" s="1">
        <v>41681</v>
      </c>
      <c r="E1033">
        <v>76.419300000000007</v>
      </c>
    </row>
    <row r="1034" spans="3:5" x14ac:dyDescent="0.35">
      <c r="C1034">
        <f t="shared" si="17"/>
        <v>2014</v>
      </c>
      <c r="D1034" s="1">
        <v>41682</v>
      </c>
      <c r="E1034">
        <v>77.340199999999996</v>
      </c>
    </row>
    <row r="1035" spans="3:5" x14ac:dyDescent="0.35">
      <c r="C1035">
        <f t="shared" si="17"/>
        <v>2014</v>
      </c>
      <c r="D1035" s="1">
        <v>41683</v>
      </c>
      <c r="E1035">
        <v>78.504499999999993</v>
      </c>
    </row>
    <row r="1036" spans="3:5" x14ac:dyDescent="0.35">
      <c r="C1036">
        <f t="shared" si="17"/>
        <v>2014</v>
      </c>
      <c r="D1036" s="1">
        <v>41684</v>
      </c>
      <c r="E1036">
        <v>76.803700000000006</v>
      </c>
    </row>
    <row r="1037" spans="3:5" x14ac:dyDescent="0.35">
      <c r="C1037">
        <f t="shared" si="17"/>
        <v>2014</v>
      </c>
      <c r="D1037" s="1">
        <v>41688</v>
      </c>
      <c r="E1037">
        <v>73.910399999999996</v>
      </c>
    </row>
    <row r="1038" spans="3:5" x14ac:dyDescent="0.35">
      <c r="C1038">
        <f t="shared" si="17"/>
        <v>2014</v>
      </c>
      <c r="D1038" s="1">
        <v>41689</v>
      </c>
      <c r="E1038">
        <v>73.345799999999997</v>
      </c>
    </row>
    <row r="1039" spans="3:5" x14ac:dyDescent="0.35">
      <c r="C1039">
        <f t="shared" si="17"/>
        <v>2014</v>
      </c>
      <c r="D1039" s="1">
        <v>41690</v>
      </c>
      <c r="E1039">
        <v>73.778599999999997</v>
      </c>
    </row>
    <row r="1040" spans="3:5" x14ac:dyDescent="0.35">
      <c r="C1040">
        <f t="shared" si="17"/>
        <v>2014</v>
      </c>
      <c r="D1040" s="1">
        <v>41691</v>
      </c>
      <c r="E1040">
        <v>73.181200000000004</v>
      </c>
    </row>
    <row r="1041" spans="3:5" x14ac:dyDescent="0.35">
      <c r="C1041">
        <f t="shared" si="17"/>
        <v>2014</v>
      </c>
      <c r="D1041" s="1">
        <v>41694</v>
      </c>
      <c r="E1041">
        <v>73.346900000000005</v>
      </c>
    </row>
    <row r="1042" spans="3:5" x14ac:dyDescent="0.35">
      <c r="C1042">
        <f t="shared" si="17"/>
        <v>2014</v>
      </c>
      <c r="D1042" s="1">
        <v>41695</v>
      </c>
      <c r="E1042">
        <v>70.108599999999996</v>
      </c>
    </row>
    <row r="1043" spans="3:5" x14ac:dyDescent="0.35">
      <c r="C1043">
        <f t="shared" si="17"/>
        <v>2014</v>
      </c>
      <c r="D1043" s="1">
        <v>41696</v>
      </c>
      <c r="E1043">
        <v>69.684100000000001</v>
      </c>
    </row>
    <row r="1044" spans="3:5" x14ac:dyDescent="0.35">
      <c r="C1044">
        <f t="shared" si="17"/>
        <v>2014</v>
      </c>
      <c r="D1044" s="1">
        <v>41697</v>
      </c>
      <c r="E1044">
        <v>68.412899999999993</v>
      </c>
    </row>
    <row r="1045" spans="3:5" x14ac:dyDescent="0.35">
      <c r="C1045">
        <f t="shared" si="17"/>
        <v>2014</v>
      </c>
      <c r="D1045" s="1">
        <v>41698</v>
      </c>
      <c r="E1045">
        <v>70.0548</v>
      </c>
    </row>
    <row r="1046" spans="3:5" x14ac:dyDescent="0.35">
      <c r="C1046">
        <f t="shared" si="17"/>
        <v>2014</v>
      </c>
      <c r="D1046" s="1">
        <v>41701</v>
      </c>
      <c r="E1046">
        <v>65.563800000000001</v>
      </c>
    </row>
    <row r="1047" spans="3:5" x14ac:dyDescent="0.35">
      <c r="C1047">
        <f t="shared" si="17"/>
        <v>2014</v>
      </c>
      <c r="D1047" s="1">
        <v>41702</v>
      </c>
      <c r="E1047">
        <v>68.364099999999993</v>
      </c>
    </row>
    <row r="1048" spans="3:5" x14ac:dyDescent="0.35">
      <c r="C1048">
        <f t="shared" si="17"/>
        <v>2014</v>
      </c>
      <c r="D1048" s="1">
        <v>41703</v>
      </c>
      <c r="E1048">
        <v>68.934600000000003</v>
      </c>
    </row>
    <row r="1049" spans="3:5" x14ac:dyDescent="0.35">
      <c r="C1049">
        <f t="shared" si="17"/>
        <v>2014</v>
      </c>
      <c r="D1049" s="1">
        <v>41704</v>
      </c>
      <c r="E1049">
        <v>69.815700000000007</v>
      </c>
    </row>
    <row r="1050" spans="3:5" x14ac:dyDescent="0.35">
      <c r="C1050">
        <f t="shared" si="17"/>
        <v>2014</v>
      </c>
      <c r="D1050" s="1">
        <v>41705</v>
      </c>
      <c r="E1050">
        <v>67.330299999999994</v>
      </c>
    </row>
    <row r="1051" spans="3:5" x14ac:dyDescent="0.35">
      <c r="C1051">
        <f t="shared" si="17"/>
        <v>2014</v>
      </c>
      <c r="D1051" s="1">
        <v>41708</v>
      </c>
      <c r="E1051">
        <v>63.366300000000003</v>
      </c>
    </row>
    <row r="1052" spans="3:5" x14ac:dyDescent="0.35">
      <c r="C1052">
        <f t="shared" si="17"/>
        <v>2014</v>
      </c>
      <c r="D1052" s="1">
        <v>41709</v>
      </c>
      <c r="E1052">
        <v>63.4313</v>
      </c>
    </row>
    <row r="1053" spans="3:5" x14ac:dyDescent="0.35">
      <c r="C1053">
        <f t="shared" si="17"/>
        <v>2014</v>
      </c>
      <c r="D1053" s="1">
        <v>41710</v>
      </c>
      <c r="E1053">
        <v>62.526400000000002</v>
      </c>
    </row>
    <row r="1054" spans="3:5" x14ac:dyDescent="0.35">
      <c r="C1054">
        <f t="shared" si="17"/>
        <v>2014</v>
      </c>
      <c r="D1054" s="1">
        <v>41711</v>
      </c>
      <c r="E1054">
        <v>63.7883</v>
      </c>
    </row>
    <row r="1055" spans="3:5" x14ac:dyDescent="0.35">
      <c r="C1055">
        <f t="shared" si="17"/>
        <v>2014</v>
      </c>
      <c r="D1055" s="1">
        <v>41712</v>
      </c>
      <c r="E1055">
        <v>62.920699999999997</v>
      </c>
    </row>
    <row r="1056" spans="3:5" x14ac:dyDescent="0.35">
      <c r="C1056">
        <f t="shared" si="17"/>
        <v>2014</v>
      </c>
      <c r="D1056" s="1">
        <v>41715</v>
      </c>
      <c r="E1056">
        <v>64.168099999999995</v>
      </c>
    </row>
    <row r="1057" spans="3:5" x14ac:dyDescent="0.35">
      <c r="C1057">
        <f t="shared" si="17"/>
        <v>2014</v>
      </c>
      <c r="D1057" s="1">
        <v>41716</v>
      </c>
      <c r="E1057">
        <v>66.023200000000003</v>
      </c>
    </row>
    <row r="1058" spans="3:5" x14ac:dyDescent="0.35">
      <c r="C1058">
        <f t="shared" si="17"/>
        <v>2014</v>
      </c>
      <c r="D1058" s="1">
        <v>41717</v>
      </c>
      <c r="E1058">
        <v>64.122500000000002</v>
      </c>
    </row>
    <row r="1059" spans="3:5" x14ac:dyDescent="0.35">
      <c r="C1059">
        <f t="shared" si="17"/>
        <v>2014</v>
      </c>
      <c r="D1059" s="1">
        <v>41718</v>
      </c>
      <c r="E1059">
        <v>64.6691</v>
      </c>
    </row>
    <row r="1060" spans="3:5" x14ac:dyDescent="0.35">
      <c r="C1060">
        <f t="shared" si="17"/>
        <v>2014</v>
      </c>
      <c r="D1060" s="1">
        <v>41719</v>
      </c>
      <c r="E1060">
        <v>64.090900000000005</v>
      </c>
    </row>
    <row r="1061" spans="3:5" x14ac:dyDescent="0.35">
      <c r="C1061">
        <f t="shared" si="17"/>
        <v>2014</v>
      </c>
      <c r="D1061" s="1">
        <v>41722</v>
      </c>
      <c r="E1061">
        <v>63.681600000000003</v>
      </c>
    </row>
    <row r="1062" spans="3:5" x14ac:dyDescent="0.35">
      <c r="C1062">
        <f t="shared" si="17"/>
        <v>2014</v>
      </c>
      <c r="D1062" s="1">
        <v>41723</v>
      </c>
      <c r="E1062">
        <v>64.593500000000006</v>
      </c>
    </row>
    <row r="1063" spans="3:5" x14ac:dyDescent="0.35">
      <c r="C1063">
        <f t="shared" si="17"/>
        <v>2014</v>
      </c>
      <c r="D1063" s="1">
        <v>41724</v>
      </c>
      <c r="E1063">
        <v>67.643100000000004</v>
      </c>
    </row>
    <row r="1064" spans="3:5" x14ac:dyDescent="0.35">
      <c r="C1064">
        <f t="shared" si="17"/>
        <v>2014</v>
      </c>
      <c r="D1064" s="1">
        <v>41725</v>
      </c>
      <c r="E1064">
        <v>67.996499999999997</v>
      </c>
    </row>
    <row r="1065" spans="3:5" x14ac:dyDescent="0.35">
      <c r="C1065">
        <f t="shared" si="17"/>
        <v>2014</v>
      </c>
      <c r="D1065" s="1">
        <v>41726</v>
      </c>
      <c r="E1065">
        <v>69.908299999999997</v>
      </c>
    </row>
    <row r="1066" spans="3:5" x14ac:dyDescent="0.35">
      <c r="C1066">
        <f t="shared" si="17"/>
        <v>2014</v>
      </c>
      <c r="D1066" s="1">
        <v>41729</v>
      </c>
      <c r="E1066">
        <v>73.403599999999997</v>
      </c>
    </row>
    <row r="1067" spans="3:5" x14ac:dyDescent="0.35">
      <c r="C1067">
        <f t="shared" si="17"/>
        <v>2014</v>
      </c>
      <c r="D1067" s="1">
        <v>41730</v>
      </c>
      <c r="E1067">
        <v>75.740700000000004</v>
      </c>
    </row>
    <row r="1068" spans="3:5" x14ac:dyDescent="0.35">
      <c r="C1068">
        <f t="shared" si="17"/>
        <v>2014</v>
      </c>
      <c r="D1068" s="1">
        <v>41731</v>
      </c>
      <c r="E1068">
        <v>77.159599999999998</v>
      </c>
    </row>
    <row r="1069" spans="3:5" x14ac:dyDescent="0.35">
      <c r="C1069">
        <f t="shared" si="17"/>
        <v>2014</v>
      </c>
      <c r="D1069" s="1">
        <v>41732</v>
      </c>
      <c r="E1069">
        <v>77.659300000000002</v>
      </c>
    </row>
    <row r="1070" spans="3:5" x14ac:dyDescent="0.35">
      <c r="C1070">
        <f t="shared" si="17"/>
        <v>2014</v>
      </c>
      <c r="D1070" s="1">
        <v>41733</v>
      </c>
      <c r="E1070">
        <v>76.439099999999996</v>
      </c>
    </row>
    <row r="1071" spans="3:5" x14ac:dyDescent="0.35">
      <c r="C1071">
        <f t="shared" si="17"/>
        <v>2014</v>
      </c>
      <c r="D1071" s="1">
        <v>41736</v>
      </c>
      <c r="E1071">
        <v>77.936999999999998</v>
      </c>
    </row>
    <row r="1072" spans="3:5" x14ac:dyDescent="0.35">
      <c r="C1072">
        <f t="shared" si="17"/>
        <v>2014</v>
      </c>
      <c r="D1072" s="1">
        <v>41737</v>
      </c>
      <c r="E1072">
        <v>77.807000000000002</v>
      </c>
    </row>
    <row r="1073" spans="3:5" x14ac:dyDescent="0.35">
      <c r="C1073">
        <f t="shared" si="17"/>
        <v>2014</v>
      </c>
      <c r="D1073" s="1">
        <v>41738</v>
      </c>
      <c r="E1073">
        <v>76.597700000000003</v>
      </c>
    </row>
    <row r="1074" spans="3:5" x14ac:dyDescent="0.35">
      <c r="C1074">
        <f t="shared" si="17"/>
        <v>2014</v>
      </c>
      <c r="D1074" s="1">
        <v>41739</v>
      </c>
      <c r="E1074">
        <v>75.682500000000005</v>
      </c>
    </row>
    <row r="1075" spans="3:5" x14ac:dyDescent="0.35">
      <c r="C1075">
        <f t="shared" si="17"/>
        <v>2014</v>
      </c>
      <c r="D1075" s="1">
        <v>41740</v>
      </c>
      <c r="E1075">
        <v>75.000900000000001</v>
      </c>
    </row>
    <row r="1076" spans="3:5" x14ac:dyDescent="0.35">
      <c r="C1076">
        <f t="shared" si="17"/>
        <v>2014</v>
      </c>
      <c r="D1076" s="1">
        <v>41743</v>
      </c>
      <c r="E1076">
        <v>75.076300000000003</v>
      </c>
    </row>
    <row r="1077" spans="3:5" x14ac:dyDescent="0.35">
      <c r="C1077">
        <f t="shared" si="17"/>
        <v>2014</v>
      </c>
      <c r="D1077" s="1">
        <v>41744</v>
      </c>
      <c r="E1077">
        <v>75.121600000000001</v>
      </c>
    </row>
    <row r="1078" spans="3:5" x14ac:dyDescent="0.35">
      <c r="C1078">
        <f t="shared" si="17"/>
        <v>2014</v>
      </c>
      <c r="D1078" s="1">
        <v>41745</v>
      </c>
      <c r="E1078">
        <v>74.884100000000004</v>
      </c>
    </row>
    <row r="1079" spans="3:5" x14ac:dyDescent="0.35">
      <c r="C1079">
        <f t="shared" si="17"/>
        <v>2014</v>
      </c>
      <c r="D1079" s="1">
        <v>41746</v>
      </c>
      <c r="E1079">
        <v>76.260900000000007</v>
      </c>
    </row>
    <row r="1080" spans="3:5" x14ac:dyDescent="0.35">
      <c r="C1080">
        <f t="shared" si="17"/>
        <v>2014</v>
      </c>
      <c r="D1080" s="1">
        <v>41750</v>
      </c>
      <c r="E1080">
        <v>78.231099999999998</v>
      </c>
    </row>
    <row r="1081" spans="3:5" x14ac:dyDescent="0.35">
      <c r="C1081">
        <f t="shared" si="17"/>
        <v>2014</v>
      </c>
      <c r="D1081" s="1">
        <v>41751</v>
      </c>
      <c r="E1081">
        <v>77.674599999999998</v>
      </c>
    </row>
    <row r="1082" spans="3:5" x14ac:dyDescent="0.35">
      <c r="C1082">
        <f t="shared" si="17"/>
        <v>2014</v>
      </c>
      <c r="D1082" s="1">
        <v>41752</v>
      </c>
      <c r="E1082">
        <v>77.138900000000007</v>
      </c>
    </row>
    <row r="1083" spans="3:5" x14ac:dyDescent="0.35">
      <c r="C1083">
        <f t="shared" si="17"/>
        <v>2014</v>
      </c>
      <c r="D1083" s="1">
        <v>41753</v>
      </c>
      <c r="E1083">
        <v>75.185699999999997</v>
      </c>
    </row>
    <row r="1084" spans="3:5" x14ac:dyDescent="0.35">
      <c r="C1084">
        <f t="shared" si="17"/>
        <v>2014</v>
      </c>
      <c r="D1084" s="1">
        <v>41754</v>
      </c>
      <c r="E1084">
        <v>73.286799999999999</v>
      </c>
    </row>
    <row r="1085" spans="3:5" x14ac:dyDescent="0.35">
      <c r="C1085">
        <f t="shared" si="17"/>
        <v>2014</v>
      </c>
      <c r="D1085" s="1">
        <v>41757</v>
      </c>
      <c r="E1085">
        <v>73.9054</v>
      </c>
    </row>
    <row r="1086" spans="3:5" x14ac:dyDescent="0.35">
      <c r="C1086">
        <f t="shared" si="17"/>
        <v>2014</v>
      </c>
      <c r="D1086" s="1">
        <v>41758</v>
      </c>
      <c r="E1086">
        <v>73.999099999999999</v>
      </c>
    </row>
    <row r="1087" spans="3:5" x14ac:dyDescent="0.35">
      <c r="C1087">
        <f t="shared" si="17"/>
        <v>2014</v>
      </c>
      <c r="D1087" s="1">
        <v>41759</v>
      </c>
      <c r="E1087">
        <v>76.401399999999995</v>
      </c>
    </row>
    <row r="1088" spans="3:5" x14ac:dyDescent="0.35">
      <c r="C1088">
        <f t="shared" si="17"/>
        <v>2014</v>
      </c>
      <c r="D1088" s="1">
        <v>41760</v>
      </c>
      <c r="E1088">
        <v>77.508200000000002</v>
      </c>
    </row>
    <row r="1089" spans="3:5" x14ac:dyDescent="0.35">
      <c r="C1089">
        <f t="shared" si="17"/>
        <v>2014</v>
      </c>
      <c r="D1089" s="1">
        <v>41761</v>
      </c>
      <c r="E1089">
        <v>76.537199999999999</v>
      </c>
    </row>
    <row r="1090" spans="3:5" x14ac:dyDescent="0.35">
      <c r="C1090">
        <f t="shared" si="17"/>
        <v>2014</v>
      </c>
      <c r="D1090" s="1">
        <v>41764</v>
      </c>
      <c r="E1090">
        <v>75.102000000000004</v>
      </c>
    </row>
    <row r="1091" spans="3:5" x14ac:dyDescent="0.35">
      <c r="C1091">
        <f t="shared" ref="C1091:C1154" si="18">YEAR(D1091)</f>
        <v>2014</v>
      </c>
      <c r="D1091" s="1">
        <v>41765</v>
      </c>
      <c r="E1091">
        <v>75.766300000000001</v>
      </c>
    </row>
    <row r="1092" spans="3:5" x14ac:dyDescent="0.35">
      <c r="C1092">
        <f t="shared" si="18"/>
        <v>2014</v>
      </c>
      <c r="D1092" s="1">
        <v>41766</v>
      </c>
      <c r="E1092">
        <v>76.946200000000005</v>
      </c>
    </row>
    <row r="1093" spans="3:5" x14ac:dyDescent="0.35">
      <c r="C1093">
        <f t="shared" si="18"/>
        <v>2014</v>
      </c>
      <c r="D1093" s="1">
        <v>41767</v>
      </c>
      <c r="E1093">
        <v>78.497900000000001</v>
      </c>
    </row>
    <row r="1094" spans="3:5" x14ac:dyDescent="0.35">
      <c r="C1094">
        <f t="shared" si="18"/>
        <v>2014</v>
      </c>
      <c r="D1094" s="1">
        <v>41768</v>
      </c>
      <c r="E1094">
        <v>77.984099999999998</v>
      </c>
    </row>
    <row r="1095" spans="3:5" x14ac:dyDescent="0.35">
      <c r="C1095">
        <f t="shared" si="18"/>
        <v>2014</v>
      </c>
      <c r="D1095" s="1">
        <v>41771</v>
      </c>
      <c r="E1095">
        <v>78.663399999999996</v>
      </c>
    </row>
    <row r="1096" spans="3:5" x14ac:dyDescent="0.35">
      <c r="C1096">
        <f t="shared" si="18"/>
        <v>2014</v>
      </c>
      <c r="D1096" s="1">
        <v>41772</v>
      </c>
      <c r="E1096">
        <v>80.020600000000002</v>
      </c>
    </row>
    <row r="1097" spans="3:5" x14ac:dyDescent="0.35">
      <c r="C1097">
        <f t="shared" si="18"/>
        <v>2014</v>
      </c>
      <c r="D1097" s="1">
        <v>41773</v>
      </c>
      <c r="E1097">
        <v>81.578699999999998</v>
      </c>
    </row>
    <row r="1098" spans="3:5" x14ac:dyDescent="0.35">
      <c r="C1098">
        <f t="shared" si="18"/>
        <v>2014</v>
      </c>
      <c r="D1098" s="1">
        <v>41774</v>
      </c>
      <c r="E1098">
        <v>79.778599999999997</v>
      </c>
    </row>
    <row r="1099" spans="3:5" x14ac:dyDescent="0.35">
      <c r="C1099">
        <f t="shared" si="18"/>
        <v>2014</v>
      </c>
      <c r="D1099" s="1">
        <v>41775</v>
      </c>
      <c r="E1099">
        <v>78.974000000000004</v>
      </c>
    </row>
    <row r="1100" spans="3:5" x14ac:dyDescent="0.35">
      <c r="C1100">
        <f t="shared" si="18"/>
        <v>2014</v>
      </c>
      <c r="D1100" s="1">
        <v>41778</v>
      </c>
      <c r="E1100">
        <v>79.015900000000002</v>
      </c>
    </row>
    <row r="1101" spans="3:5" x14ac:dyDescent="0.35">
      <c r="C1101">
        <f t="shared" si="18"/>
        <v>2014</v>
      </c>
      <c r="D1101" s="1">
        <v>41779</v>
      </c>
      <c r="E1101">
        <v>78.791200000000003</v>
      </c>
    </row>
    <row r="1102" spans="3:5" x14ac:dyDescent="0.35">
      <c r="C1102">
        <f t="shared" si="18"/>
        <v>2014</v>
      </c>
      <c r="D1102" s="1">
        <v>41780</v>
      </c>
      <c r="E1102">
        <v>79.711399999999998</v>
      </c>
    </row>
    <row r="1103" spans="3:5" x14ac:dyDescent="0.35">
      <c r="C1103">
        <f t="shared" si="18"/>
        <v>2014</v>
      </c>
      <c r="D1103" s="1">
        <v>41781</v>
      </c>
      <c r="E1103">
        <v>80.909800000000004</v>
      </c>
    </row>
    <row r="1104" spans="3:5" x14ac:dyDescent="0.35">
      <c r="C1104">
        <f t="shared" si="18"/>
        <v>2014</v>
      </c>
      <c r="D1104" s="1">
        <v>41782</v>
      </c>
      <c r="E1104">
        <v>81.571799999999996</v>
      </c>
    </row>
    <row r="1105" spans="3:5" x14ac:dyDescent="0.35">
      <c r="C1105">
        <f t="shared" si="18"/>
        <v>2014</v>
      </c>
      <c r="D1105" s="1">
        <v>41786</v>
      </c>
      <c r="E1105">
        <v>83.450800000000001</v>
      </c>
    </row>
    <row r="1106" spans="3:5" x14ac:dyDescent="0.35">
      <c r="C1106">
        <f t="shared" si="18"/>
        <v>2014</v>
      </c>
      <c r="D1106" s="1">
        <v>41787</v>
      </c>
      <c r="E1106">
        <v>82.767899999999997</v>
      </c>
    </row>
    <row r="1107" spans="3:5" x14ac:dyDescent="0.35">
      <c r="C1107">
        <f t="shared" si="18"/>
        <v>2014</v>
      </c>
      <c r="D1107" s="1">
        <v>41788</v>
      </c>
      <c r="E1107">
        <v>84.050700000000006</v>
      </c>
    </row>
    <row r="1108" spans="3:5" x14ac:dyDescent="0.35">
      <c r="C1108">
        <f t="shared" si="18"/>
        <v>2014</v>
      </c>
      <c r="D1108" s="1">
        <v>41789</v>
      </c>
      <c r="E1108">
        <v>85.3018</v>
      </c>
    </row>
    <row r="1109" spans="3:5" x14ac:dyDescent="0.35">
      <c r="C1109">
        <f t="shared" si="18"/>
        <v>2014</v>
      </c>
      <c r="D1109" s="1">
        <v>41792</v>
      </c>
      <c r="E1109">
        <v>85.812700000000007</v>
      </c>
    </row>
    <row r="1110" spans="3:5" x14ac:dyDescent="0.35">
      <c r="C1110">
        <f t="shared" si="18"/>
        <v>2014</v>
      </c>
      <c r="D1110" s="1">
        <v>41793</v>
      </c>
      <c r="E1110">
        <v>84.587699999999998</v>
      </c>
    </row>
    <row r="1111" spans="3:5" x14ac:dyDescent="0.35">
      <c r="C1111">
        <f t="shared" si="18"/>
        <v>2014</v>
      </c>
      <c r="D1111" s="1">
        <v>41794</v>
      </c>
      <c r="E1111">
        <v>83.146299999999997</v>
      </c>
    </row>
    <row r="1112" spans="3:5" x14ac:dyDescent="0.35">
      <c r="C1112">
        <f t="shared" si="18"/>
        <v>2014</v>
      </c>
      <c r="D1112" s="1">
        <v>41795</v>
      </c>
      <c r="E1112">
        <v>83.7072</v>
      </c>
    </row>
    <row r="1113" spans="3:5" x14ac:dyDescent="0.35">
      <c r="C1113">
        <f t="shared" si="18"/>
        <v>2014</v>
      </c>
      <c r="D1113" s="1">
        <v>41796</v>
      </c>
      <c r="E1113">
        <v>85.394999999999996</v>
      </c>
    </row>
    <row r="1114" spans="3:5" x14ac:dyDescent="0.35">
      <c r="C1114">
        <f t="shared" si="18"/>
        <v>2014</v>
      </c>
      <c r="D1114" s="1">
        <v>41799</v>
      </c>
      <c r="E1114">
        <v>85.769099999999995</v>
      </c>
    </row>
    <row r="1115" spans="3:5" x14ac:dyDescent="0.35">
      <c r="C1115">
        <f t="shared" si="18"/>
        <v>2014</v>
      </c>
      <c r="D1115" s="1">
        <v>41800</v>
      </c>
      <c r="E1115">
        <v>85.103899999999996</v>
      </c>
    </row>
    <row r="1116" spans="3:5" x14ac:dyDescent="0.35">
      <c r="C1116">
        <f t="shared" si="18"/>
        <v>2014</v>
      </c>
      <c r="D1116" s="1">
        <v>41801</v>
      </c>
      <c r="E1116">
        <v>81.770099999999999</v>
      </c>
    </row>
    <row r="1117" spans="3:5" x14ac:dyDescent="0.35">
      <c r="C1117">
        <f t="shared" si="18"/>
        <v>2014</v>
      </c>
      <c r="D1117" s="1">
        <v>41802</v>
      </c>
      <c r="E1117">
        <v>79.513099999999994</v>
      </c>
    </row>
    <row r="1118" spans="3:5" x14ac:dyDescent="0.35">
      <c r="C1118">
        <f t="shared" si="18"/>
        <v>2014</v>
      </c>
      <c r="D1118" s="1">
        <v>41803</v>
      </c>
      <c r="E1118">
        <v>77.151600000000002</v>
      </c>
    </row>
    <row r="1119" spans="3:5" x14ac:dyDescent="0.35">
      <c r="C1119">
        <f t="shared" si="18"/>
        <v>2014</v>
      </c>
      <c r="D1119" s="1">
        <v>41806</v>
      </c>
      <c r="E1119">
        <v>76.069100000000006</v>
      </c>
    </row>
    <row r="1120" spans="3:5" x14ac:dyDescent="0.35">
      <c r="C1120">
        <f t="shared" si="18"/>
        <v>2014</v>
      </c>
      <c r="D1120" s="1">
        <v>41807</v>
      </c>
      <c r="E1120">
        <v>76.029799999999994</v>
      </c>
    </row>
    <row r="1121" spans="3:5" x14ac:dyDescent="0.35">
      <c r="C1121">
        <f t="shared" si="18"/>
        <v>2014</v>
      </c>
      <c r="D1121" s="1">
        <v>41808</v>
      </c>
      <c r="E1121">
        <v>76.097999999999999</v>
      </c>
    </row>
    <row r="1122" spans="3:5" x14ac:dyDescent="0.35">
      <c r="C1122">
        <f t="shared" si="18"/>
        <v>2014</v>
      </c>
      <c r="D1122" s="1">
        <v>41809</v>
      </c>
      <c r="E1122">
        <v>74.7089</v>
      </c>
    </row>
    <row r="1123" spans="3:5" x14ac:dyDescent="0.35">
      <c r="C1123">
        <f t="shared" si="18"/>
        <v>2014</v>
      </c>
      <c r="D1123" s="1">
        <v>41810</v>
      </c>
      <c r="E1123">
        <v>73.317400000000006</v>
      </c>
    </row>
    <row r="1124" spans="3:5" x14ac:dyDescent="0.35">
      <c r="C1124">
        <f t="shared" si="18"/>
        <v>2014</v>
      </c>
      <c r="D1124" s="1">
        <v>41813</v>
      </c>
      <c r="E1124">
        <v>73.124700000000004</v>
      </c>
    </row>
    <row r="1125" spans="3:5" x14ac:dyDescent="0.35">
      <c r="C1125">
        <f t="shared" si="18"/>
        <v>2014</v>
      </c>
      <c r="D1125" s="1">
        <v>41814</v>
      </c>
      <c r="E1125">
        <v>72.771500000000003</v>
      </c>
    </row>
    <row r="1126" spans="3:5" x14ac:dyDescent="0.35">
      <c r="C1126">
        <f t="shared" si="18"/>
        <v>2014</v>
      </c>
      <c r="D1126" s="1">
        <v>41815</v>
      </c>
      <c r="E1126">
        <v>72.833299999999994</v>
      </c>
    </row>
    <row r="1127" spans="3:5" x14ac:dyDescent="0.35">
      <c r="C1127">
        <f t="shared" si="18"/>
        <v>2014</v>
      </c>
      <c r="D1127" s="1">
        <v>41816</v>
      </c>
      <c r="E1127">
        <v>72.692300000000003</v>
      </c>
    </row>
    <row r="1128" spans="3:5" x14ac:dyDescent="0.35">
      <c r="C1128">
        <f t="shared" si="18"/>
        <v>2014</v>
      </c>
      <c r="D1128" s="1">
        <v>41817</v>
      </c>
      <c r="E1128">
        <v>72.790499999999994</v>
      </c>
    </row>
    <row r="1129" spans="3:5" x14ac:dyDescent="0.35">
      <c r="C1129">
        <f t="shared" si="18"/>
        <v>2014</v>
      </c>
      <c r="D1129" s="1">
        <v>41820</v>
      </c>
      <c r="E1129">
        <v>71.918099999999995</v>
      </c>
    </row>
    <row r="1130" spans="3:5" x14ac:dyDescent="0.35">
      <c r="C1130">
        <f t="shared" si="18"/>
        <v>2014</v>
      </c>
      <c r="D1130" s="1">
        <v>41821</v>
      </c>
      <c r="E1130">
        <v>70.216899999999995</v>
      </c>
    </row>
    <row r="1131" spans="3:5" x14ac:dyDescent="0.35">
      <c r="C1131">
        <f t="shared" si="18"/>
        <v>2014</v>
      </c>
      <c r="D1131" s="1">
        <v>41822</v>
      </c>
      <c r="E1131">
        <v>69.635800000000003</v>
      </c>
    </row>
    <row r="1132" spans="3:5" x14ac:dyDescent="0.35">
      <c r="C1132">
        <f t="shared" si="18"/>
        <v>2014</v>
      </c>
      <c r="D1132" s="1">
        <v>41823</v>
      </c>
      <c r="E1132">
        <v>71.796899999999994</v>
      </c>
    </row>
    <row r="1133" spans="3:5" x14ac:dyDescent="0.35">
      <c r="C1133">
        <f t="shared" si="18"/>
        <v>2014</v>
      </c>
      <c r="D1133" s="1">
        <v>41827</v>
      </c>
      <c r="E1133">
        <v>73.356499999999997</v>
      </c>
    </row>
    <row r="1134" spans="3:5" x14ac:dyDescent="0.35">
      <c r="C1134">
        <f t="shared" si="18"/>
        <v>2014</v>
      </c>
      <c r="D1134" s="1">
        <v>41828</v>
      </c>
      <c r="E1134">
        <v>72.2881</v>
      </c>
    </row>
    <row r="1135" spans="3:5" x14ac:dyDescent="0.35">
      <c r="C1135">
        <f t="shared" si="18"/>
        <v>2014</v>
      </c>
      <c r="D1135" s="1">
        <v>41829</v>
      </c>
      <c r="E1135">
        <v>73.897400000000005</v>
      </c>
    </row>
    <row r="1136" spans="3:5" x14ac:dyDescent="0.35">
      <c r="C1136">
        <f t="shared" si="18"/>
        <v>2014</v>
      </c>
      <c r="D1136" s="1">
        <v>41830</v>
      </c>
      <c r="E1136">
        <v>72.5077</v>
      </c>
    </row>
    <row r="1137" spans="3:5" x14ac:dyDescent="0.35">
      <c r="C1137">
        <f t="shared" si="18"/>
        <v>2014</v>
      </c>
      <c r="D1137" s="1">
        <v>41831</v>
      </c>
      <c r="E1137">
        <v>73.977099999999993</v>
      </c>
    </row>
    <row r="1138" spans="3:5" x14ac:dyDescent="0.35">
      <c r="C1138">
        <f t="shared" si="18"/>
        <v>2014</v>
      </c>
      <c r="D1138" s="1">
        <v>41834</v>
      </c>
      <c r="E1138">
        <v>76.183499999999995</v>
      </c>
    </row>
    <row r="1139" spans="3:5" x14ac:dyDescent="0.35">
      <c r="C1139">
        <f t="shared" si="18"/>
        <v>2014</v>
      </c>
      <c r="D1139" s="1">
        <v>41835</v>
      </c>
      <c r="E1139">
        <v>77.412599999999998</v>
      </c>
    </row>
    <row r="1140" spans="3:5" x14ac:dyDescent="0.35">
      <c r="C1140">
        <f t="shared" si="18"/>
        <v>2014</v>
      </c>
      <c r="D1140" s="1">
        <v>41836</v>
      </c>
      <c r="E1140">
        <v>76.869900000000001</v>
      </c>
    </row>
    <row r="1141" spans="3:5" x14ac:dyDescent="0.35">
      <c r="C1141">
        <f t="shared" si="18"/>
        <v>2014</v>
      </c>
      <c r="D1141" s="1">
        <v>41837</v>
      </c>
      <c r="E1141">
        <v>75.084100000000007</v>
      </c>
    </row>
    <row r="1142" spans="3:5" x14ac:dyDescent="0.35">
      <c r="C1142">
        <f t="shared" si="18"/>
        <v>2014</v>
      </c>
      <c r="D1142" s="1">
        <v>41838</v>
      </c>
      <c r="E1142">
        <v>73.610500000000002</v>
      </c>
    </row>
    <row r="1143" spans="3:5" x14ac:dyDescent="0.35">
      <c r="C1143">
        <f t="shared" si="18"/>
        <v>2014</v>
      </c>
      <c r="D1143" s="1">
        <v>41841</v>
      </c>
      <c r="E1143">
        <v>73.766099999999994</v>
      </c>
    </row>
    <row r="1144" spans="3:5" x14ac:dyDescent="0.35">
      <c r="C1144">
        <f t="shared" si="18"/>
        <v>2014</v>
      </c>
      <c r="D1144" s="1">
        <v>41842</v>
      </c>
      <c r="E1144">
        <v>74.781800000000004</v>
      </c>
    </row>
    <row r="1145" spans="3:5" x14ac:dyDescent="0.35">
      <c r="C1145">
        <f t="shared" si="18"/>
        <v>2014</v>
      </c>
      <c r="D1145" s="1">
        <v>41843</v>
      </c>
      <c r="E1145">
        <v>75.293099999999995</v>
      </c>
    </row>
    <row r="1146" spans="3:5" x14ac:dyDescent="0.35">
      <c r="C1146">
        <f t="shared" si="18"/>
        <v>2014</v>
      </c>
      <c r="D1146" s="1">
        <v>41844</v>
      </c>
      <c r="E1146">
        <v>76.770799999999994</v>
      </c>
    </row>
    <row r="1147" spans="3:5" x14ac:dyDescent="0.35">
      <c r="C1147">
        <f t="shared" si="18"/>
        <v>2014</v>
      </c>
      <c r="D1147" s="1">
        <v>41845</v>
      </c>
      <c r="E1147">
        <v>75.594999999999999</v>
      </c>
    </row>
    <row r="1148" spans="3:5" x14ac:dyDescent="0.35">
      <c r="C1148">
        <f t="shared" si="18"/>
        <v>2014</v>
      </c>
      <c r="D1148" s="1">
        <v>41848</v>
      </c>
      <c r="E1148">
        <v>75.480199999999996</v>
      </c>
    </row>
    <row r="1149" spans="3:5" x14ac:dyDescent="0.35">
      <c r="C1149">
        <f t="shared" si="18"/>
        <v>2014</v>
      </c>
      <c r="D1149" s="1">
        <v>41849</v>
      </c>
      <c r="E1149">
        <v>75.587400000000002</v>
      </c>
    </row>
    <row r="1150" spans="3:5" x14ac:dyDescent="0.35">
      <c r="C1150">
        <f t="shared" si="18"/>
        <v>2014</v>
      </c>
      <c r="D1150" s="1">
        <v>41850</v>
      </c>
      <c r="E1150">
        <v>75.282499999999999</v>
      </c>
    </row>
    <row r="1151" spans="3:5" x14ac:dyDescent="0.35">
      <c r="C1151">
        <f t="shared" si="18"/>
        <v>2014</v>
      </c>
      <c r="D1151" s="1">
        <v>41851</v>
      </c>
      <c r="E1151">
        <v>73.461399999999998</v>
      </c>
    </row>
    <row r="1152" spans="3:5" x14ac:dyDescent="0.35">
      <c r="C1152">
        <f t="shared" si="18"/>
        <v>2014</v>
      </c>
      <c r="D1152" s="1">
        <v>41852</v>
      </c>
      <c r="E1152">
        <v>72.017700000000005</v>
      </c>
    </row>
    <row r="1153" spans="3:5" x14ac:dyDescent="0.35">
      <c r="C1153">
        <f t="shared" si="18"/>
        <v>2014</v>
      </c>
      <c r="D1153" s="1">
        <v>41855</v>
      </c>
      <c r="E1153">
        <v>73.129900000000006</v>
      </c>
    </row>
    <row r="1154" spans="3:5" x14ac:dyDescent="0.35">
      <c r="C1154">
        <f t="shared" si="18"/>
        <v>2014</v>
      </c>
      <c r="D1154" s="1">
        <v>41856</v>
      </c>
      <c r="E1154">
        <v>73.478200000000001</v>
      </c>
    </row>
    <row r="1155" spans="3:5" x14ac:dyDescent="0.35">
      <c r="C1155">
        <f t="shared" ref="C1155:C1218" si="19">YEAR(D1155)</f>
        <v>2014</v>
      </c>
      <c r="D1155" s="1">
        <v>41857</v>
      </c>
      <c r="E1155">
        <v>70.474100000000007</v>
      </c>
    </row>
    <row r="1156" spans="3:5" x14ac:dyDescent="0.35">
      <c r="C1156">
        <f t="shared" si="19"/>
        <v>2014</v>
      </c>
      <c r="D1156" s="1">
        <v>41858</v>
      </c>
      <c r="E1156">
        <v>69.365899999999996</v>
      </c>
    </row>
    <row r="1157" spans="3:5" x14ac:dyDescent="0.35">
      <c r="C1157">
        <f t="shared" si="19"/>
        <v>2014</v>
      </c>
      <c r="D1157" s="1">
        <v>41859</v>
      </c>
      <c r="E1157">
        <v>69.167000000000002</v>
      </c>
    </row>
    <row r="1158" spans="3:5" x14ac:dyDescent="0.35">
      <c r="C1158">
        <f t="shared" si="19"/>
        <v>2014</v>
      </c>
      <c r="D1158" s="1">
        <v>41862</v>
      </c>
      <c r="E1158">
        <v>68.622299999999996</v>
      </c>
    </row>
    <row r="1159" spans="3:5" x14ac:dyDescent="0.35">
      <c r="C1159">
        <f t="shared" si="19"/>
        <v>2014</v>
      </c>
      <c r="D1159" s="1">
        <v>41863</v>
      </c>
      <c r="E1159">
        <v>69.110699999999994</v>
      </c>
    </row>
    <row r="1160" spans="3:5" x14ac:dyDescent="0.35">
      <c r="C1160">
        <f t="shared" si="19"/>
        <v>2014</v>
      </c>
      <c r="D1160" s="1">
        <v>41864</v>
      </c>
      <c r="E1160">
        <v>69.211299999999994</v>
      </c>
    </row>
    <row r="1161" spans="3:5" x14ac:dyDescent="0.35">
      <c r="C1161">
        <f t="shared" si="19"/>
        <v>2014</v>
      </c>
      <c r="D1161" s="1">
        <v>41865</v>
      </c>
      <c r="E1161">
        <v>68.760300000000001</v>
      </c>
    </row>
    <row r="1162" spans="3:5" x14ac:dyDescent="0.35">
      <c r="C1162">
        <f t="shared" si="19"/>
        <v>2014</v>
      </c>
      <c r="D1162" s="1">
        <v>41866</v>
      </c>
      <c r="E1162">
        <v>67.3613</v>
      </c>
    </row>
    <row r="1163" spans="3:5" x14ac:dyDescent="0.35">
      <c r="C1163">
        <f t="shared" si="19"/>
        <v>2014</v>
      </c>
      <c r="D1163" s="1">
        <v>41869</v>
      </c>
      <c r="E1163">
        <v>69.72</v>
      </c>
    </row>
    <row r="1164" spans="3:5" x14ac:dyDescent="0.35">
      <c r="C1164">
        <f t="shared" si="19"/>
        <v>2014</v>
      </c>
      <c r="D1164" s="1">
        <v>41870</v>
      </c>
      <c r="E1164">
        <v>71.492599999999996</v>
      </c>
    </row>
    <row r="1165" spans="3:5" x14ac:dyDescent="0.35">
      <c r="C1165">
        <f t="shared" si="19"/>
        <v>2014</v>
      </c>
      <c r="D1165" s="1">
        <v>41871</v>
      </c>
      <c r="E1165">
        <v>75.726399999999998</v>
      </c>
    </row>
    <row r="1166" spans="3:5" x14ac:dyDescent="0.35">
      <c r="C1166">
        <f t="shared" si="19"/>
        <v>2014</v>
      </c>
      <c r="D1166" s="1">
        <v>41872</v>
      </c>
      <c r="E1166">
        <v>75.861900000000006</v>
      </c>
    </row>
    <row r="1167" spans="3:5" x14ac:dyDescent="0.35">
      <c r="C1167">
        <f t="shared" si="19"/>
        <v>2014</v>
      </c>
      <c r="D1167" s="1">
        <v>41873</v>
      </c>
      <c r="E1167">
        <v>75.995699999999999</v>
      </c>
    </row>
    <row r="1168" spans="3:5" x14ac:dyDescent="0.35">
      <c r="C1168">
        <f t="shared" si="19"/>
        <v>2014</v>
      </c>
      <c r="D1168" s="1">
        <v>41876</v>
      </c>
      <c r="E1168">
        <v>77.547700000000006</v>
      </c>
    </row>
    <row r="1169" spans="3:5" x14ac:dyDescent="0.35">
      <c r="C1169">
        <f t="shared" si="19"/>
        <v>2014</v>
      </c>
      <c r="D1169" s="1">
        <v>41877</v>
      </c>
      <c r="E1169">
        <v>77.508799999999994</v>
      </c>
    </row>
    <row r="1170" spans="3:5" x14ac:dyDescent="0.35">
      <c r="C1170">
        <f t="shared" si="19"/>
        <v>2014</v>
      </c>
      <c r="D1170" s="1">
        <v>41878</v>
      </c>
      <c r="E1170">
        <v>77.224000000000004</v>
      </c>
    </row>
    <row r="1171" spans="3:5" x14ac:dyDescent="0.35">
      <c r="C1171">
        <f t="shared" si="19"/>
        <v>2014</v>
      </c>
      <c r="D1171" s="1">
        <v>41879</v>
      </c>
      <c r="E1171">
        <v>77.000500000000002</v>
      </c>
    </row>
    <row r="1172" spans="3:5" x14ac:dyDescent="0.35">
      <c r="C1172">
        <f t="shared" si="19"/>
        <v>2014</v>
      </c>
      <c r="D1172" s="1">
        <v>41880</v>
      </c>
      <c r="E1172">
        <v>76.813900000000004</v>
      </c>
    </row>
    <row r="1173" spans="3:5" x14ac:dyDescent="0.35">
      <c r="C1173">
        <f t="shared" si="19"/>
        <v>2014</v>
      </c>
      <c r="D1173" s="1">
        <v>41884</v>
      </c>
      <c r="E1173">
        <v>78.905500000000004</v>
      </c>
    </row>
    <row r="1174" spans="3:5" x14ac:dyDescent="0.35">
      <c r="C1174">
        <f t="shared" si="19"/>
        <v>2014</v>
      </c>
      <c r="D1174" s="1">
        <v>41885</v>
      </c>
      <c r="E1174">
        <v>80.099999999999994</v>
      </c>
    </row>
    <row r="1175" spans="3:5" x14ac:dyDescent="0.35">
      <c r="C1175">
        <f t="shared" si="19"/>
        <v>2014</v>
      </c>
      <c r="D1175" s="1">
        <v>41886</v>
      </c>
      <c r="E1175">
        <v>80.784400000000005</v>
      </c>
    </row>
    <row r="1176" spans="3:5" x14ac:dyDescent="0.35">
      <c r="C1176">
        <f t="shared" si="19"/>
        <v>2014</v>
      </c>
      <c r="D1176" s="1">
        <v>41887</v>
      </c>
      <c r="E1176">
        <v>81.005300000000005</v>
      </c>
    </row>
    <row r="1177" spans="3:5" x14ac:dyDescent="0.35">
      <c r="C1177">
        <f t="shared" si="19"/>
        <v>2014</v>
      </c>
      <c r="D1177" s="1">
        <v>41890</v>
      </c>
      <c r="E1177">
        <v>82.167000000000002</v>
      </c>
    </row>
    <row r="1178" spans="3:5" x14ac:dyDescent="0.35">
      <c r="C1178">
        <f t="shared" si="19"/>
        <v>2014</v>
      </c>
      <c r="D1178" s="1">
        <v>41891</v>
      </c>
      <c r="E1178">
        <v>79.119200000000006</v>
      </c>
    </row>
    <row r="1179" spans="3:5" x14ac:dyDescent="0.35">
      <c r="C1179">
        <f t="shared" si="19"/>
        <v>2014</v>
      </c>
      <c r="D1179" s="1">
        <v>41892</v>
      </c>
      <c r="E1179">
        <v>77.907899999999998</v>
      </c>
    </row>
    <row r="1180" spans="3:5" x14ac:dyDescent="0.35">
      <c r="C1180">
        <f t="shared" si="19"/>
        <v>2014</v>
      </c>
      <c r="D1180" s="1">
        <v>41893</v>
      </c>
      <c r="E1180">
        <v>78.537300000000002</v>
      </c>
    </row>
    <row r="1181" spans="3:5" x14ac:dyDescent="0.35">
      <c r="C1181">
        <f t="shared" si="19"/>
        <v>2014</v>
      </c>
      <c r="D1181" s="1">
        <v>41894</v>
      </c>
      <c r="E1181">
        <v>77.872100000000003</v>
      </c>
    </row>
    <row r="1182" spans="3:5" x14ac:dyDescent="0.35">
      <c r="C1182">
        <f t="shared" si="19"/>
        <v>2014</v>
      </c>
      <c r="D1182" s="1">
        <v>41897</v>
      </c>
      <c r="E1182">
        <v>77.900000000000006</v>
      </c>
    </row>
    <row r="1183" spans="3:5" x14ac:dyDescent="0.35">
      <c r="C1183">
        <f t="shared" si="19"/>
        <v>2014</v>
      </c>
      <c r="D1183" s="1">
        <v>41898</v>
      </c>
      <c r="E1183">
        <v>77.382800000000003</v>
      </c>
    </row>
    <row r="1184" spans="3:5" x14ac:dyDescent="0.35">
      <c r="C1184">
        <f t="shared" si="19"/>
        <v>2014</v>
      </c>
      <c r="D1184" s="1">
        <v>41899</v>
      </c>
      <c r="E1184">
        <v>78.570599999999999</v>
      </c>
    </row>
    <row r="1185" spans="3:5" x14ac:dyDescent="0.35">
      <c r="C1185">
        <f t="shared" si="19"/>
        <v>2014</v>
      </c>
      <c r="D1185" s="1">
        <v>41900</v>
      </c>
      <c r="E1185">
        <v>76.9816</v>
      </c>
    </row>
    <row r="1186" spans="3:5" x14ac:dyDescent="0.35">
      <c r="C1186">
        <f t="shared" si="19"/>
        <v>2014</v>
      </c>
      <c r="D1186" s="1">
        <v>41901</v>
      </c>
      <c r="E1186">
        <v>76.403999999999996</v>
      </c>
    </row>
    <row r="1187" spans="3:5" x14ac:dyDescent="0.35">
      <c r="C1187">
        <f t="shared" si="19"/>
        <v>2014</v>
      </c>
      <c r="D1187" s="1">
        <v>41904</v>
      </c>
      <c r="E1187">
        <v>75.617900000000006</v>
      </c>
    </row>
    <row r="1188" spans="3:5" x14ac:dyDescent="0.35">
      <c r="C1188">
        <f t="shared" si="19"/>
        <v>2014</v>
      </c>
      <c r="D1188" s="1">
        <v>41905</v>
      </c>
      <c r="E1188">
        <v>74.712900000000005</v>
      </c>
    </row>
    <row r="1189" spans="3:5" x14ac:dyDescent="0.35">
      <c r="C1189">
        <f t="shared" si="19"/>
        <v>2014</v>
      </c>
      <c r="D1189" s="1">
        <v>41906</v>
      </c>
      <c r="E1189">
        <v>73.021100000000004</v>
      </c>
    </row>
    <row r="1190" spans="3:5" x14ac:dyDescent="0.35">
      <c r="C1190">
        <f t="shared" si="19"/>
        <v>2014</v>
      </c>
      <c r="D1190" s="1">
        <v>41907</v>
      </c>
      <c r="E1190">
        <v>71.958699999999993</v>
      </c>
    </row>
    <row r="1191" spans="3:5" x14ac:dyDescent="0.35">
      <c r="C1191">
        <f t="shared" si="19"/>
        <v>2014</v>
      </c>
      <c r="D1191" s="1">
        <v>41908</v>
      </c>
      <c r="E1191">
        <v>73.010300000000001</v>
      </c>
    </row>
    <row r="1192" spans="3:5" x14ac:dyDescent="0.35">
      <c r="C1192">
        <f t="shared" si="19"/>
        <v>2014</v>
      </c>
      <c r="D1192" s="1">
        <v>41911</v>
      </c>
      <c r="E1192">
        <v>74.024500000000003</v>
      </c>
    </row>
    <row r="1193" spans="3:5" x14ac:dyDescent="0.35">
      <c r="C1193">
        <f t="shared" si="19"/>
        <v>2014</v>
      </c>
      <c r="D1193" s="1">
        <v>41912</v>
      </c>
      <c r="E1193">
        <v>72.932699999999997</v>
      </c>
    </row>
    <row r="1194" spans="3:5" x14ac:dyDescent="0.35">
      <c r="C1194">
        <f t="shared" si="19"/>
        <v>2014</v>
      </c>
      <c r="D1194" s="1">
        <v>41913</v>
      </c>
      <c r="E1194">
        <v>72.514300000000006</v>
      </c>
    </row>
    <row r="1195" spans="3:5" x14ac:dyDescent="0.35">
      <c r="C1195">
        <f t="shared" si="19"/>
        <v>2014</v>
      </c>
      <c r="D1195" s="1">
        <v>41914</v>
      </c>
      <c r="E1195">
        <v>73.263000000000005</v>
      </c>
    </row>
    <row r="1196" spans="3:5" x14ac:dyDescent="0.35">
      <c r="C1196">
        <f t="shared" si="19"/>
        <v>2014</v>
      </c>
      <c r="D1196" s="1">
        <v>41915</v>
      </c>
      <c r="E1196">
        <v>75.600099999999998</v>
      </c>
    </row>
    <row r="1197" spans="3:5" x14ac:dyDescent="0.35">
      <c r="C1197">
        <f t="shared" si="19"/>
        <v>2014</v>
      </c>
      <c r="D1197" s="1">
        <v>41918</v>
      </c>
      <c r="E1197">
        <v>73.393699999999995</v>
      </c>
    </row>
    <row r="1198" spans="3:5" x14ac:dyDescent="0.35">
      <c r="C1198">
        <f t="shared" si="19"/>
        <v>2014</v>
      </c>
      <c r="D1198" s="1">
        <v>41919</v>
      </c>
      <c r="E1198">
        <v>73.953100000000006</v>
      </c>
    </row>
    <row r="1199" spans="3:5" x14ac:dyDescent="0.35">
      <c r="C1199">
        <f t="shared" si="19"/>
        <v>2014</v>
      </c>
      <c r="D1199" s="1">
        <v>41920</v>
      </c>
      <c r="E1199">
        <v>72.058300000000003</v>
      </c>
    </row>
    <row r="1200" spans="3:5" x14ac:dyDescent="0.35">
      <c r="C1200">
        <f t="shared" si="19"/>
        <v>2014</v>
      </c>
      <c r="D1200" s="1">
        <v>41921</v>
      </c>
      <c r="E1200">
        <v>73.211600000000004</v>
      </c>
    </row>
    <row r="1201" spans="3:5" x14ac:dyDescent="0.35">
      <c r="C1201">
        <f t="shared" si="19"/>
        <v>2014</v>
      </c>
      <c r="D1201" s="1">
        <v>41922</v>
      </c>
      <c r="E1201">
        <v>71.035200000000003</v>
      </c>
    </row>
    <row r="1202" spans="3:5" x14ac:dyDescent="0.35">
      <c r="C1202">
        <f t="shared" si="19"/>
        <v>2014</v>
      </c>
      <c r="D1202" s="1">
        <v>41925</v>
      </c>
      <c r="E1202">
        <v>70.554100000000005</v>
      </c>
    </row>
    <row r="1203" spans="3:5" x14ac:dyDescent="0.35">
      <c r="C1203">
        <f t="shared" si="19"/>
        <v>2014</v>
      </c>
      <c r="D1203" s="1">
        <v>41926</v>
      </c>
      <c r="E1203">
        <v>69.409700000000001</v>
      </c>
    </row>
    <row r="1204" spans="3:5" x14ac:dyDescent="0.35">
      <c r="C1204">
        <f t="shared" si="19"/>
        <v>2014</v>
      </c>
      <c r="D1204" s="1">
        <v>41927</v>
      </c>
      <c r="E1204">
        <v>69.944900000000004</v>
      </c>
    </row>
    <row r="1205" spans="3:5" x14ac:dyDescent="0.35">
      <c r="C1205">
        <f t="shared" si="19"/>
        <v>2014</v>
      </c>
      <c r="D1205" s="1">
        <v>41928</v>
      </c>
      <c r="E1205">
        <v>69.489599999999996</v>
      </c>
    </row>
    <row r="1206" spans="3:5" x14ac:dyDescent="0.35">
      <c r="C1206">
        <f t="shared" si="19"/>
        <v>2014</v>
      </c>
      <c r="D1206" s="1">
        <v>41929</v>
      </c>
      <c r="E1206">
        <v>70.325599999999994</v>
      </c>
    </row>
    <row r="1207" spans="3:5" x14ac:dyDescent="0.35">
      <c r="C1207">
        <f t="shared" si="19"/>
        <v>2014</v>
      </c>
      <c r="D1207" s="1">
        <v>41932</v>
      </c>
      <c r="E1207">
        <v>72.841899999999995</v>
      </c>
    </row>
    <row r="1208" spans="3:5" x14ac:dyDescent="0.35">
      <c r="C1208">
        <f t="shared" si="19"/>
        <v>2014</v>
      </c>
      <c r="D1208" s="1">
        <v>41933</v>
      </c>
      <c r="E1208">
        <v>76.8078</v>
      </c>
    </row>
    <row r="1209" spans="3:5" x14ac:dyDescent="0.35">
      <c r="C1209">
        <f t="shared" si="19"/>
        <v>2014</v>
      </c>
      <c r="D1209" s="1">
        <v>41934</v>
      </c>
      <c r="E1209">
        <v>77.170400000000001</v>
      </c>
    </row>
    <row r="1210" spans="3:5" x14ac:dyDescent="0.35">
      <c r="C1210">
        <f t="shared" si="19"/>
        <v>2014</v>
      </c>
      <c r="D1210" s="1">
        <v>41935</v>
      </c>
      <c r="E1210">
        <v>78.935000000000002</v>
      </c>
    </row>
    <row r="1211" spans="3:5" x14ac:dyDescent="0.35">
      <c r="C1211">
        <f t="shared" si="19"/>
        <v>2014</v>
      </c>
      <c r="D1211" s="1">
        <v>41936</v>
      </c>
      <c r="E1211">
        <v>79.007900000000006</v>
      </c>
    </row>
    <row r="1212" spans="3:5" x14ac:dyDescent="0.35">
      <c r="C1212">
        <f t="shared" si="19"/>
        <v>2014</v>
      </c>
      <c r="D1212" s="1">
        <v>41939</v>
      </c>
      <c r="E1212">
        <v>81.218100000000007</v>
      </c>
    </row>
    <row r="1213" spans="3:5" x14ac:dyDescent="0.35">
      <c r="C1213">
        <f t="shared" si="19"/>
        <v>2014</v>
      </c>
      <c r="D1213" s="1">
        <v>41940</v>
      </c>
      <c r="E1213">
        <v>82.0548</v>
      </c>
    </row>
    <row r="1214" spans="3:5" x14ac:dyDescent="0.35">
      <c r="C1214">
        <f t="shared" si="19"/>
        <v>2014</v>
      </c>
      <c r="D1214" s="1">
        <v>41941</v>
      </c>
      <c r="E1214">
        <v>83.262299999999996</v>
      </c>
    </row>
    <row r="1215" spans="3:5" x14ac:dyDescent="0.35">
      <c r="C1215">
        <f t="shared" si="19"/>
        <v>2014</v>
      </c>
      <c r="D1215" s="1">
        <v>41942</v>
      </c>
      <c r="E1215">
        <v>85.460999999999999</v>
      </c>
    </row>
    <row r="1216" spans="3:5" x14ac:dyDescent="0.35">
      <c r="C1216">
        <f t="shared" si="19"/>
        <v>2014</v>
      </c>
      <c r="D1216" s="1">
        <v>41943</v>
      </c>
      <c r="E1216">
        <v>88.066000000000003</v>
      </c>
    </row>
    <row r="1217" spans="3:5" x14ac:dyDescent="0.35">
      <c r="C1217">
        <f t="shared" si="19"/>
        <v>2014</v>
      </c>
      <c r="D1217" s="1">
        <v>41946</v>
      </c>
      <c r="E1217">
        <v>88.251000000000005</v>
      </c>
    </row>
    <row r="1218" spans="3:5" x14ac:dyDescent="0.35">
      <c r="C1218">
        <f t="shared" si="19"/>
        <v>2014</v>
      </c>
      <c r="D1218" s="1">
        <v>41947</v>
      </c>
      <c r="E1218">
        <v>90.920900000000003</v>
      </c>
    </row>
    <row r="1219" spans="3:5" x14ac:dyDescent="0.35">
      <c r="C1219">
        <f t="shared" ref="C1219:C1282" si="20">YEAR(D1219)</f>
        <v>2014</v>
      </c>
      <c r="D1219" s="1">
        <v>41948</v>
      </c>
      <c r="E1219">
        <v>90.365499999999997</v>
      </c>
    </row>
    <row r="1220" spans="3:5" x14ac:dyDescent="0.35">
      <c r="C1220">
        <f t="shared" si="20"/>
        <v>2014</v>
      </c>
      <c r="D1220" s="1">
        <v>41949</v>
      </c>
      <c r="E1220">
        <v>91.378</v>
      </c>
    </row>
    <row r="1221" spans="3:5" x14ac:dyDescent="0.35">
      <c r="C1221">
        <f t="shared" si="20"/>
        <v>2014</v>
      </c>
      <c r="D1221" s="1">
        <v>41950</v>
      </c>
      <c r="E1221">
        <v>88.012100000000004</v>
      </c>
    </row>
    <row r="1222" spans="3:5" x14ac:dyDescent="0.35">
      <c r="C1222">
        <f t="shared" si="20"/>
        <v>2014</v>
      </c>
      <c r="D1222" s="1">
        <v>41953</v>
      </c>
      <c r="E1222">
        <v>87.626099999999994</v>
      </c>
    </row>
    <row r="1223" spans="3:5" x14ac:dyDescent="0.35">
      <c r="C1223">
        <f t="shared" si="20"/>
        <v>2014</v>
      </c>
      <c r="D1223" s="1">
        <v>41954</v>
      </c>
      <c r="E1223">
        <v>92.984700000000004</v>
      </c>
    </row>
    <row r="1224" spans="3:5" x14ac:dyDescent="0.35">
      <c r="C1224">
        <f t="shared" si="20"/>
        <v>2014</v>
      </c>
      <c r="D1224" s="1">
        <v>41955</v>
      </c>
      <c r="E1224">
        <v>95.194599999999994</v>
      </c>
    </row>
    <row r="1225" spans="3:5" x14ac:dyDescent="0.35">
      <c r="C1225">
        <f t="shared" si="20"/>
        <v>2014</v>
      </c>
      <c r="D1225" s="1">
        <v>41956</v>
      </c>
      <c r="E1225">
        <v>96.290599999999998</v>
      </c>
    </row>
    <row r="1226" spans="3:5" x14ac:dyDescent="0.35">
      <c r="C1226">
        <f t="shared" si="20"/>
        <v>2014</v>
      </c>
      <c r="D1226" s="1">
        <v>41957</v>
      </c>
      <c r="E1226">
        <v>94.809399999999997</v>
      </c>
    </row>
    <row r="1227" spans="3:5" x14ac:dyDescent="0.35">
      <c r="C1227">
        <f t="shared" si="20"/>
        <v>2014</v>
      </c>
      <c r="D1227" s="1">
        <v>41960</v>
      </c>
      <c r="E1227">
        <v>94.107399999999998</v>
      </c>
    </row>
    <row r="1228" spans="3:5" x14ac:dyDescent="0.35">
      <c r="C1228">
        <f t="shared" si="20"/>
        <v>2014</v>
      </c>
      <c r="D1228" s="1">
        <v>41961</v>
      </c>
      <c r="E1228">
        <v>95.107200000000006</v>
      </c>
    </row>
    <row r="1229" spans="3:5" x14ac:dyDescent="0.35">
      <c r="C1229">
        <f t="shared" si="20"/>
        <v>2014</v>
      </c>
      <c r="D1229" s="1">
        <v>41962</v>
      </c>
      <c r="E1229">
        <v>94.825000000000003</v>
      </c>
    </row>
    <row r="1230" spans="3:5" x14ac:dyDescent="0.35">
      <c r="C1230">
        <f t="shared" si="20"/>
        <v>2014</v>
      </c>
      <c r="D1230" s="1">
        <v>41963</v>
      </c>
      <c r="E1230">
        <v>97.533199999999994</v>
      </c>
    </row>
    <row r="1231" spans="3:5" x14ac:dyDescent="0.35">
      <c r="C1231">
        <f t="shared" si="20"/>
        <v>2014</v>
      </c>
      <c r="D1231" s="1">
        <v>41964</v>
      </c>
      <c r="E1231">
        <v>96.044600000000003</v>
      </c>
    </row>
    <row r="1232" spans="3:5" x14ac:dyDescent="0.35">
      <c r="C1232">
        <f t="shared" si="20"/>
        <v>2014</v>
      </c>
      <c r="D1232" s="1">
        <v>41967</v>
      </c>
      <c r="E1232">
        <v>95.822699999999998</v>
      </c>
    </row>
    <row r="1233" spans="3:5" x14ac:dyDescent="0.35">
      <c r="C1233">
        <f t="shared" si="20"/>
        <v>2014</v>
      </c>
      <c r="D1233" s="1">
        <v>41968</v>
      </c>
      <c r="E1233">
        <v>98.856099999999998</v>
      </c>
    </row>
    <row r="1234" spans="3:5" x14ac:dyDescent="0.35">
      <c r="C1234">
        <f t="shared" si="20"/>
        <v>2014</v>
      </c>
      <c r="D1234" s="1">
        <v>41969</v>
      </c>
      <c r="E1234">
        <v>99.831100000000006</v>
      </c>
    </row>
    <row r="1235" spans="3:5" x14ac:dyDescent="0.35">
      <c r="C1235">
        <f t="shared" si="20"/>
        <v>2014</v>
      </c>
      <c r="D1235" s="1">
        <v>41971</v>
      </c>
      <c r="E1235">
        <v>110.50830000000001</v>
      </c>
    </row>
    <row r="1236" spans="3:5" x14ac:dyDescent="0.35">
      <c r="C1236">
        <f t="shared" si="20"/>
        <v>2014</v>
      </c>
      <c r="D1236" s="1">
        <v>41974</v>
      </c>
      <c r="E1236">
        <v>102.7491</v>
      </c>
    </row>
    <row r="1237" spans="3:5" x14ac:dyDescent="0.35">
      <c r="C1237">
        <f t="shared" si="20"/>
        <v>2014</v>
      </c>
      <c r="D1237" s="1">
        <v>41975</v>
      </c>
      <c r="E1237">
        <v>107.2174</v>
      </c>
    </row>
    <row r="1238" spans="3:5" x14ac:dyDescent="0.35">
      <c r="C1238">
        <f t="shared" si="20"/>
        <v>2014</v>
      </c>
      <c r="D1238" s="1">
        <v>41976</v>
      </c>
      <c r="E1238">
        <v>103.6644</v>
      </c>
    </row>
    <row r="1239" spans="3:5" x14ac:dyDescent="0.35">
      <c r="C1239">
        <f t="shared" si="20"/>
        <v>2014</v>
      </c>
      <c r="D1239" s="1">
        <v>41977</v>
      </c>
      <c r="E1239">
        <v>108.5185</v>
      </c>
    </row>
    <row r="1240" spans="3:5" x14ac:dyDescent="0.35">
      <c r="C1240">
        <f t="shared" si="20"/>
        <v>2014</v>
      </c>
      <c r="D1240" s="1">
        <v>41978</v>
      </c>
      <c r="E1240">
        <v>111.1748</v>
      </c>
    </row>
    <row r="1241" spans="3:5" x14ac:dyDescent="0.35">
      <c r="C1241">
        <f t="shared" si="20"/>
        <v>2014</v>
      </c>
      <c r="D1241" s="1">
        <v>41981</v>
      </c>
      <c r="E1241">
        <v>111.4485</v>
      </c>
    </row>
    <row r="1242" spans="3:5" x14ac:dyDescent="0.35">
      <c r="C1242">
        <f t="shared" si="20"/>
        <v>2014</v>
      </c>
      <c r="D1242" s="1">
        <v>41982</v>
      </c>
      <c r="E1242">
        <v>103.47369999999999</v>
      </c>
    </row>
    <row r="1243" spans="3:5" x14ac:dyDescent="0.35">
      <c r="C1243">
        <f t="shared" si="20"/>
        <v>2014</v>
      </c>
      <c r="D1243" s="1">
        <v>41983</v>
      </c>
      <c r="E1243">
        <v>108.05840000000001</v>
      </c>
    </row>
    <row r="1244" spans="3:5" x14ac:dyDescent="0.35">
      <c r="C1244">
        <f t="shared" si="20"/>
        <v>2014</v>
      </c>
      <c r="D1244" s="1">
        <v>41984</v>
      </c>
      <c r="E1244">
        <v>108.85209999999999</v>
      </c>
    </row>
    <row r="1245" spans="3:5" x14ac:dyDescent="0.35">
      <c r="C1245">
        <f t="shared" si="20"/>
        <v>2014</v>
      </c>
      <c r="D1245" s="1">
        <v>41985</v>
      </c>
      <c r="E1245">
        <v>106.9498</v>
      </c>
    </row>
    <row r="1246" spans="3:5" x14ac:dyDescent="0.35">
      <c r="C1246">
        <f t="shared" si="20"/>
        <v>2014</v>
      </c>
      <c r="D1246" s="1">
        <v>41988</v>
      </c>
      <c r="E1246">
        <v>107.43300000000001</v>
      </c>
    </row>
    <row r="1247" spans="3:5" x14ac:dyDescent="0.35">
      <c r="C1247">
        <f t="shared" si="20"/>
        <v>2014</v>
      </c>
      <c r="D1247" s="1">
        <v>41989</v>
      </c>
      <c r="E1247">
        <v>102.5596</v>
      </c>
    </row>
    <row r="1248" spans="3:5" x14ac:dyDescent="0.35">
      <c r="C1248">
        <f t="shared" si="20"/>
        <v>2014</v>
      </c>
      <c r="D1248" s="1">
        <v>41990</v>
      </c>
      <c r="E1248">
        <v>102.53740000000001</v>
      </c>
    </row>
    <row r="1249" spans="3:5" x14ac:dyDescent="0.35">
      <c r="C1249">
        <f t="shared" si="20"/>
        <v>2014</v>
      </c>
      <c r="D1249" s="1">
        <v>41991</v>
      </c>
      <c r="E1249">
        <v>104.55159999999999</v>
      </c>
    </row>
    <row r="1250" spans="3:5" x14ac:dyDescent="0.35">
      <c r="C1250">
        <f t="shared" si="20"/>
        <v>2014</v>
      </c>
      <c r="D1250" s="1">
        <v>41992</v>
      </c>
      <c r="E1250">
        <v>105.97539999999999</v>
      </c>
    </row>
    <row r="1251" spans="3:5" x14ac:dyDescent="0.35">
      <c r="C1251">
        <f t="shared" si="20"/>
        <v>2014</v>
      </c>
      <c r="D1251" s="1">
        <v>41995</v>
      </c>
      <c r="E1251">
        <v>109.5598</v>
      </c>
    </row>
    <row r="1252" spans="3:5" x14ac:dyDescent="0.35">
      <c r="C1252">
        <f t="shared" si="20"/>
        <v>2014</v>
      </c>
      <c r="D1252" s="1">
        <v>41996</v>
      </c>
      <c r="E1252">
        <v>105.95650000000001</v>
      </c>
    </row>
    <row r="1253" spans="3:5" x14ac:dyDescent="0.35">
      <c r="C1253">
        <f t="shared" si="20"/>
        <v>2014</v>
      </c>
      <c r="D1253" s="1">
        <v>41997</v>
      </c>
      <c r="E1253">
        <v>107.1097</v>
      </c>
    </row>
    <row r="1254" spans="3:5" x14ac:dyDescent="0.35">
      <c r="C1254">
        <f t="shared" si="20"/>
        <v>2014</v>
      </c>
      <c r="D1254" s="1">
        <v>41999</v>
      </c>
      <c r="E1254">
        <v>105.0857</v>
      </c>
    </row>
    <row r="1255" spans="3:5" x14ac:dyDescent="0.35">
      <c r="C1255">
        <f t="shared" si="20"/>
        <v>2014</v>
      </c>
      <c r="D1255" s="1">
        <v>42002</v>
      </c>
      <c r="E1255">
        <v>105.8617</v>
      </c>
    </row>
    <row r="1256" spans="3:5" x14ac:dyDescent="0.35">
      <c r="C1256">
        <f t="shared" si="20"/>
        <v>2014</v>
      </c>
      <c r="D1256" s="1">
        <v>42003</v>
      </c>
      <c r="E1256">
        <v>107.3856</v>
      </c>
    </row>
    <row r="1257" spans="3:5" x14ac:dyDescent="0.35">
      <c r="C1257">
        <f t="shared" si="20"/>
        <v>2014</v>
      </c>
      <c r="D1257" s="1">
        <v>42004</v>
      </c>
      <c r="E1257">
        <v>108.9235</v>
      </c>
    </row>
    <row r="1258" spans="3:5" x14ac:dyDescent="0.35">
      <c r="C1258">
        <f t="shared" si="20"/>
        <v>2015</v>
      </c>
      <c r="D1258" s="1">
        <v>42006</v>
      </c>
      <c r="E1258">
        <v>109.3584</v>
      </c>
    </row>
    <row r="1259" spans="3:5" x14ac:dyDescent="0.35">
      <c r="C1259">
        <f t="shared" si="20"/>
        <v>2015</v>
      </c>
      <c r="D1259" s="1">
        <v>42009</v>
      </c>
      <c r="E1259">
        <v>112.5091</v>
      </c>
    </row>
    <row r="1260" spans="3:5" x14ac:dyDescent="0.35">
      <c r="C1260">
        <f t="shared" si="20"/>
        <v>2015</v>
      </c>
      <c r="D1260" s="1">
        <v>42010</v>
      </c>
      <c r="E1260">
        <v>111.6357</v>
      </c>
    </row>
    <row r="1261" spans="3:5" x14ac:dyDescent="0.35">
      <c r="C1261">
        <f t="shared" si="20"/>
        <v>2015</v>
      </c>
      <c r="D1261" s="1">
        <v>42011</v>
      </c>
      <c r="E1261">
        <v>111.1249</v>
      </c>
    </row>
    <row r="1262" spans="3:5" x14ac:dyDescent="0.35">
      <c r="C1262">
        <f t="shared" si="20"/>
        <v>2015</v>
      </c>
      <c r="D1262" s="1">
        <v>42012</v>
      </c>
      <c r="E1262">
        <v>112.17270000000001</v>
      </c>
    </row>
    <row r="1263" spans="3:5" x14ac:dyDescent="0.35">
      <c r="C1263">
        <f t="shared" si="20"/>
        <v>2015</v>
      </c>
      <c r="D1263" s="1">
        <v>42013</v>
      </c>
      <c r="E1263">
        <v>110.85290000000001</v>
      </c>
    </row>
    <row r="1264" spans="3:5" x14ac:dyDescent="0.35">
      <c r="C1264">
        <f t="shared" si="20"/>
        <v>2015</v>
      </c>
      <c r="D1264" s="1">
        <v>42016</v>
      </c>
      <c r="E1264">
        <v>109.0599</v>
      </c>
    </row>
    <row r="1265" spans="3:5" x14ac:dyDescent="0.35">
      <c r="C1265">
        <f t="shared" si="20"/>
        <v>2015</v>
      </c>
      <c r="D1265" s="1">
        <v>42017</v>
      </c>
      <c r="E1265">
        <v>108.88249999999999</v>
      </c>
    </row>
    <row r="1266" spans="3:5" x14ac:dyDescent="0.35">
      <c r="C1266">
        <f t="shared" si="20"/>
        <v>2015</v>
      </c>
      <c r="D1266" s="1">
        <v>42018</v>
      </c>
      <c r="E1266">
        <v>107.19799999999999</v>
      </c>
    </row>
    <row r="1267" spans="3:5" x14ac:dyDescent="0.35">
      <c r="C1267">
        <f t="shared" si="20"/>
        <v>2015</v>
      </c>
      <c r="D1267" s="1">
        <v>42019</v>
      </c>
      <c r="E1267">
        <v>100.5857</v>
      </c>
    </row>
    <row r="1268" spans="3:5" x14ac:dyDescent="0.35">
      <c r="C1268">
        <f t="shared" si="20"/>
        <v>2015</v>
      </c>
      <c r="D1268" s="1">
        <v>42020</v>
      </c>
      <c r="E1268">
        <v>98.266199999999998</v>
      </c>
    </row>
    <row r="1269" spans="3:5" x14ac:dyDescent="0.35">
      <c r="C1269">
        <f t="shared" si="20"/>
        <v>2015</v>
      </c>
      <c r="D1269" s="1">
        <v>42024</v>
      </c>
      <c r="E1269">
        <v>99.456400000000002</v>
      </c>
    </row>
    <row r="1270" spans="3:5" x14ac:dyDescent="0.35">
      <c r="C1270">
        <f t="shared" si="20"/>
        <v>2015</v>
      </c>
      <c r="D1270" s="1">
        <v>42025</v>
      </c>
      <c r="E1270">
        <v>96.867800000000003</v>
      </c>
    </row>
    <row r="1271" spans="3:5" x14ac:dyDescent="0.35">
      <c r="C1271">
        <f t="shared" si="20"/>
        <v>2015</v>
      </c>
      <c r="D1271" s="1">
        <v>42026</v>
      </c>
      <c r="E1271">
        <v>96.915099999999995</v>
      </c>
    </row>
    <row r="1272" spans="3:5" x14ac:dyDescent="0.35">
      <c r="C1272">
        <f t="shared" si="20"/>
        <v>2015</v>
      </c>
      <c r="D1272" s="1">
        <v>42027</v>
      </c>
      <c r="E1272">
        <v>96.819500000000005</v>
      </c>
    </row>
    <row r="1273" spans="3:5" x14ac:dyDescent="0.35">
      <c r="C1273">
        <f t="shared" si="20"/>
        <v>2015</v>
      </c>
      <c r="D1273" s="1">
        <v>42030</v>
      </c>
      <c r="E1273">
        <v>99.900099999999995</v>
      </c>
    </row>
    <row r="1274" spans="3:5" x14ac:dyDescent="0.35">
      <c r="C1274">
        <f t="shared" si="20"/>
        <v>2015</v>
      </c>
      <c r="D1274" s="1">
        <v>42031</v>
      </c>
      <c r="E1274">
        <v>97.912000000000006</v>
      </c>
    </row>
    <row r="1275" spans="3:5" x14ac:dyDescent="0.35">
      <c r="C1275">
        <f t="shared" si="20"/>
        <v>2015</v>
      </c>
      <c r="D1275" s="1">
        <v>42032</v>
      </c>
      <c r="E1275">
        <v>96.521600000000007</v>
      </c>
    </row>
    <row r="1276" spans="3:5" x14ac:dyDescent="0.35">
      <c r="C1276">
        <f t="shared" si="20"/>
        <v>2015</v>
      </c>
      <c r="D1276" s="1">
        <v>42033</v>
      </c>
      <c r="E1276">
        <v>98.5672</v>
      </c>
    </row>
    <row r="1277" spans="3:5" x14ac:dyDescent="0.35">
      <c r="C1277">
        <f t="shared" si="20"/>
        <v>2015</v>
      </c>
      <c r="D1277" s="1">
        <v>42034</v>
      </c>
      <c r="E1277">
        <v>94.472700000000003</v>
      </c>
    </row>
    <row r="1278" spans="3:5" x14ac:dyDescent="0.35">
      <c r="C1278">
        <f t="shared" si="20"/>
        <v>2015</v>
      </c>
      <c r="D1278" s="1">
        <v>42037</v>
      </c>
      <c r="E1278">
        <v>92.386099999999999</v>
      </c>
    </row>
    <row r="1279" spans="3:5" x14ac:dyDescent="0.35">
      <c r="C1279">
        <f t="shared" si="20"/>
        <v>2015</v>
      </c>
      <c r="D1279" s="1">
        <v>42038</v>
      </c>
      <c r="E1279">
        <v>90.302899999999994</v>
      </c>
    </row>
    <row r="1280" spans="3:5" x14ac:dyDescent="0.35">
      <c r="C1280">
        <f t="shared" si="20"/>
        <v>2015</v>
      </c>
      <c r="D1280" s="1">
        <v>42039</v>
      </c>
      <c r="E1280">
        <v>92.128</v>
      </c>
    </row>
    <row r="1281" spans="3:5" x14ac:dyDescent="0.35">
      <c r="C1281">
        <f t="shared" si="20"/>
        <v>2015</v>
      </c>
      <c r="D1281" s="1">
        <v>42040</v>
      </c>
      <c r="E1281">
        <v>90.171199999999999</v>
      </c>
    </row>
    <row r="1282" spans="3:5" x14ac:dyDescent="0.35">
      <c r="C1282">
        <f t="shared" si="20"/>
        <v>2015</v>
      </c>
      <c r="D1282" s="1">
        <v>42041</v>
      </c>
      <c r="E1282">
        <v>90.654600000000002</v>
      </c>
    </row>
    <row r="1283" spans="3:5" x14ac:dyDescent="0.35">
      <c r="C1283">
        <f t="shared" ref="C1283:C1346" si="21">YEAR(D1283)</f>
        <v>2015</v>
      </c>
      <c r="D1283" s="1">
        <v>42044</v>
      </c>
      <c r="E1283">
        <v>88.433700000000002</v>
      </c>
    </row>
    <row r="1284" spans="3:5" x14ac:dyDescent="0.35">
      <c r="C1284">
        <f t="shared" si="21"/>
        <v>2015</v>
      </c>
      <c r="D1284" s="1">
        <v>42045</v>
      </c>
      <c r="E1284">
        <v>91.232399999999998</v>
      </c>
    </row>
    <row r="1285" spans="3:5" x14ac:dyDescent="0.35">
      <c r="C1285">
        <f t="shared" si="21"/>
        <v>2015</v>
      </c>
      <c r="D1285" s="1">
        <v>42046</v>
      </c>
      <c r="E1285">
        <v>91.861099999999993</v>
      </c>
    </row>
    <row r="1286" spans="3:5" x14ac:dyDescent="0.35">
      <c r="C1286">
        <f t="shared" si="21"/>
        <v>2015</v>
      </c>
      <c r="D1286" s="1">
        <v>42047</v>
      </c>
      <c r="E1286">
        <v>94.700100000000006</v>
      </c>
    </row>
    <row r="1287" spans="3:5" x14ac:dyDescent="0.35">
      <c r="C1287">
        <f t="shared" si="21"/>
        <v>2015</v>
      </c>
      <c r="D1287" s="1">
        <v>42048</v>
      </c>
      <c r="E1287">
        <v>93.524600000000007</v>
      </c>
    </row>
    <row r="1288" spans="3:5" x14ac:dyDescent="0.35">
      <c r="C1288">
        <f t="shared" si="21"/>
        <v>2015</v>
      </c>
      <c r="D1288" s="1">
        <v>42052</v>
      </c>
      <c r="E1288">
        <v>97.2209</v>
      </c>
    </row>
    <row r="1289" spans="3:5" x14ac:dyDescent="0.35">
      <c r="C1289">
        <f t="shared" si="21"/>
        <v>2015</v>
      </c>
      <c r="D1289" s="1">
        <v>42053</v>
      </c>
      <c r="E1289">
        <v>98.670299999999997</v>
      </c>
    </row>
    <row r="1290" spans="3:5" x14ac:dyDescent="0.35">
      <c r="C1290">
        <f t="shared" si="21"/>
        <v>2015</v>
      </c>
      <c r="D1290" s="1">
        <v>42054</v>
      </c>
      <c r="E1290">
        <v>100.08150000000001</v>
      </c>
    </row>
    <row r="1291" spans="3:5" x14ac:dyDescent="0.35">
      <c r="C1291">
        <f t="shared" si="21"/>
        <v>2015</v>
      </c>
      <c r="D1291" s="1">
        <v>42055</v>
      </c>
      <c r="E1291">
        <v>97.375</v>
      </c>
    </row>
    <row r="1292" spans="3:5" x14ac:dyDescent="0.35">
      <c r="C1292">
        <f t="shared" si="21"/>
        <v>2015</v>
      </c>
      <c r="D1292" s="1">
        <v>42058</v>
      </c>
      <c r="E1292">
        <v>99.848699999999994</v>
      </c>
    </row>
    <row r="1293" spans="3:5" x14ac:dyDescent="0.35">
      <c r="C1293">
        <f t="shared" si="21"/>
        <v>2015</v>
      </c>
      <c r="D1293" s="1">
        <v>42059</v>
      </c>
      <c r="E1293">
        <v>101.0318</v>
      </c>
    </row>
    <row r="1294" spans="3:5" x14ac:dyDescent="0.35">
      <c r="C1294">
        <f t="shared" si="21"/>
        <v>2015</v>
      </c>
      <c r="D1294" s="1">
        <v>42060</v>
      </c>
      <c r="E1294">
        <v>97.793800000000005</v>
      </c>
    </row>
    <row r="1295" spans="3:5" x14ac:dyDescent="0.35">
      <c r="C1295">
        <f t="shared" si="21"/>
        <v>2015</v>
      </c>
      <c r="D1295" s="1">
        <v>42061</v>
      </c>
      <c r="E1295">
        <v>93.046300000000002</v>
      </c>
    </row>
    <row r="1296" spans="3:5" x14ac:dyDescent="0.35">
      <c r="C1296">
        <f t="shared" si="21"/>
        <v>2015</v>
      </c>
      <c r="D1296" s="1">
        <v>42062</v>
      </c>
      <c r="E1296">
        <v>92.688199999999995</v>
      </c>
    </row>
    <row r="1297" spans="3:5" x14ac:dyDescent="0.35">
      <c r="C1297">
        <f t="shared" si="21"/>
        <v>2015</v>
      </c>
      <c r="D1297" s="1">
        <v>42065</v>
      </c>
      <c r="E1297">
        <v>92.695800000000006</v>
      </c>
    </row>
    <row r="1298" spans="3:5" x14ac:dyDescent="0.35">
      <c r="C1298">
        <f t="shared" si="21"/>
        <v>2015</v>
      </c>
      <c r="D1298" s="1">
        <v>42066</v>
      </c>
      <c r="E1298">
        <v>91.724000000000004</v>
      </c>
    </row>
    <row r="1299" spans="3:5" x14ac:dyDescent="0.35">
      <c r="C1299">
        <f t="shared" si="21"/>
        <v>2015</v>
      </c>
      <c r="D1299" s="1">
        <v>42067</v>
      </c>
      <c r="E1299">
        <v>88.584400000000002</v>
      </c>
    </row>
    <row r="1300" spans="3:5" x14ac:dyDescent="0.35">
      <c r="C1300">
        <f t="shared" si="21"/>
        <v>2015</v>
      </c>
      <c r="D1300" s="1">
        <v>42068</v>
      </c>
      <c r="E1300">
        <v>86.795699999999997</v>
      </c>
    </row>
    <row r="1301" spans="3:5" x14ac:dyDescent="0.35">
      <c r="C1301">
        <f t="shared" si="21"/>
        <v>2015</v>
      </c>
      <c r="D1301" s="1">
        <v>42069</v>
      </c>
      <c r="E1301">
        <v>86.748099999999994</v>
      </c>
    </row>
    <row r="1302" spans="3:5" x14ac:dyDescent="0.35">
      <c r="C1302">
        <f t="shared" si="21"/>
        <v>2015</v>
      </c>
      <c r="D1302" s="1">
        <v>42072</v>
      </c>
      <c r="E1302">
        <v>86.626900000000006</v>
      </c>
    </row>
    <row r="1303" spans="3:5" x14ac:dyDescent="0.35">
      <c r="C1303">
        <f t="shared" si="21"/>
        <v>2015</v>
      </c>
      <c r="D1303" s="1">
        <v>42073</v>
      </c>
      <c r="E1303">
        <v>84.971599999999995</v>
      </c>
    </row>
    <row r="1304" spans="3:5" x14ac:dyDescent="0.35">
      <c r="C1304">
        <f t="shared" si="21"/>
        <v>2015</v>
      </c>
      <c r="D1304" s="1">
        <v>42074</v>
      </c>
      <c r="E1304">
        <v>85.613100000000003</v>
      </c>
    </row>
    <row r="1305" spans="3:5" x14ac:dyDescent="0.35">
      <c r="C1305">
        <f t="shared" si="21"/>
        <v>2015</v>
      </c>
      <c r="D1305" s="1">
        <v>42075</v>
      </c>
      <c r="E1305">
        <v>86.536199999999994</v>
      </c>
    </row>
    <row r="1306" spans="3:5" x14ac:dyDescent="0.35">
      <c r="C1306">
        <f t="shared" si="21"/>
        <v>2015</v>
      </c>
      <c r="D1306" s="1">
        <v>42076</v>
      </c>
      <c r="E1306">
        <v>84.838800000000006</v>
      </c>
    </row>
    <row r="1307" spans="3:5" x14ac:dyDescent="0.35">
      <c r="C1307">
        <f t="shared" si="21"/>
        <v>2015</v>
      </c>
      <c r="D1307" s="1">
        <v>42079</v>
      </c>
      <c r="E1307">
        <v>86.346199999999996</v>
      </c>
    </row>
    <row r="1308" spans="3:5" x14ac:dyDescent="0.35">
      <c r="C1308">
        <f t="shared" si="21"/>
        <v>2015</v>
      </c>
      <c r="D1308" s="1">
        <v>42080</v>
      </c>
      <c r="E1308">
        <v>89.844800000000006</v>
      </c>
    </row>
    <row r="1309" spans="3:5" x14ac:dyDescent="0.35">
      <c r="C1309">
        <f t="shared" si="21"/>
        <v>2015</v>
      </c>
      <c r="D1309" s="1">
        <v>42081</v>
      </c>
      <c r="E1309">
        <v>89.295299999999997</v>
      </c>
    </row>
    <row r="1310" spans="3:5" x14ac:dyDescent="0.35">
      <c r="C1310">
        <f t="shared" si="21"/>
        <v>2015</v>
      </c>
      <c r="D1310" s="1">
        <v>42082</v>
      </c>
      <c r="E1310">
        <v>91.938299999999998</v>
      </c>
    </row>
    <row r="1311" spans="3:5" x14ac:dyDescent="0.35">
      <c r="C1311">
        <f t="shared" si="21"/>
        <v>2015</v>
      </c>
      <c r="D1311" s="1">
        <v>42083</v>
      </c>
      <c r="E1311">
        <v>90.187399999999997</v>
      </c>
    </row>
    <row r="1312" spans="3:5" x14ac:dyDescent="0.35">
      <c r="C1312">
        <f t="shared" si="21"/>
        <v>2015</v>
      </c>
      <c r="D1312" s="1">
        <v>42086</v>
      </c>
      <c r="E1312">
        <v>91.530600000000007</v>
      </c>
    </row>
    <row r="1313" spans="3:5" x14ac:dyDescent="0.35">
      <c r="C1313">
        <f t="shared" si="21"/>
        <v>2015</v>
      </c>
      <c r="D1313" s="1">
        <v>42087</v>
      </c>
      <c r="E1313">
        <v>89.686199999999999</v>
      </c>
    </row>
    <row r="1314" spans="3:5" x14ac:dyDescent="0.35">
      <c r="C1314">
        <f t="shared" si="21"/>
        <v>2015</v>
      </c>
      <c r="D1314" s="1">
        <v>42088</v>
      </c>
      <c r="E1314">
        <v>88.544300000000007</v>
      </c>
    </row>
    <row r="1315" spans="3:5" x14ac:dyDescent="0.35">
      <c r="C1315">
        <f t="shared" si="21"/>
        <v>2015</v>
      </c>
      <c r="D1315" s="1">
        <v>42089</v>
      </c>
      <c r="E1315">
        <v>84.536199999999994</v>
      </c>
    </row>
    <row r="1316" spans="3:5" x14ac:dyDescent="0.35">
      <c r="C1316">
        <f t="shared" si="21"/>
        <v>2015</v>
      </c>
      <c r="D1316" s="1">
        <v>42090</v>
      </c>
      <c r="E1316">
        <v>85.9482</v>
      </c>
    </row>
    <row r="1317" spans="3:5" x14ac:dyDescent="0.35">
      <c r="C1317">
        <f t="shared" si="21"/>
        <v>2015</v>
      </c>
      <c r="D1317" s="1">
        <v>42093</v>
      </c>
      <c r="E1317">
        <v>89.470699999999994</v>
      </c>
    </row>
    <row r="1318" spans="3:5" x14ac:dyDescent="0.35">
      <c r="C1318">
        <f t="shared" si="21"/>
        <v>2015</v>
      </c>
      <c r="D1318" s="1">
        <v>42094</v>
      </c>
      <c r="E1318">
        <v>89.902199999999993</v>
      </c>
    </row>
    <row r="1319" spans="3:5" x14ac:dyDescent="0.35">
      <c r="C1319">
        <f t="shared" si="21"/>
        <v>2015</v>
      </c>
      <c r="D1319" s="1">
        <v>42095</v>
      </c>
      <c r="E1319">
        <v>87.572800000000001</v>
      </c>
    </row>
    <row r="1320" spans="3:5" x14ac:dyDescent="0.35">
      <c r="C1320">
        <f t="shared" si="21"/>
        <v>2015</v>
      </c>
      <c r="D1320" s="1">
        <v>42096</v>
      </c>
      <c r="E1320">
        <v>89.064599999999999</v>
      </c>
    </row>
    <row r="1321" spans="3:5" x14ac:dyDescent="0.35">
      <c r="C1321">
        <f t="shared" si="21"/>
        <v>2015</v>
      </c>
      <c r="D1321" s="1">
        <v>42100</v>
      </c>
      <c r="E1321">
        <v>89.513400000000004</v>
      </c>
    </row>
    <row r="1322" spans="3:5" x14ac:dyDescent="0.35">
      <c r="C1322">
        <f t="shared" si="21"/>
        <v>2015</v>
      </c>
      <c r="D1322" s="1">
        <v>42101</v>
      </c>
      <c r="E1322">
        <v>88.254800000000003</v>
      </c>
    </row>
    <row r="1323" spans="3:5" x14ac:dyDescent="0.35">
      <c r="C1323">
        <f t="shared" si="21"/>
        <v>2015</v>
      </c>
      <c r="D1323" s="1">
        <v>42102</v>
      </c>
      <c r="E1323">
        <v>89.855699999999999</v>
      </c>
    </row>
    <row r="1324" spans="3:5" x14ac:dyDescent="0.35">
      <c r="C1324">
        <f t="shared" si="21"/>
        <v>2015</v>
      </c>
      <c r="D1324" s="1">
        <v>42103</v>
      </c>
      <c r="E1324">
        <v>91.2864</v>
      </c>
    </row>
    <row r="1325" spans="3:5" x14ac:dyDescent="0.35">
      <c r="C1325">
        <f t="shared" si="21"/>
        <v>2015</v>
      </c>
      <c r="D1325" s="1">
        <v>42104</v>
      </c>
      <c r="E1325">
        <v>88.541200000000003</v>
      </c>
    </row>
    <row r="1326" spans="3:5" x14ac:dyDescent="0.35">
      <c r="C1326">
        <f t="shared" si="21"/>
        <v>2015</v>
      </c>
      <c r="D1326" s="1">
        <v>42107</v>
      </c>
      <c r="E1326">
        <v>89.456599999999995</v>
      </c>
    </row>
    <row r="1327" spans="3:5" x14ac:dyDescent="0.35">
      <c r="C1327">
        <f t="shared" si="21"/>
        <v>2015</v>
      </c>
      <c r="D1327" s="1">
        <v>42108</v>
      </c>
      <c r="E1327">
        <v>88.249600000000001</v>
      </c>
    </row>
    <row r="1328" spans="3:5" x14ac:dyDescent="0.35">
      <c r="C1328">
        <f t="shared" si="21"/>
        <v>2015</v>
      </c>
      <c r="D1328" s="1">
        <v>42109</v>
      </c>
      <c r="E1328">
        <v>84.784499999999994</v>
      </c>
    </row>
    <row r="1329" spans="3:5" x14ac:dyDescent="0.35">
      <c r="C1329">
        <f t="shared" si="21"/>
        <v>2015</v>
      </c>
      <c r="D1329" s="1">
        <v>42110</v>
      </c>
      <c r="E1329">
        <v>85.562399999999997</v>
      </c>
    </row>
    <row r="1330" spans="3:5" x14ac:dyDescent="0.35">
      <c r="C1330">
        <f t="shared" si="21"/>
        <v>2015</v>
      </c>
      <c r="D1330" s="1">
        <v>42111</v>
      </c>
      <c r="E1330">
        <v>85.655900000000003</v>
      </c>
    </row>
    <row r="1331" spans="3:5" x14ac:dyDescent="0.35">
      <c r="C1331">
        <f t="shared" si="21"/>
        <v>2015</v>
      </c>
      <c r="D1331" s="1">
        <v>42114</v>
      </c>
      <c r="E1331">
        <v>87.487099999999998</v>
      </c>
    </row>
    <row r="1332" spans="3:5" x14ac:dyDescent="0.35">
      <c r="C1332">
        <f t="shared" si="21"/>
        <v>2015</v>
      </c>
      <c r="D1332" s="1">
        <v>42115</v>
      </c>
      <c r="E1332">
        <v>88.443600000000004</v>
      </c>
    </row>
    <row r="1333" spans="3:5" x14ac:dyDescent="0.35">
      <c r="C1333">
        <f t="shared" si="21"/>
        <v>2015</v>
      </c>
      <c r="D1333" s="1">
        <v>42116</v>
      </c>
      <c r="E1333">
        <v>89.419499999999999</v>
      </c>
    </row>
    <row r="1334" spans="3:5" x14ac:dyDescent="0.35">
      <c r="C1334">
        <f t="shared" si="21"/>
        <v>2015</v>
      </c>
      <c r="D1334" s="1">
        <v>42117</v>
      </c>
      <c r="E1334">
        <v>87.946200000000005</v>
      </c>
    </row>
    <row r="1335" spans="3:5" x14ac:dyDescent="0.35">
      <c r="C1335">
        <f t="shared" si="21"/>
        <v>2015</v>
      </c>
      <c r="D1335" s="1">
        <v>42118</v>
      </c>
      <c r="E1335">
        <v>90.850499999999997</v>
      </c>
    </row>
    <row r="1336" spans="3:5" x14ac:dyDescent="0.35">
      <c r="C1336">
        <f t="shared" si="21"/>
        <v>2015</v>
      </c>
      <c r="D1336" s="1">
        <v>42121</v>
      </c>
      <c r="E1336">
        <v>89.055400000000006</v>
      </c>
    </row>
    <row r="1337" spans="3:5" x14ac:dyDescent="0.35">
      <c r="C1337">
        <f t="shared" si="21"/>
        <v>2015</v>
      </c>
      <c r="D1337" s="1">
        <v>42122</v>
      </c>
      <c r="E1337">
        <v>88.422399999999996</v>
      </c>
    </row>
    <row r="1338" spans="3:5" x14ac:dyDescent="0.35">
      <c r="C1338">
        <f t="shared" si="21"/>
        <v>2015</v>
      </c>
      <c r="D1338" s="1">
        <v>42123</v>
      </c>
      <c r="E1338">
        <v>89.592699999999994</v>
      </c>
    </row>
    <row r="1339" spans="3:5" x14ac:dyDescent="0.35">
      <c r="C1339">
        <f t="shared" si="21"/>
        <v>2015</v>
      </c>
      <c r="D1339" s="1">
        <v>42124</v>
      </c>
      <c r="E1339">
        <v>87.923900000000003</v>
      </c>
    </row>
    <row r="1340" spans="3:5" x14ac:dyDescent="0.35">
      <c r="C1340">
        <f t="shared" si="21"/>
        <v>2015</v>
      </c>
      <c r="D1340" s="1">
        <v>42125</v>
      </c>
      <c r="E1340">
        <v>87.961399999999998</v>
      </c>
    </row>
    <row r="1341" spans="3:5" x14ac:dyDescent="0.35">
      <c r="C1341">
        <f t="shared" si="21"/>
        <v>2015</v>
      </c>
      <c r="D1341" s="1">
        <v>42128</v>
      </c>
      <c r="E1341">
        <v>87.576099999999997</v>
      </c>
    </row>
    <row r="1342" spans="3:5" x14ac:dyDescent="0.35">
      <c r="C1342">
        <f t="shared" si="21"/>
        <v>2015</v>
      </c>
      <c r="D1342" s="1">
        <v>42129</v>
      </c>
      <c r="E1342">
        <v>85.887100000000004</v>
      </c>
    </row>
    <row r="1343" spans="3:5" x14ac:dyDescent="0.35">
      <c r="C1343">
        <f t="shared" si="21"/>
        <v>2015</v>
      </c>
      <c r="D1343" s="1">
        <v>42130</v>
      </c>
      <c r="E1343">
        <v>84.427499999999995</v>
      </c>
    </row>
    <row r="1344" spans="3:5" x14ac:dyDescent="0.35">
      <c r="C1344">
        <f t="shared" si="21"/>
        <v>2015</v>
      </c>
      <c r="D1344" s="1">
        <v>42131</v>
      </c>
      <c r="E1344">
        <v>86.721400000000003</v>
      </c>
    </row>
    <row r="1345" spans="3:5" x14ac:dyDescent="0.35">
      <c r="C1345">
        <f t="shared" si="21"/>
        <v>2015</v>
      </c>
      <c r="D1345" s="1">
        <v>42132</v>
      </c>
      <c r="E1345">
        <v>87.296000000000006</v>
      </c>
    </row>
    <row r="1346" spans="3:5" x14ac:dyDescent="0.35">
      <c r="C1346">
        <f t="shared" si="21"/>
        <v>2015</v>
      </c>
      <c r="D1346" s="1">
        <v>42135</v>
      </c>
      <c r="E1346">
        <v>89.188400000000001</v>
      </c>
    </row>
    <row r="1347" spans="3:5" x14ac:dyDescent="0.35">
      <c r="C1347">
        <f t="shared" ref="C1347:C1410" si="22">YEAR(D1347)</f>
        <v>2015</v>
      </c>
      <c r="D1347" s="1">
        <v>42136</v>
      </c>
      <c r="E1347">
        <v>90.858000000000004</v>
      </c>
    </row>
    <row r="1348" spans="3:5" x14ac:dyDescent="0.35">
      <c r="C1348">
        <f t="shared" si="22"/>
        <v>2015</v>
      </c>
      <c r="D1348" s="1">
        <v>42137</v>
      </c>
      <c r="E1348">
        <v>90.688699999999997</v>
      </c>
    </row>
    <row r="1349" spans="3:5" x14ac:dyDescent="0.35">
      <c r="C1349">
        <f t="shared" si="22"/>
        <v>2015</v>
      </c>
      <c r="D1349" s="1">
        <v>42138</v>
      </c>
      <c r="E1349">
        <v>92.371700000000004</v>
      </c>
    </row>
    <row r="1350" spans="3:5" x14ac:dyDescent="0.35">
      <c r="C1350">
        <f t="shared" si="22"/>
        <v>2015</v>
      </c>
      <c r="D1350" s="1">
        <v>42139</v>
      </c>
      <c r="E1350">
        <v>94.721400000000003</v>
      </c>
    </row>
    <row r="1351" spans="3:5" x14ac:dyDescent="0.35">
      <c r="C1351">
        <f t="shared" si="22"/>
        <v>2015</v>
      </c>
      <c r="D1351" s="1">
        <v>42142</v>
      </c>
      <c r="E1351">
        <v>96.369900000000001</v>
      </c>
    </row>
    <row r="1352" spans="3:5" x14ac:dyDescent="0.35">
      <c r="C1352">
        <f t="shared" si="22"/>
        <v>2015</v>
      </c>
      <c r="D1352" s="1">
        <v>42143</v>
      </c>
      <c r="E1352">
        <v>97.808000000000007</v>
      </c>
    </row>
    <row r="1353" spans="3:5" x14ac:dyDescent="0.35">
      <c r="C1353">
        <f t="shared" si="22"/>
        <v>2015</v>
      </c>
      <c r="D1353" s="1">
        <v>42144</v>
      </c>
      <c r="E1353">
        <v>95.327699999999993</v>
      </c>
    </row>
    <row r="1354" spans="3:5" x14ac:dyDescent="0.35">
      <c r="C1354">
        <f t="shared" si="22"/>
        <v>2015</v>
      </c>
      <c r="D1354" s="1">
        <v>42145</v>
      </c>
      <c r="E1354">
        <v>92.753299999999996</v>
      </c>
    </row>
    <row r="1355" spans="3:5" x14ac:dyDescent="0.35">
      <c r="C1355">
        <f t="shared" si="22"/>
        <v>2015</v>
      </c>
      <c r="D1355" s="1">
        <v>42146</v>
      </c>
      <c r="E1355">
        <v>92.905199999999994</v>
      </c>
    </row>
    <row r="1356" spans="3:5" x14ac:dyDescent="0.35">
      <c r="C1356">
        <f t="shared" si="22"/>
        <v>2015</v>
      </c>
      <c r="D1356" s="1">
        <v>42150</v>
      </c>
      <c r="E1356">
        <v>92.292100000000005</v>
      </c>
    </row>
    <row r="1357" spans="3:5" x14ac:dyDescent="0.35">
      <c r="C1357">
        <f t="shared" si="22"/>
        <v>2015</v>
      </c>
      <c r="D1357" s="1">
        <v>42151</v>
      </c>
      <c r="E1357">
        <v>93.291200000000003</v>
      </c>
    </row>
    <row r="1358" spans="3:5" x14ac:dyDescent="0.35">
      <c r="C1358">
        <f t="shared" si="22"/>
        <v>2015</v>
      </c>
      <c r="D1358" s="1">
        <v>42152</v>
      </c>
      <c r="E1358">
        <v>92.3827</v>
      </c>
    </row>
    <row r="1359" spans="3:5" x14ac:dyDescent="0.35">
      <c r="C1359">
        <f t="shared" si="22"/>
        <v>2015</v>
      </c>
      <c r="D1359" s="1">
        <v>42153</v>
      </c>
      <c r="E1359">
        <v>88.832700000000003</v>
      </c>
    </row>
    <row r="1360" spans="3:5" x14ac:dyDescent="0.35">
      <c r="C1360">
        <f t="shared" si="22"/>
        <v>2015</v>
      </c>
      <c r="D1360" s="1">
        <v>42156</v>
      </c>
      <c r="E1360">
        <v>86.311999999999998</v>
      </c>
    </row>
    <row r="1361" spans="3:5" x14ac:dyDescent="0.35">
      <c r="C1361">
        <f t="shared" si="22"/>
        <v>2015</v>
      </c>
      <c r="D1361" s="1">
        <v>42157</v>
      </c>
      <c r="E1361">
        <v>86.183599999999998</v>
      </c>
    </row>
    <row r="1362" spans="3:5" x14ac:dyDescent="0.35">
      <c r="C1362">
        <f t="shared" si="22"/>
        <v>2015</v>
      </c>
      <c r="D1362" s="1">
        <v>42158</v>
      </c>
      <c r="E1362">
        <v>88.819199999999995</v>
      </c>
    </row>
    <row r="1363" spans="3:5" x14ac:dyDescent="0.35">
      <c r="C1363">
        <f t="shared" si="22"/>
        <v>2015</v>
      </c>
      <c r="D1363" s="1">
        <v>42159</v>
      </c>
      <c r="E1363">
        <v>89.443200000000004</v>
      </c>
    </row>
    <row r="1364" spans="3:5" x14ac:dyDescent="0.35">
      <c r="C1364">
        <f t="shared" si="22"/>
        <v>2015</v>
      </c>
      <c r="D1364" s="1">
        <v>42160</v>
      </c>
      <c r="E1364">
        <v>89.818100000000001</v>
      </c>
    </row>
    <row r="1365" spans="3:5" x14ac:dyDescent="0.35">
      <c r="C1365">
        <f t="shared" si="22"/>
        <v>2015</v>
      </c>
      <c r="D1365" s="1">
        <v>42163</v>
      </c>
      <c r="E1365">
        <v>81.106399999999994</v>
      </c>
    </row>
    <row r="1366" spans="3:5" x14ac:dyDescent="0.35">
      <c r="C1366">
        <f t="shared" si="22"/>
        <v>2015</v>
      </c>
      <c r="D1366" s="1">
        <v>42164</v>
      </c>
      <c r="E1366">
        <v>80.693799999999996</v>
      </c>
    </row>
    <row r="1367" spans="3:5" x14ac:dyDescent="0.35">
      <c r="C1367">
        <f t="shared" si="22"/>
        <v>2015</v>
      </c>
      <c r="D1367" s="1">
        <v>42165</v>
      </c>
      <c r="E1367">
        <v>82.083799999999997</v>
      </c>
    </row>
    <row r="1368" spans="3:5" x14ac:dyDescent="0.35">
      <c r="C1368">
        <f t="shared" si="22"/>
        <v>2015</v>
      </c>
      <c r="D1368" s="1">
        <v>42166</v>
      </c>
      <c r="E1368">
        <v>84.415700000000001</v>
      </c>
    </row>
    <row r="1369" spans="3:5" x14ac:dyDescent="0.35">
      <c r="C1369">
        <f t="shared" si="22"/>
        <v>2015</v>
      </c>
      <c r="D1369" s="1">
        <v>42167</v>
      </c>
      <c r="E1369">
        <v>85.417299999999997</v>
      </c>
    </row>
    <row r="1370" spans="3:5" x14ac:dyDescent="0.35">
      <c r="C1370">
        <f t="shared" si="22"/>
        <v>2015</v>
      </c>
      <c r="D1370" s="1">
        <v>42170</v>
      </c>
      <c r="E1370">
        <v>82.892700000000005</v>
      </c>
    </row>
    <row r="1371" spans="3:5" x14ac:dyDescent="0.35">
      <c r="C1371">
        <f t="shared" si="22"/>
        <v>2015</v>
      </c>
      <c r="D1371" s="1">
        <v>42171</v>
      </c>
      <c r="E1371">
        <v>83.982100000000003</v>
      </c>
    </row>
    <row r="1372" spans="3:5" x14ac:dyDescent="0.35">
      <c r="C1372">
        <f t="shared" si="22"/>
        <v>2015</v>
      </c>
      <c r="D1372" s="1">
        <v>42172</v>
      </c>
      <c r="E1372">
        <v>85.605900000000005</v>
      </c>
    </row>
    <row r="1373" spans="3:5" x14ac:dyDescent="0.35">
      <c r="C1373">
        <f t="shared" si="22"/>
        <v>2015</v>
      </c>
      <c r="D1373" s="1">
        <v>42173</v>
      </c>
      <c r="E1373">
        <v>85.470399999999998</v>
      </c>
    </row>
    <row r="1374" spans="3:5" x14ac:dyDescent="0.35">
      <c r="C1374">
        <f t="shared" si="22"/>
        <v>2015</v>
      </c>
      <c r="D1374" s="1">
        <v>42174</v>
      </c>
      <c r="E1374">
        <v>86.209400000000002</v>
      </c>
    </row>
    <row r="1375" spans="3:5" x14ac:dyDescent="0.35">
      <c r="C1375">
        <f t="shared" si="22"/>
        <v>2015</v>
      </c>
      <c r="D1375" s="1">
        <v>42177</v>
      </c>
      <c r="E1375">
        <v>88.682000000000002</v>
      </c>
    </row>
    <row r="1376" spans="3:5" x14ac:dyDescent="0.35">
      <c r="C1376">
        <f t="shared" si="22"/>
        <v>2015</v>
      </c>
      <c r="D1376" s="1">
        <v>42178</v>
      </c>
      <c r="E1376">
        <v>88.735799999999998</v>
      </c>
    </row>
    <row r="1377" spans="3:5" x14ac:dyDescent="0.35">
      <c r="C1377">
        <f t="shared" si="22"/>
        <v>2015</v>
      </c>
      <c r="D1377" s="1">
        <v>42179</v>
      </c>
      <c r="E1377">
        <v>90.284599999999998</v>
      </c>
    </row>
    <row r="1378" spans="3:5" x14ac:dyDescent="0.35">
      <c r="C1378">
        <f t="shared" si="22"/>
        <v>2015</v>
      </c>
      <c r="D1378" s="1">
        <v>42180</v>
      </c>
      <c r="E1378">
        <v>90.831400000000002</v>
      </c>
    </row>
    <row r="1379" spans="3:5" x14ac:dyDescent="0.35">
      <c r="C1379">
        <f t="shared" si="22"/>
        <v>2015</v>
      </c>
      <c r="D1379" s="1">
        <v>42181</v>
      </c>
      <c r="E1379">
        <v>90.828599999999994</v>
      </c>
    </row>
    <row r="1380" spans="3:5" x14ac:dyDescent="0.35">
      <c r="C1380">
        <f t="shared" si="22"/>
        <v>2015</v>
      </c>
      <c r="D1380" s="1">
        <v>42184</v>
      </c>
      <c r="E1380">
        <v>86.454099999999997</v>
      </c>
    </row>
    <row r="1381" spans="3:5" x14ac:dyDescent="0.35">
      <c r="C1381">
        <f t="shared" si="22"/>
        <v>2015</v>
      </c>
      <c r="D1381" s="1">
        <v>42185</v>
      </c>
      <c r="E1381">
        <v>86.428200000000004</v>
      </c>
    </row>
    <row r="1382" spans="3:5" x14ac:dyDescent="0.35">
      <c r="C1382">
        <f t="shared" si="22"/>
        <v>2015</v>
      </c>
      <c r="D1382" s="1">
        <v>42186</v>
      </c>
      <c r="E1382">
        <v>88.2256</v>
      </c>
    </row>
    <row r="1383" spans="3:5" x14ac:dyDescent="0.35">
      <c r="C1383">
        <f t="shared" si="22"/>
        <v>2015</v>
      </c>
      <c r="D1383" s="1">
        <v>42187</v>
      </c>
      <c r="E1383">
        <v>89.325800000000001</v>
      </c>
    </row>
    <row r="1384" spans="3:5" x14ac:dyDescent="0.35">
      <c r="C1384">
        <f t="shared" si="22"/>
        <v>2015</v>
      </c>
      <c r="D1384" s="1">
        <v>42191</v>
      </c>
      <c r="E1384">
        <v>89.364400000000003</v>
      </c>
    </row>
    <row r="1385" spans="3:5" x14ac:dyDescent="0.35">
      <c r="C1385">
        <f t="shared" si="22"/>
        <v>2015</v>
      </c>
      <c r="D1385" s="1">
        <v>42192</v>
      </c>
      <c r="E1385">
        <v>92.475300000000004</v>
      </c>
    </row>
    <row r="1386" spans="3:5" x14ac:dyDescent="0.35">
      <c r="C1386">
        <f t="shared" si="22"/>
        <v>2015</v>
      </c>
      <c r="D1386" s="1">
        <v>42193</v>
      </c>
      <c r="E1386">
        <v>89.770200000000003</v>
      </c>
    </row>
    <row r="1387" spans="3:5" x14ac:dyDescent="0.35">
      <c r="C1387">
        <f t="shared" si="22"/>
        <v>2015</v>
      </c>
      <c r="D1387" s="1">
        <v>42194</v>
      </c>
      <c r="E1387">
        <v>92.871600000000001</v>
      </c>
    </row>
    <row r="1388" spans="3:5" x14ac:dyDescent="0.35">
      <c r="C1388">
        <f t="shared" si="22"/>
        <v>2015</v>
      </c>
      <c r="D1388" s="1">
        <v>42195</v>
      </c>
      <c r="E1388">
        <v>93.330500000000001</v>
      </c>
    </row>
    <row r="1389" spans="3:5" x14ac:dyDescent="0.35">
      <c r="C1389">
        <f t="shared" si="22"/>
        <v>2015</v>
      </c>
      <c r="D1389" s="1">
        <v>42198</v>
      </c>
      <c r="E1389">
        <v>94.643199999999993</v>
      </c>
    </row>
    <row r="1390" spans="3:5" x14ac:dyDescent="0.35">
      <c r="C1390">
        <f t="shared" si="22"/>
        <v>2015</v>
      </c>
      <c r="D1390" s="1">
        <v>42199</v>
      </c>
      <c r="E1390">
        <v>94.687899999999999</v>
      </c>
    </row>
    <row r="1391" spans="3:5" x14ac:dyDescent="0.35">
      <c r="C1391">
        <f t="shared" si="22"/>
        <v>2015</v>
      </c>
      <c r="D1391" s="1">
        <v>42200</v>
      </c>
      <c r="E1391">
        <v>95.206900000000005</v>
      </c>
    </row>
    <row r="1392" spans="3:5" x14ac:dyDescent="0.35">
      <c r="C1392">
        <f t="shared" si="22"/>
        <v>2015</v>
      </c>
      <c r="D1392" s="1">
        <v>42201</v>
      </c>
      <c r="E1392">
        <v>94.327500000000001</v>
      </c>
    </row>
    <row r="1393" spans="3:5" x14ac:dyDescent="0.35">
      <c r="C1393">
        <f t="shared" si="22"/>
        <v>2015</v>
      </c>
      <c r="D1393" s="1">
        <v>42202</v>
      </c>
      <c r="E1393">
        <v>94.947999999999993</v>
      </c>
    </row>
    <row r="1394" spans="3:5" x14ac:dyDescent="0.35">
      <c r="C1394">
        <f t="shared" si="22"/>
        <v>2015</v>
      </c>
      <c r="D1394" s="1">
        <v>42205</v>
      </c>
      <c r="E1394">
        <v>95.846599999999995</v>
      </c>
    </row>
    <row r="1395" spans="3:5" x14ac:dyDescent="0.35">
      <c r="C1395">
        <f t="shared" si="22"/>
        <v>2015</v>
      </c>
      <c r="D1395" s="1">
        <v>42206</v>
      </c>
      <c r="E1395">
        <v>96.379900000000006</v>
      </c>
    </row>
    <row r="1396" spans="3:5" x14ac:dyDescent="0.35">
      <c r="C1396">
        <f t="shared" si="22"/>
        <v>2015</v>
      </c>
      <c r="D1396" s="1">
        <v>42207</v>
      </c>
      <c r="E1396">
        <v>98.3249</v>
      </c>
    </row>
    <row r="1397" spans="3:5" x14ac:dyDescent="0.35">
      <c r="C1397">
        <f t="shared" si="22"/>
        <v>2015</v>
      </c>
      <c r="D1397" s="1">
        <v>42208</v>
      </c>
      <c r="E1397">
        <v>92.644999999999996</v>
      </c>
    </row>
    <row r="1398" spans="3:5" x14ac:dyDescent="0.35">
      <c r="C1398">
        <f t="shared" si="22"/>
        <v>2015</v>
      </c>
      <c r="D1398" s="1">
        <v>42209</v>
      </c>
      <c r="E1398">
        <v>92.775899999999993</v>
      </c>
    </row>
    <row r="1399" spans="3:5" x14ac:dyDescent="0.35">
      <c r="C1399">
        <f t="shared" si="22"/>
        <v>2015</v>
      </c>
      <c r="D1399" s="1">
        <v>42212</v>
      </c>
      <c r="E1399">
        <v>89.206699999999998</v>
      </c>
    </row>
    <row r="1400" spans="3:5" x14ac:dyDescent="0.35">
      <c r="C1400">
        <f t="shared" si="22"/>
        <v>2015</v>
      </c>
      <c r="D1400" s="1">
        <v>42213</v>
      </c>
      <c r="E1400">
        <v>91.626900000000006</v>
      </c>
    </row>
    <row r="1401" spans="3:5" x14ac:dyDescent="0.35">
      <c r="C1401">
        <f t="shared" si="22"/>
        <v>2015</v>
      </c>
      <c r="D1401" s="1">
        <v>42214</v>
      </c>
      <c r="E1401">
        <v>91.465699999999998</v>
      </c>
    </row>
    <row r="1402" spans="3:5" x14ac:dyDescent="0.35">
      <c r="C1402">
        <f t="shared" si="22"/>
        <v>2015</v>
      </c>
      <c r="D1402" s="1">
        <v>42215</v>
      </c>
      <c r="E1402">
        <v>91.236099999999993</v>
      </c>
    </row>
    <row r="1403" spans="3:5" x14ac:dyDescent="0.35">
      <c r="C1403">
        <f t="shared" si="22"/>
        <v>2015</v>
      </c>
      <c r="D1403" s="1">
        <v>42216</v>
      </c>
      <c r="E1403">
        <v>92.020099999999999</v>
      </c>
    </row>
    <row r="1404" spans="3:5" x14ac:dyDescent="0.35">
      <c r="C1404">
        <f t="shared" si="22"/>
        <v>2015</v>
      </c>
      <c r="D1404" s="1">
        <v>42219</v>
      </c>
      <c r="E1404">
        <v>91.625100000000003</v>
      </c>
    </row>
    <row r="1405" spans="3:5" x14ac:dyDescent="0.35">
      <c r="C1405">
        <f t="shared" si="22"/>
        <v>2015</v>
      </c>
      <c r="D1405" s="1">
        <v>42220</v>
      </c>
      <c r="E1405">
        <v>92.41</v>
      </c>
    </row>
    <row r="1406" spans="3:5" x14ac:dyDescent="0.35">
      <c r="C1406">
        <f t="shared" si="22"/>
        <v>2015</v>
      </c>
      <c r="D1406" s="1">
        <v>42221</v>
      </c>
      <c r="E1406">
        <v>91.735699999999994</v>
      </c>
    </row>
    <row r="1407" spans="3:5" x14ac:dyDescent="0.35">
      <c r="C1407">
        <f t="shared" si="22"/>
        <v>2015</v>
      </c>
      <c r="D1407" s="1">
        <v>42222</v>
      </c>
      <c r="E1407">
        <v>93.2209</v>
      </c>
    </row>
    <row r="1408" spans="3:5" x14ac:dyDescent="0.35">
      <c r="C1408">
        <f t="shared" si="22"/>
        <v>2015</v>
      </c>
      <c r="D1408" s="1">
        <v>42223</v>
      </c>
      <c r="E1408">
        <v>93.112799999999993</v>
      </c>
    </row>
    <row r="1409" spans="3:5" x14ac:dyDescent="0.35">
      <c r="C1409">
        <f t="shared" si="22"/>
        <v>2015</v>
      </c>
      <c r="D1409" s="1">
        <v>42226</v>
      </c>
      <c r="E1409">
        <v>89.480599999999995</v>
      </c>
    </row>
    <row r="1410" spans="3:5" x14ac:dyDescent="0.35">
      <c r="C1410">
        <f t="shared" si="22"/>
        <v>2015</v>
      </c>
      <c r="D1410" s="1">
        <v>42227</v>
      </c>
      <c r="E1410">
        <v>92.865399999999994</v>
      </c>
    </row>
    <row r="1411" spans="3:5" x14ac:dyDescent="0.35">
      <c r="C1411">
        <f t="shared" ref="C1411:C1474" si="23">YEAR(D1411)</f>
        <v>2015</v>
      </c>
      <c r="D1411" s="1">
        <v>42228</v>
      </c>
      <c r="E1411">
        <v>90.094399999999993</v>
      </c>
    </row>
    <row r="1412" spans="3:5" x14ac:dyDescent="0.35">
      <c r="C1412">
        <f t="shared" si="23"/>
        <v>2015</v>
      </c>
      <c r="D1412" s="1">
        <v>42229</v>
      </c>
      <c r="E1412">
        <v>89.499700000000004</v>
      </c>
    </row>
    <row r="1413" spans="3:5" x14ac:dyDescent="0.35">
      <c r="C1413">
        <f t="shared" si="23"/>
        <v>2015</v>
      </c>
      <c r="D1413" s="1">
        <v>42230</v>
      </c>
      <c r="E1413">
        <v>89.891499999999994</v>
      </c>
    </row>
    <row r="1414" spans="3:5" x14ac:dyDescent="0.35">
      <c r="C1414">
        <f t="shared" si="23"/>
        <v>2015</v>
      </c>
      <c r="D1414" s="1">
        <v>42233</v>
      </c>
      <c r="E1414">
        <v>88.954800000000006</v>
      </c>
    </row>
    <row r="1415" spans="3:5" x14ac:dyDescent="0.35">
      <c r="C1415">
        <f t="shared" si="23"/>
        <v>2015</v>
      </c>
      <c r="D1415" s="1">
        <v>42234</v>
      </c>
      <c r="E1415">
        <v>84.924400000000006</v>
      </c>
    </row>
    <row r="1416" spans="3:5" x14ac:dyDescent="0.35">
      <c r="C1416">
        <f t="shared" si="23"/>
        <v>2015</v>
      </c>
      <c r="D1416" s="1">
        <v>42235</v>
      </c>
      <c r="E1416">
        <v>79.911500000000004</v>
      </c>
    </row>
    <row r="1417" spans="3:5" x14ac:dyDescent="0.35">
      <c r="C1417">
        <f t="shared" si="23"/>
        <v>2015</v>
      </c>
      <c r="D1417" s="1">
        <v>42236</v>
      </c>
      <c r="E1417">
        <v>77.899100000000004</v>
      </c>
    </row>
    <row r="1418" spans="3:5" x14ac:dyDescent="0.35">
      <c r="C1418">
        <f t="shared" si="23"/>
        <v>2015</v>
      </c>
      <c r="D1418" s="1">
        <v>42237</v>
      </c>
      <c r="E1418">
        <v>75.502499999999998</v>
      </c>
    </row>
    <row r="1419" spans="3:5" x14ac:dyDescent="0.35">
      <c r="C1419">
        <f t="shared" si="23"/>
        <v>2015</v>
      </c>
      <c r="D1419" s="1">
        <v>42240</v>
      </c>
      <c r="E1419">
        <v>70.9268</v>
      </c>
    </row>
    <row r="1420" spans="3:5" x14ac:dyDescent="0.35">
      <c r="C1420">
        <f t="shared" si="23"/>
        <v>2015</v>
      </c>
      <c r="D1420" s="1">
        <v>42241</v>
      </c>
      <c r="E1420">
        <v>74.739699999999999</v>
      </c>
    </row>
    <row r="1421" spans="3:5" x14ac:dyDescent="0.35">
      <c r="C1421">
        <f t="shared" si="23"/>
        <v>2015</v>
      </c>
      <c r="D1421" s="1">
        <v>42242</v>
      </c>
      <c r="E1421">
        <v>76.28</v>
      </c>
    </row>
    <row r="1422" spans="3:5" x14ac:dyDescent="0.35">
      <c r="C1422">
        <f t="shared" si="23"/>
        <v>2015</v>
      </c>
      <c r="D1422" s="1">
        <v>42243</v>
      </c>
      <c r="E1422">
        <v>76.770200000000003</v>
      </c>
    </row>
    <row r="1423" spans="3:5" x14ac:dyDescent="0.35">
      <c r="C1423">
        <f t="shared" si="23"/>
        <v>2015</v>
      </c>
      <c r="D1423" s="1">
        <v>42244</v>
      </c>
      <c r="E1423">
        <v>75.101900000000001</v>
      </c>
    </row>
    <row r="1424" spans="3:5" x14ac:dyDescent="0.35">
      <c r="C1424">
        <f t="shared" si="23"/>
        <v>2015</v>
      </c>
      <c r="D1424" s="1">
        <v>42247</v>
      </c>
      <c r="E1424">
        <v>75.8262</v>
      </c>
    </row>
    <row r="1425" spans="3:5" x14ac:dyDescent="0.35">
      <c r="C1425">
        <f t="shared" si="23"/>
        <v>2015</v>
      </c>
      <c r="D1425" s="1">
        <v>42248</v>
      </c>
      <c r="E1425">
        <v>72.784800000000004</v>
      </c>
    </row>
    <row r="1426" spans="3:5" x14ac:dyDescent="0.35">
      <c r="C1426">
        <f t="shared" si="23"/>
        <v>2015</v>
      </c>
      <c r="D1426" s="1">
        <v>42249</v>
      </c>
      <c r="E1426">
        <v>72.785399999999996</v>
      </c>
    </row>
    <row r="1427" spans="3:5" x14ac:dyDescent="0.35">
      <c r="C1427">
        <f t="shared" si="23"/>
        <v>2015</v>
      </c>
      <c r="D1427" s="1">
        <v>42250</v>
      </c>
      <c r="E1427">
        <v>72.639300000000006</v>
      </c>
    </row>
    <row r="1428" spans="3:5" x14ac:dyDescent="0.35">
      <c r="C1428">
        <f t="shared" si="23"/>
        <v>2015</v>
      </c>
      <c r="D1428" s="1">
        <v>42251</v>
      </c>
      <c r="E1428">
        <v>72.5137</v>
      </c>
    </row>
    <row r="1429" spans="3:5" x14ac:dyDescent="0.35">
      <c r="C1429">
        <f t="shared" si="23"/>
        <v>2015</v>
      </c>
      <c r="D1429" s="1">
        <v>42255</v>
      </c>
      <c r="E1429">
        <v>73.753699999999995</v>
      </c>
    </row>
    <row r="1430" spans="3:5" x14ac:dyDescent="0.35">
      <c r="C1430">
        <f t="shared" si="23"/>
        <v>2015</v>
      </c>
      <c r="D1430" s="1">
        <v>42256</v>
      </c>
      <c r="E1430">
        <v>74.555400000000006</v>
      </c>
    </row>
    <row r="1431" spans="3:5" x14ac:dyDescent="0.35">
      <c r="C1431">
        <f t="shared" si="23"/>
        <v>2015</v>
      </c>
      <c r="D1431" s="1">
        <v>42257</v>
      </c>
      <c r="E1431">
        <v>72.970399999999998</v>
      </c>
    </row>
    <row r="1432" spans="3:5" x14ac:dyDescent="0.35">
      <c r="C1432">
        <f t="shared" si="23"/>
        <v>2015</v>
      </c>
      <c r="D1432" s="1">
        <v>42258</v>
      </c>
      <c r="E1432">
        <v>72.490799999999993</v>
      </c>
    </row>
    <row r="1433" spans="3:5" x14ac:dyDescent="0.35">
      <c r="C1433">
        <f t="shared" si="23"/>
        <v>2015</v>
      </c>
      <c r="D1433" s="1">
        <v>42261</v>
      </c>
      <c r="E1433">
        <v>73.440299999999993</v>
      </c>
    </row>
    <row r="1434" spans="3:5" x14ac:dyDescent="0.35">
      <c r="C1434">
        <f t="shared" si="23"/>
        <v>2015</v>
      </c>
      <c r="D1434" s="1">
        <v>42262</v>
      </c>
      <c r="E1434">
        <v>74.294200000000004</v>
      </c>
    </row>
    <row r="1435" spans="3:5" x14ac:dyDescent="0.35">
      <c r="C1435">
        <f t="shared" si="23"/>
        <v>2015</v>
      </c>
      <c r="D1435" s="1">
        <v>42263</v>
      </c>
      <c r="E1435">
        <v>74.299700000000001</v>
      </c>
    </row>
    <row r="1436" spans="3:5" x14ac:dyDescent="0.35">
      <c r="C1436">
        <f t="shared" si="23"/>
        <v>2015</v>
      </c>
      <c r="D1436" s="1">
        <v>42264</v>
      </c>
      <c r="E1436">
        <v>75.8703</v>
      </c>
    </row>
    <row r="1437" spans="3:5" x14ac:dyDescent="0.35">
      <c r="C1437">
        <f t="shared" si="23"/>
        <v>2015</v>
      </c>
      <c r="D1437" s="1">
        <v>42265</v>
      </c>
      <c r="E1437">
        <v>74.704300000000003</v>
      </c>
    </row>
    <row r="1438" spans="3:5" x14ac:dyDescent="0.35">
      <c r="C1438">
        <f t="shared" si="23"/>
        <v>2015</v>
      </c>
      <c r="D1438" s="1">
        <v>42268</v>
      </c>
      <c r="E1438">
        <v>75.560699999999997</v>
      </c>
    </row>
    <row r="1439" spans="3:5" x14ac:dyDescent="0.35">
      <c r="C1439">
        <f t="shared" si="23"/>
        <v>2015</v>
      </c>
      <c r="D1439" s="1">
        <v>42269</v>
      </c>
      <c r="E1439">
        <v>75.573999999999998</v>
      </c>
    </row>
    <row r="1440" spans="3:5" x14ac:dyDescent="0.35">
      <c r="C1440">
        <f t="shared" si="23"/>
        <v>2015</v>
      </c>
      <c r="D1440" s="1">
        <v>42270</v>
      </c>
      <c r="E1440">
        <v>73.646199999999993</v>
      </c>
    </row>
    <row r="1441" spans="3:5" x14ac:dyDescent="0.35">
      <c r="C1441">
        <f t="shared" si="23"/>
        <v>2015</v>
      </c>
      <c r="D1441" s="1">
        <v>42271</v>
      </c>
      <c r="E1441">
        <v>71.984499999999997</v>
      </c>
    </row>
    <row r="1442" spans="3:5" x14ac:dyDescent="0.35">
      <c r="C1442">
        <f t="shared" si="23"/>
        <v>2015</v>
      </c>
      <c r="D1442" s="1">
        <v>42272</v>
      </c>
      <c r="E1442">
        <v>72.232299999999995</v>
      </c>
    </row>
    <row r="1443" spans="3:5" x14ac:dyDescent="0.35">
      <c r="C1443">
        <f t="shared" si="23"/>
        <v>2015</v>
      </c>
      <c r="D1443" s="1">
        <v>42275</v>
      </c>
      <c r="E1443">
        <v>71.6096</v>
      </c>
    </row>
    <row r="1444" spans="3:5" x14ac:dyDescent="0.35">
      <c r="C1444">
        <f t="shared" si="23"/>
        <v>2015</v>
      </c>
      <c r="D1444" s="1">
        <v>42276</v>
      </c>
      <c r="E1444">
        <v>72.404700000000005</v>
      </c>
    </row>
    <row r="1445" spans="3:5" x14ac:dyDescent="0.35">
      <c r="C1445">
        <f t="shared" si="23"/>
        <v>2015</v>
      </c>
      <c r="D1445" s="1">
        <v>42277</v>
      </c>
      <c r="E1445">
        <v>73.145899999999997</v>
      </c>
    </row>
    <row r="1446" spans="3:5" x14ac:dyDescent="0.35">
      <c r="C1446">
        <f t="shared" si="23"/>
        <v>2015</v>
      </c>
      <c r="D1446" s="1">
        <v>42278</v>
      </c>
      <c r="E1446">
        <v>73.8673</v>
      </c>
    </row>
    <row r="1447" spans="3:5" x14ac:dyDescent="0.35">
      <c r="C1447">
        <f t="shared" si="23"/>
        <v>2015</v>
      </c>
      <c r="D1447" s="1">
        <v>42279</v>
      </c>
      <c r="E1447">
        <v>73.072299999999998</v>
      </c>
    </row>
    <row r="1448" spans="3:5" x14ac:dyDescent="0.35">
      <c r="C1448">
        <f t="shared" si="23"/>
        <v>2015</v>
      </c>
      <c r="D1448" s="1">
        <v>42282</v>
      </c>
      <c r="E1448">
        <v>75.795699999999997</v>
      </c>
    </row>
    <row r="1449" spans="3:5" x14ac:dyDescent="0.35">
      <c r="C1449">
        <f t="shared" si="23"/>
        <v>2015</v>
      </c>
      <c r="D1449" s="1">
        <v>42283</v>
      </c>
      <c r="E1449">
        <v>76.674899999999994</v>
      </c>
    </row>
    <row r="1450" spans="3:5" x14ac:dyDescent="0.35">
      <c r="C1450">
        <f t="shared" si="23"/>
        <v>2015</v>
      </c>
      <c r="D1450" s="1">
        <v>42284</v>
      </c>
      <c r="E1450">
        <v>77.656999999999996</v>
      </c>
    </row>
    <row r="1451" spans="3:5" x14ac:dyDescent="0.35">
      <c r="C1451">
        <f t="shared" si="23"/>
        <v>2015</v>
      </c>
      <c r="D1451" s="1">
        <v>42285</v>
      </c>
      <c r="E1451">
        <v>78.981200000000001</v>
      </c>
    </row>
    <row r="1452" spans="3:5" x14ac:dyDescent="0.35">
      <c r="C1452">
        <f t="shared" si="23"/>
        <v>2015</v>
      </c>
      <c r="D1452" s="1">
        <v>42286</v>
      </c>
      <c r="E1452">
        <v>79.036699999999996</v>
      </c>
    </row>
    <row r="1453" spans="3:5" x14ac:dyDescent="0.35">
      <c r="C1453">
        <f t="shared" si="23"/>
        <v>2015</v>
      </c>
      <c r="D1453" s="1">
        <v>42289</v>
      </c>
      <c r="E1453">
        <v>78.016000000000005</v>
      </c>
    </row>
    <row r="1454" spans="3:5" x14ac:dyDescent="0.35">
      <c r="C1454">
        <f t="shared" si="23"/>
        <v>2015</v>
      </c>
      <c r="D1454" s="1">
        <v>42290</v>
      </c>
      <c r="E1454">
        <v>76.707400000000007</v>
      </c>
    </row>
    <row r="1455" spans="3:5" x14ac:dyDescent="0.35">
      <c r="C1455">
        <f t="shared" si="23"/>
        <v>2015</v>
      </c>
      <c r="D1455" s="1">
        <v>42291</v>
      </c>
      <c r="E1455">
        <v>76.463700000000003</v>
      </c>
    </row>
    <row r="1456" spans="3:5" x14ac:dyDescent="0.35">
      <c r="C1456">
        <f t="shared" si="23"/>
        <v>2015</v>
      </c>
      <c r="D1456" s="1">
        <v>42292</v>
      </c>
      <c r="E1456">
        <v>76.706699999999998</v>
      </c>
    </row>
    <row r="1457" spans="3:5" x14ac:dyDescent="0.35">
      <c r="C1457">
        <f t="shared" si="23"/>
        <v>2015</v>
      </c>
      <c r="D1457" s="1">
        <v>42293</v>
      </c>
      <c r="E1457">
        <v>76.683599999999998</v>
      </c>
    </row>
    <row r="1458" spans="3:5" x14ac:dyDescent="0.35">
      <c r="C1458">
        <f t="shared" si="23"/>
        <v>2015</v>
      </c>
      <c r="D1458" s="1">
        <v>42296</v>
      </c>
      <c r="E1458">
        <v>77.677599999999998</v>
      </c>
    </row>
    <row r="1459" spans="3:5" x14ac:dyDescent="0.35">
      <c r="C1459">
        <f t="shared" si="23"/>
        <v>2015</v>
      </c>
      <c r="D1459" s="1">
        <v>42297</v>
      </c>
      <c r="E1459">
        <v>78.799199999999999</v>
      </c>
    </row>
    <row r="1460" spans="3:5" x14ac:dyDescent="0.35">
      <c r="C1460">
        <f t="shared" si="23"/>
        <v>2015</v>
      </c>
      <c r="D1460" s="1">
        <v>42298</v>
      </c>
      <c r="E1460">
        <v>78.263900000000007</v>
      </c>
    </row>
    <row r="1461" spans="3:5" x14ac:dyDescent="0.35">
      <c r="C1461">
        <f t="shared" si="23"/>
        <v>2015</v>
      </c>
      <c r="D1461" s="1">
        <v>42299</v>
      </c>
      <c r="E1461">
        <v>78.5518</v>
      </c>
    </row>
    <row r="1462" spans="3:5" x14ac:dyDescent="0.35">
      <c r="C1462">
        <f t="shared" si="23"/>
        <v>2015</v>
      </c>
      <c r="D1462" s="1">
        <v>42300</v>
      </c>
      <c r="E1462">
        <v>79.228399999999993</v>
      </c>
    </row>
    <row r="1463" spans="3:5" x14ac:dyDescent="0.35">
      <c r="C1463">
        <f t="shared" si="23"/>
        <v>2015</v>
      </c>
      <c r="D1463" s="1">
        <v>42303</v>
      </c>
      <c r="E1463">
        <v>77.026499999999999</v>
      </c>
    </row>
    <row r="1464" spans="3:5" x14ac:dyDescent="0.35">
      <c r="C1464">
        <f t="shared" si="23"/>
        <v>2015</v>
      </c>
      <c r="D1464" s="1">
        <v>42304</v>
      </c>
      <c r="E1464">
        <v>76.608000000000004</v>
      </c>
    </row>
    <row r="1465" spans="3:5" x14ac:dyDescent="0.35">
      <c r="C1465">
        <f t="shared" si="23"/>
        <v>2015</v>
      </c>
      <c r="D1465" s="1">
        <v>42305</v>
      </c>
      <c r="E1465">
        <v>75.518799999999999</v>
      </c>
    </row>
    <row r="1466" spans="3:5" x14ac:dyDescent="0.35">
      <c r="C1466">
        <f t="shared" si="23"/>
        <v>2015</v>
      </c>
      <c r="D1466" s="1">
        <v>42306</v>
      </c>
      <c r="E1466">
        <v>77.073099999999997</v>
      </c>
    </row>
    <row r="1467" spans="3:5" x14ac:dyDescent="0.35">
      <c r="C1467">
        <f t="shared" si="23"/>
        <v>2015</v>
      </c>
      <c r="D1467" s="1">
        <v>42307</v>
      </c>
      <c r="E1467">
        <v>79.941599999999994</v>
      </c>
    </row>
    <row r="1468" spans="3:5" x14ac:dyDescent="0.35">
      <c r="C1468">
        <f t="shared" si="23"/>
        <v>2015</v>
      </c>
      <c r="D1468" s="1">
        <v>42310</v>
      </c>
      <c r="E1468">
        <v>88.492800000000003</v>
      </c>
    </row>
    <row r="1469" spans="3:5" x14ac:dyDescent="0.35">
      <c r="C1469">
        <f t="shared" si="23"/>
        <v>2015</v>
      </c>
      <c r="D1469" s="1">
        <v>42311</v>
      </c>
      <c r="E1469">
        <v>89.663300000000007</v>
      </c>
    </row>
    <row r="1470" spans="3:5" x14ac:dyDescent="0.35">
      <c r="C1470">
        <f t="shared" si="23"/>
        <v>2015</v>
      </c>
      <c r="D1470" s="1">
        <v>42312</v>
      </c>
      <c r="E1470">
        <v>91.441800000000001</v>
      </c>
    </row>
    <row r="1471" spans="3:5" x14ac:dyDescent="0.35">
      <c r="C1471">
        <f t="shared" si="23"/>
        <v>2015</v>
      </c>
      <c r="D1471" s="1">
        <v>42313</v>
      </c>
      <c r="E1471">
        <v>91.176000000000002</v>
      </c>
    </row>
    <row r="1472" spans="3:5" x14ac:dyDescent="0.35">
      <c r="C1472">
        <f t="shared" si="23"/>
        <v>2015</v>
      </c>
      <c r="D1472" s="1">
        <v>42314</v>
      </c>
      <c r="E1472">
        <v>92.026700000000005</v>
      </c>
    </row>
    <row r="1473" spans="3:5" x14ac:dyDescent="0.35">
      <c r="C1473">
        <f t="shared" si="23"/>
        <v>2015</v>
      </c>
      <c r="D1473" s="1">
        <v>42317</v>
      </c>
      <c r="E1473">
        <v>89.684899999999999</v>
      </c>
    </row>
    <row r="1474" spans="3:5" x14ac:dyDescent="0.35">
      <c r="C1474">
        <f t="shared" si="23"/>
        <v>2015</v>
      </c>
      <c r="D1474" s="1">
        <v>42318</v>
      </c>
      <c r="E1474">
        <v>88.983000000000004</v>
      </c>
    </row>
    <row r="1475" spans="3:5" x14ac:dyDescent="0.35">
      <c r="C1475">
        <f t="shared" ref="C1475:C1538" si="24">YEAR(D1475)</f>
        <v>2015</v>
      </c>
      <c r="D1475" s="1">
        <v>42319</v>
      </c>
      <c r="E1475">
        <v>90.234099999999998</v>
      </c>
    </row>
    <row r="1476" spans="3:5" x14ac:dyDescent="0.35">
      <c r="C1476">
        <f t="shared" si="24"/>
        <v>2015</v>
      </c>
      <c r="D1476" s="1">
        <v>42320</v>
      </c>
      <c r="E1476">
        <v>92.948599999999999</v>
      </c>
    </row>
    <row r="1477" spans="3:5" x14ac:dyDescent="0.35">
      <c r="C1477">
        <f t="shared" si="24"/>
        <v>2015</v>
      </c>
      <c r="D1477" s="1">
        <v>42321</v>
      </c>
      <c r="E1477">
        <v>92.679900000000004</v>
      </c>
    </row>
    <row r="1478" spans="3:5" x14ac:dyDescent="0.35">
      <c r="C1478">
        <f t="shared" si="24"/>
        <v>2015</v>
      </c>
      <c r="D1478" s="1">
        <v>42324</v>
      </c>
      <c r="E1478">
        <v>89.556299999999993</v>
      </c>
    </row>
    <row r="1479" spans="3:5" x14ac:dyDescent="0.35">
      <c r="C1479">
        <f t="shared" si="24"/>
        <v>2015</v>
      </c>
      <c r="D1479" s="1">
        <v>42325</v>
      </c>
      <c r="E1479">
        <v>90.204300000000003</v>
      </c>
    </row>
    <row r="1480" spans="3:5" x14ac:dyDescent="0.35">
      <c r="C1480">
        <f t="shared" si="24"/>
        <v>2015</v>
      </c>
      <c r="D1480" s="1">
        <v>42326</v>
      </c>
      <c r="E1480">
        <v>88.347499999999997</v>
      </c>
    </row>
    <row r="1481" spans="3:5" x14ac:dyDescent="0.35">
      <c r="C1481">
        <f t="shared" si="24"/>
        <v>2015</v>
      </c>
      <c r="D1481" s="1">
        <v>42327</v>
      </c>
      <c r="E1481">
        <v>88.363699999999994</v>
      </c>
    </row>
    <row r="1482" spans="3:5" x14ac:dyDescent="0.35">
      <c r="C1482">
        <f t="shared" si="24"/>
        <v>2015</v>
      </c>
      <c r="D1482" s="1">
        <v>42328</v>
      </c>
      <c r="E1482">
        <v>89.019099999999995</v>
      </c>
    </row>
    <row r="1483" spans="3:5" x14ac:dyDescent="0.35">
      <c r="C1483">
        <f t="shared" si="24"/>
        <v>2015</v>
      </c>
      <c r="D1483" s="1">
        <v>42331</v>
      </c>
      <c r="E1483">
        <v>87.881600000000006</v>
      </c>
    </row>
    <row r="1484" spans="3:5" x14ac:dyDescent="0.35">
      <c r="C1484">
        <f t="shared" si="24"/>
        <v>2015</v>
      </c>
      <c r="D1484" s="1">
        <v>42332</v>
      </c>
      <c r="E1484">
        <v>80.469700000000003</v>
      </c>
    </row>
    <row r="1485" spans="3:5" x14ac:dyDescent="0.35">
      <c r="C1485">
        <f t="shared" si="24"/>
        <v>2015</v>
      </c>
      <c r="D1485" s="1">
        <v>42333</v>
      </c>
      <c r="E1485">
        <v>80.371700000000004</v>
      </c>
    </row>
    <row r="1486" spans="3:5" x14ac:dyDescent="0.35">
      <c r="C1486">
        <f t="shared" si="24"/>
        <v>2015</v>
      </c>
      <c r="D1486" s="1">
        <v>42335</v>
      </c>
      <c r="E1486">
        <v>78.748199999999997</v>
      </c>
    </row>
    <row r="1487" spans="3:5" x14ac:dyDescent="0.35">
      <c r="C1487">
        <f t="shared" si="24"/>
        <v>2015</v>
      </c>
      <c r="D1487" s="1">
        <v>42338</v>
      </c>
      <c r="E1487">
        <v>76.408199999999994</v>
      </c>
    </row>
    <row r="1488" spans="3:5" x14ac:dyDescent="0.35">
      <c r="C1488">
        <f t="shared" si="24"/>
        <v>2015</v>
      </c>
      <c r="D1488" s="1">
        <v>42339</v>
      </c>
      <c r="E1488">
        <v>77.253</v>
      </c>
    </row>
    <row r="1489" spans="3:5" x14ac:dyDescent="0.35">
      <c r="C1489">
        <f t="shared" si="24"/>
        <v>2015</v>
      </c>
      <c r="D1489" s="1">
        <v>42340</v>
      </c>
      <c r="E1489">
        <v>80.700699999999998</v>
      </c>
    </row>
    <row r="1490" spans="3:5" x14ac:dyDescent="0.35">
      <c r="C1490">
        <f t="shared" si="24"/>
        <v>2015</v>
      </c>
      <c r="D1490" s="1">
        <v>42341</v>
      </c>
      <c r="E1490">
        <v>78.106300000000005</v>
      </c>
    </row>
    <row r="1491" spans="3:5" x14ac:dyDescent="0.35">
      <c r="C1491">
        <f t="shared" si="24"/>
        <v>2015</v>
      </c>
      <c r="D1491" s="1">
        <v>42342</v>
      </c>
      <c r="E1491">
        <v>75.620699999999999</v>
      </c>
    </row>
    <row r="1492" spans="3:5" x14ac:dyDescent="0.35">
      <c r="C1492">
        <f t="shared" si="24"/>
        <v>2015</v>
      </c>
      <c r="D1492" s="1">
        <v>42345</v>
      </c>
      <c r="E1492">
        <v>76.310400000000001</v>
      </c>
    </row>
    <row r="1493" spans="3:5" x14ac:dyDescent="0.35">
      <c r="C1493">
        <f t="shared" si="24"/>
        <v>2015</v>
      </c>
      <c r="D1493" s="1">
        <v>42346</v>
      </c>
      <c r="E1493">
        <v>74.153000000000006</v>
      </c>
    </row>
    <row r="1494" spans="3:5" x14ac:dyDescent="0.35">
      <c r="C1494">
        <f t="shared" si="24"/>
        <v>2015</v>
      </c>
      <c r="D1494" s="1">
        <v>42347</v>
      </c>
      <c r="E1494">
        <v>75.783699999999996</v>
      </c>
    </row>
    <row r="1495" spans="3:5" x14ac:dyDescent="0.35">
      <c r="C1495">
        <f t="shared" si="24"/>
        <v>2015</v>
      </c>
      <c r="D1495" s="1">
        <v>42348</v>
      </c>
      <c r="E1495">
        <v>72.148300000000006</v>
      </c>
    </row>
    <row r="1496" spans="3:5" x14ac:dyDescent="0.35">
      <c r="C1496">
        <f t="shared" si="24"/>
        <v>2015</v>
      </c>
      <c r="D1496" s="1">
        <v>42349</v>
      </c>
      <c r="E1496">
        <v>67.950999999999993</v>
      </c>
    </row>
    <row r="1497" spans="3:5" x14ac:dyDescent="0.35">
      <c r="C1497">
        <f t="shared" si="24"/>
        <v>2015</v>
      </c>
      <c r="D1497" s="1">
        <v>42352</v>
      </c>
      <c r="E1497">
        <v>66.931200000000004</v>
      </c>
    </row>
    <row r="1498" spans="3:5" x14ac:dyDescent="0.35">
      <c r="C1498">
        <f t="shared" si="24"/>
        <v>2015</v>
      </c>
      <c r="D1498" s="1">
        <v>42353</v>
      </c>
      <c r="E1498">
        <v>70.901899999999998</v>
      </c>
    </row>
    <row r="1499" spans="3:5" x14ac:dyDescent="0.35">
      <c r="C1499">
        <f t="shared" si="24"/>
        <v>2015</v>
      </c>
      <c r="D1499" s="1">
        <v>42354</v>
      </c>
      <c r="E1499">
        <v>70.802999999999997</v>
      </c>
    </row>
    <row r="1500" spans="3:5" x14ac:dyDescent="0.35">
      <c r="C1500">
        <f t="shared" si="24"/>
        <v>2015</v>
      </c>
      <c r="D1500" s="1">
        <v>42355</v>
      </c>
      <c r="E1500">
        <v>73.923900000000003</v>
      </c>
    </row>
    <row r="1501" spans="3:5" x14ac:dyDescent="0.35">
      <c r="C1501">
        <f t="shared" si="24"/>
        <v>2015</v>
      </c>
      <c r="D1501" s="1">
        <v>42356</v>
      </c>
      <c r="E1501">
        <v>72.110399999999998</v>
      </c>
    </row>
    <row r="1502" spans="3:5" x14ac:dyDescent="0.35">
      <c r="C1502">
        <f t="shared" si="24"/>
        <v>2015</v>
      </c>
      <c r="D1502" s="1">
        <v>42359</v>
      </c>
      <c r="E1502">
        <v>73.989900000000006</v>
      </c>
    </row>
    <row r="1503" spans="3:5" x14ac:dyDescent="0.35">
      <c r="C1503">
        <f t="shared" si="24"/>
        <v>2015</v>
      </c>
      <c r="D1503" s="1">
        <v>42360</v>
      </c>
      <c r="E1503">
        <v>73.956299999999999</v>
      </c>
    </row>
    <row r="1504" spans="3:5" x14ac:dyDescent="0.35">
      <c r="C1504">
        <f t="shared" si="24"/>
        <v>2015</v>
      </c>
      <c r="D1504" s="1">
        <v>42361</v>
      </c>
      <c r="E1504">
        <v>74.244799999999998</v>
      </c>
    </row>
    <row r="1505" spans="3:5" x14ac:dyDescent="0.35">
      <c r="C1505">
        <f t="shared" si="24"/>
        <v>2015</v>
      </c>
      <c r="D1505" s="1">
        <v>42362</v>
      </c>
      <c r="E1505">
        <v>73.450599999999994</v>
      </c>
    </row>
    <row r="1506" spans="3:5" x14ac:dyDescent="0.35">
      <c r="C1506">
        <f t="shared" si="24"/>
        <v>2015</v>
      </c>
      <c r="D1506" s="1">
        <v>42366</v>
      </c>
      <c r="E1506">
        <v>75.045400000000001</v>
      </c>
    </row>
    <row r="1507" spans="3:5" x14ac:dyDescent="0.35">
      <c r="C1507">
        <f t="shared" si="24"/>
        <v>2015</v>
      </c>
      <c r="D1507" s="1">
        <v>42367</v>
      </c>
      <c r="E1507">
        <v>74.416300000000007</v>
      </c>
    </row>
    <row r="1508" spans="3:5" x14ac:dyDescent="0.35">
      <c r="C1508">
        <f t="shared" si="24"/>
        <v>2015</v>
      </c>
      <c r="D1508" s="1">
        <v>42368</v>
      </c>
      <c r="E1508">
        <v>74.542299999999997</v>
      </c>
    </row>
    <row r="1509" spans="3:5" x14ac:dyDescent="0.35">
      <c r="C1509">
        <f t="shared" si="24"/>
        <v>2015</v>
      </c>
      <c r="D1509" s="1">
        <v>42369</v>
      </c>
      <c r="E1509">
        <v>74.238399999999999</v>
      </c>
    </row>
    <row r="1510" spans="3:5" x14ac:dyDescent="0.35">
      <c r="C1510">
        <f t="shared" si="24"/>
        <v>2016</v>
      </c>
      <c r="D1510" s="1">
        <v>42373</v>
      </c>
      <c r="E1510">
        <v>70.835099999999997</v>
      </c>
    </row>
    <row r="1511" spans="3:5" x14ac:dyDescent="0.35">
      <c r="C1511">
        <f t="shared" si="24"/>
        <v>2016</v>
      </c>
      <c r="D1511" s="1">
        <v>42374</v>
      </c>
      <c r="E1511">
        <v>70.443799999999996</v>
      </c>
    </row>
    <row r="1512" spans="3:5" x14ac:dyDescent="0.35">
      <c r="C1512">
        <f t="shared" si="24"/>
        <v>2016</v>
      </c>
      <c r="D1512" s="1">
        <v>42375</v>
      </c>
      <c r="E1512">
        <v>68.803700000000006</v>
      </c>
    </row>
    <row r="1513" spans="3:5" x14ac:dyDescent="0.35">
      <c r="C1513">
        <f t="shared" si="24"/>
        <v>2016</v>
      </c>
      <c r="D1513" s="1">
        <v>42376</v>
      </c>
      <c r="E1513">
        <v>68.490799999999993</v>
      </c>
    </row>
    <row r="1514" spans="3:5" x14ac:dyDescent="0.35">
      <c r="C1514">
        <f t="shared" si="24"/>
        <v>2016</v>
      </c>
      <c r="D1514" s="1">
        <v>42377</v>
      </c>
      <c r="E1514">
        <v>68.177999999999997</v>
      </c>
    </row>
    <row r="1515" spans="3:5" x14ac:dyDescent="0.35">
      <c r="C1515">
        <f t="shared" si="24"/>
        <v>2016</v>
      </c>
      <c r="D1515" s="1">
        <v>42380</v>
      </c>
      <c r="E1515">
        <v>68.139399999999995</v>
      </c>
    </row>
    <row r="1516" spans="3:5" x14ac:dyDescent="0.35">
      <c r="C1516">
        <f t="shared" si="24"/>
        <v>2016</v>
      </c>
      <c r="D1516" s="1">
        <v>42381</v>
      </c>
      <c r="E1516">
        <v>68.646199999999993</v>
      </c>
    </row>
    <row r="1517" spans="3:5" x14ac:dyDescent="0.35">
      <c r="C1517">
        <f t="shared" si="24"/>
        <v>2016</v>
      </c>
      <c r="D1517" s="1">
        <v>42382</v>
      </c>
      <c r="E1517">
        <v>69.2393</v>
      </c>
    </row>
    <row r="1518" spans="3:5" x14ac:dyDescent="0.35">
      <c r="C1518">
        <f t="shared" si="24"/>
        <v>2016</v>
      </c>
      <c r="D1518" s="1">
        <v>42383</v>
      </c>
      <c r="E1518">
        <v>68.889200000000002</v>
      </c>
    </row>
    <row r="1519" spans="3:5" x14ac:dyDescent="0.35">
      <c r="C1519">
        <f t="shared" si="24"/>
        <v>2016</v>
      </c>
      <c r="D1519" s="1">
        <v>42384</v>
      </c>
      <c r="E1519">
        <v>66.916600000000003</v>
      </c>
    </row>
    <row r="1520" spans="3:5" x14ac:dyDescent="0.35">
      <c r="C1520">
        <f t="shared" si="24"/>
        <v>2016</v>
      </c>
      <c r="D1520" s="1">
        <v>42388</v>
      </c>
      <c r="E1520">
        <v>67.987099999999998</v>
      </c>
    </row>
    <row r="1521" spans="3:5" x14ac:dyDescent="0.35">
      <c r="C1521">
        <f t="shared" si="24"/>
        <v>2016</v>
      </c>
      <c r="D1521" s="1">
        <v>42389</v>
      </c>
      <c r="E1521">
        <v>65.2089</v>
      </c>
    </row>
    <row r="1522" spans="3:5" x14ac:dyDescent="0.35">
      <c r="C1522">
        <f t="shared" si="24"/>
        <v>2016</v>
      </c>
      <c r="D1522" s="1">
        <v>42390</v>
      </c>
      <c r="E1522">
        <v>65.704599999999999</v>
      </c>
    </row>
    <row r="1523" spans="3:5" x14ac:dyDescent="0.35">
      <c r="C1523">
        <f t="shared" si="24"/>
        <v>2016</v>
      </c>
      <c r="D1523" s="1">
        <v>42391</v>
      </c>
      <c r="E1523">
        <v>66.360100000000003</v>
      </c>
    </row>
    <row r="1524" spans="3:5" x14ac:dyDescent="0.35">
      <c r="C1524">
        <f t="shared" si="24"/>
        <v>2016</v>
      </c>
      <c r="D1524" s="1">
        <v>42394</v>
      </c>
      <c r="E1524">
        <v>66.6798</v>
      </c>
    </row>
    <row r="1525" spans="3:5" x14ac:dyDescent="0.35">
      <c r="C1525">
        <f t="shared" si="24"/>
        <v>2016</v>
      </c>
      <c r="D1525" s="1">
        <v>42395</v>
      </c>
      <c r="E1525">
        <v>66.894900000000007</v>
      </c>
    </row>
    <row r="1526" spans="3:5" x14ac:dyDescent="0.35">
      <c r="C1526">
        <f t="shared" si="24"/>
        <v>2016</v>
      </c>
      <c r="D1526" s="1">
        <v>42396</v>
      </c>
      <c r="E1526">
        <v>67.474100000000007</v>
      </c>
    </row>
    <row r="1527" spans="3:5" x14ac:dyDescent="0.35">
      <c r="C1527">
        <f t="shared" si="24"/>
        <v>2016</v>
      </c>
      <c r="D1527" s="1">
        <v>42397</v>
      </c>
      <c r="E1527">
        <v>67.213999999999999</v>
      </c>
    </row>
    <row r="1528" spans="3:5" x14ac:dyDescent="0.35">
      <c r="C1528">
        <f t="shared" si="24"/>
        <v>2016</v>
      </c>
      <c r="D1528" s="1">
        <v>42398</v>
      </c>
      <c r="E1528">
        <v>68.5839</v>
      </c>
    </row>
    <row r="1529" spans="3:5" x14ac:dyDescent="0.35">
      <c r="C1529">
        <f t="shared" si="24"/>
        <v>2016</v>
      </c>
      <c r="D1529" s="1">
        <v>42401</v>
      </c>
      <c r="E1529">
        <v>68.0428</v>
      </c>
    </row>
    <row r="1530" spans="3:5" x14ac:dyDescent="0.35">
      <c r="C1530">
        <f t="shared" si="24"/>
        <v>2016</v>
      </c>
      <c r="D1530" s="1">
        <v>42402</v>
      </c>
      <c r="E1530">
        <v>67.634799999999998</v>
      </c>
    </row>
    <row r="1531" spans="3:5" x14ac:dyDescent="0.35">
      <c r="C1531">
        <f t="shared" si="24"/>
        <v>2016</v>
      </c>
      <c r="D1531" s="1">
        <v>42403</v>
      </c>
      <c r="E1531">
        <v>66.639700000000005</v>
      </c>
    </row>
    <row r="1532" spans="3:5" x14ac:dyDescent="0.35">
      <c r="C1532">
        <f t="shared" si="24"/>
        <v>2016</v>
      </c>
      <c r="D1532" s="1">
        <v>42404</v>
      </c>
      <c r="E1532">
        <v>67.202299999999994</v>
      </c>
    </row>
    <row r="1533" spans="3:5" x14ac:dyDescent="0.35">
      <c r="C1533">
        <f t="shared" si="24"/>
        <v>2016</v>
      </c>
      <c r="D1533" s="1">
        <v>42405</v>
      </c>
      <c r="E1533">
        <v>66.708399999999997</v>
      </c>
    </row>
    <row r="1534" spans="3:5" x14ac:dyDescent="0.35">
      <c r="C1534">
        <f t="shared" si="24"/>
        <v>2016</v>
      </c>
      <c r="D1534" s="1">
        <v>42408</v>
      </c>
      <c r="E1534">
        <v>61.384900000000002</v>
      </c>
    </row>
    <row r="1535" spans="3:5" x14ac:dyDescent="0.35">
      <c r="C1535">
        <f t="shared" si="24"/>
        <v>2016</v>
      </c>
      <c r="D1535" s="1">
        <v>42409</v>
      </c>
      <c r="E1535">
        <v>60.158900000000003</v>
      </c>
    </row>
    <row r="1536" spans="3:5" x14ac:dyDescent="0.35">
      <c r="C1536">
        <f t="shared" si="24"/>
        <v>2016</v>
      </c>
      <c r="D1536" s="1">
        <v>42410</v>
      </c>
      <c r="E1536">
        <v>60.9649</v>
      </c>
    </row>
    <row r="1537" spans="3:5" x14ac:dyDescent="0.35">
      <c r="C1537">
        <f t="shared" si="24"/>
        <v>2016</v>
      </c>
      <c r="D1537" s="1">
        <v>42411</v>
      </c>
      <c r="E1537">
        <v>57.976300000000002</v>
      </c>
    </row>
    <row r="1538" spans="3:5" x14ac:dyDescent="0.35">
      <c r="C1538">
        <f t="shared" si="24"/>
        <v>2016</v>
      </c>
      <c r="D1538" s="1">
        <v>42412</v>
      </c>
      <c r="E1538">
        <v>57.043799999999997</v>
      </c>
    </row>
    <row r="1539" spans="3:5" x14ac:dyDescent="0.35">
      <c r="C1539">
        <f t="shared" ref="C1539:C1602" si="25">YEAR(D1539)</f>
        <v>2016</v>
      </c>
      <c r="D1539" s="1">
        <v>42416</v>
      </c>
      <c r="E1539">
        <v>57.8688</v>
      </c>
    </row>
    <row r="1540" spans="3:5" x14ac:dyDescent="0.35">
      <c r="C1540">
        <f t="shared" si="25"/>
        <v>2016</v>
      </c>
      <c r="D1540" s="1">
        <v>42417</v>
      </c>
      <c r="E1540">
        <v>58.934600000000003</v>
      </c>
    </row>
    <row r="1541" spans="3:5" x14ac:dyDescent="0.35">
      <c r="C1541">
        <f t="shared" si="25"/>
        <v>2016</v>
      </c>
      <c r="D1541" s="1">
        <v>42418</v>
      </c>
      <c r="E1541">
        <v>59.494100000000003</v>
      </c>
    </row>
    <row r="1542" spans="3:5" x14ac:dyDescent="0.35">
      <c r="C1542">
        <f t="shared" si="25"/>
        <v>2016</v>
      </c>
      <c r="D1542" s="1">
        <v>42419</v>
      </c>
      <c r="E1542">
        <v>58.347000000000001</v>
      </c>
    </row>
    <row r="1543" spans="3:5" x14ac:dyDescent="0.35">
      <c r="C1543">
        <f t="shared" si="25"/>
        <v>2016</v>
      </c>
      <c r="D1543" s="1">
        <v>42422</v>
      </c>
      <c r="E1543">
        <v>61.785499999999999</v>
      </c>
    </row>
    <row r="1544" spans="3:5" x14ac:dyDescent="0.35">
      <c r="C1544">
        <f t="shared" si="25"/>
        <v>2016</v>
      </c>
      <c r="D1544" s="1">
        <v>42423</v>
      </c>
      <c r="E1544">
        <v>62.084099999999999</v>
      </c>
    </row>
    <row r="1545" spans="3:5" x14ac:dyDescent="0.35">
      <c r="C1545">
        <f t="shared" si="25"/>
        <v>2016</v>
      </c>
      <c r="D1545" s="1">
        <v>42424</v>
      </c>
      <c r="E1545">
        <v>59.252000000000002</v>
      </c>
    </row>
    <row r="1546" spans="3:5" x14ac:dyDescent="0.35">
      <c r="C1546">
        <f t="shared" si="25"/>
        <v>2016</v>
      </c>
      <c r="D1546" s="1">
        <v>42425</v>
      </c>
      <c r="E1546">
        <v>60.7483</v>
      </c>
    </row>
    <row r="1547" spans="3:5" x14ac:dyDescent="0.35">
      <c r="C1547">
        <f t="shared" si="25"/>
        <v>2016</v>
      </c>
      <c r="D1547" s="1">
        <v>42426</v>
      </c>
      <c r="E1547">
        <v>62.1175</v>
      </c>
    </row>
    <row r="1548" spans="3:5" x14ac:dyDescent="0.35">
      <c r="C1548">
        <f t="shared" si="25"/>
        <v>2016</v>
      </c>
      <c r="D1548" s="1">
        <v>42429</v>
      </c>
      <c r="E1548">
        <v>61.754300000000001</v>
      </c>
    </row>
    <row r="1549" spans="3:5" x14ac:dyDescent="0.35">
      <c r="C1549">
        <f t="shared" si="25"/>
        <v>2016</v>
      </c>
      <c r="D1549" s="1">
        <v>42430</v>
      </c>
      <c r="E1549">
        <v>63.566800000000001</v>
      </c>
    </row>
    <row r="1550" spans="3:5" x14ac:dyDescent="0.35">
      <c r="C1550">
        <f t="shared" si="25"/>
        <v>2016</v>
      </c>
      <c r="D1550" s="1">
        <v>42431</v>
      </c>
      <c r="E1550">
        <v>63.7956</v>
      </c>
    </row>
    <row r="1551" spans="3:5" x14ac:dyDescent="0.35">
      <c r="C1551">
        <f t="shared" si="25"/>
        <v>2016</v>
      </c>
      <c r="D1551" s="1">
        <v>42432</v>
      </c>
      <c r="E1551">
        <v>62.746400000000001</v>
      </c>
    </row>
    <row r="1552" spans="3:5" x14ac:dyDescent="0.35">
      <c r="C1552">
        <f t="shared" si="25"/>
        <v>2016</v>
      </c>
      <c r="D1552" s="1">
        <v>42433</v>
      </c>
      <c r="E1552">
        <v>64.220799999999997</v>
      </c>
    </row>
    <row r="1553" spans="3:5" x14ac:dyDescent="0.35">
      <c r="C1553">
        <f t="shared" si="25"/>
        <v>2016</v>
      </c>
      <c r="D1553" s="1">
        <v>42436</v>
      </c>
      <c r="E1553">
        <v>64.504999999999995</v>
      </c>
    </row>
    <row r="1554" spans="3:5" x14ac:dyDescent="0.35">
      <c r="C1554">
        <f t="shared" si="25"/>
        <v>2016</v>
      </c>
      <c r="D1554" s="1">
        <v>42437</v>
      </c>
      <c r="E1554">
        <v>63.990200000000002</v>
      </c>
    </row>
    <row r="1555" spans="3:5" x14ac:dyDescent="0.35">
      <c r="C1555">
        <f t="shared" si="25"/>
        <v>2016</v>
      </c>
      <c r="D1555" s="1">
        <v>42438</v>
      </c>
      <c r="E1555">
        <v>65.370500000000007</v>
      </c>
    </row>
    <row r="1556" spans="3:5" x14ac:dyDescent="0.35">
      <c r="C1556">
        <f t="shared" si="25"/>
        <v>2016</v>
      </c>
      <c r="D1556" s="1">
        <v>42439</v>
      </c>
      <c r="E1556">
        <v>64.236000000000004</v>
      </c>
    </row>
    <row r="1557" spans="3:5" x14ac:dyDescent="0.35">
      <c r="C1557">
        <f t="shared" si="25"/>
        <v>2016</v>
      </c>
      <c r="D1557" s="1">
        <v>42440</v>
      </c>
      <c r="E1557">
        <v>66.583799999999997</v>
      </c>
    </row>
    <row r="1558" spans="3:5" x14ac:dyDescent="0.35">
      <c r="C1558">
        <f t="shared" si="25"/>
        <v>2016</v>
      </c>
      <c r="D1558" s="1">
        <v>42443</v>
      </c>
      <c r="E1558">
        <v>68.8446</v>
      </c>
    </row>
    <row r="1559" spans="3:5" x14ac:dyDescent="0.35">
      <c r="C1559">
        <f t="shared" si="25"/>
        <v>2016</v>
      </c>
      <c r="D1559" s="1">
        <v>42444</v>
      </c>
      <c r="E1559">
        <v>67.450599999999994</v>
      </c>
    </row>
    <row r="1560" spans="3:5" x14ac:dyDescent="0.35">
      <c r="C1560">
        <f t="shared" si="25"/>
        <v>2016</v>
      </c>
      <c r="D1560" s="1">
        <v>42445</v>
      </c>
      <c r="E1560">
        <v>67.689899999999994</v>
      </c>
    </row>
    <row r="1561" spans="3:5" x14ac:dyDescent="0.35">
      <c r="C1561">
        <f t="shared" si="25"/>
        <v>2016</v>
      </c>
      <c r="D1561" s="1">
        <v>42446</v>
      </c>
      <c r="E1561">
        <v>67.213200000000001</v>
      </c>
    </row>
    <row r="1562" spans="3:5" x14ac:dyDescent="0.35">
      <c r="C1562">
        <f t="shared" si="25"/>
        <v>2016</v>
      </c>
      <c r="D1562" s="1">
        <v>42447</v>
      </c>
      <c r="E1562">
        <v>69.038600000000002</v>
      </c>
    </row>
    <row r="1563" spans="3:5" x14ac:dyDescent="0.35">
      <c r="C1563">
        <f t="shared" si="25"/>
        <v>2016</v>
      </c>
      <c r="D1563" s="1">
        <v>42450</v>
      </c>
      <c r="E1563">
        <v>69.353499999999997</v>
      </c>
    </row>
    <row r="1564" spans="3:5" x14ac:dyDescent="0.35">
      <c r="C1564">
        <f t="shared" si="25"/>
        <v>2016</v>
      </c>
      <c r="D1564" s="1">
        <v>42451</v>
      </c>
      <c r="E1564">
        <v>65.972200000000001</v>
      </c>
    </row>
    <row r="1565" spans="3:5" x14ac:dyDescent="0.35">
      <c r="C1565">
        <f t="shared" si="25"/>
        <v>2016</v>
      </c>
      <c r="D1565" s="1">
        <v>42452</v>
      </c>
      <c r="E1565">
        <v>66.563000000000002</v>
      </c>
    </row>
    <row r="1566" spans="3:5" x14ac:dyDescent="0.35">
      <c r="C1566">
        <f t="shared" si="25"/>
        <v>2016</v>
      </c>
      <c r="D1566" s="1">
        <v>42453</v>
      </c>
      <c r="E1566">
        <v>67.395200000000003</v>
      </c>
    </row>
    <row r="1567" spans="3:5" x14ac:dyDescent="0.35">
      <c r="C1567">
        <f t="shared" si="25"/>
        <v>2016</v>
      </c>
      <c r="D1567" s="1">
        <v>42457</v>
      </c>
      <c r="E1567">
        <v>67.594700000000003</v>
      </c>
    </row>
    <row r="1568" spans="3:5" x14ac:dyDescent="0.35">
      <c r="C1568">
        <f t="shared" si="25"/>
        <v>2016</v>
      </c>
      <c r="D1568" s="1">
        <v>42458</v>
      </c>
      <c r="E1568">
        <v>66.961500000000001</v>
      </c>
    </row>
    <row r="1569" spans="3:5" x14ac:dyDescent="0.35">
      <c r="C1569">
        <f t="shared" si="25"/>
        <v>2016</v>
      </c>
      <c r="D1569" s="1">
        <v>42459</v>
      </c>
      <c r="E1569">
        <v>69.348699999999994</v>
      </c>
    </row>
    <row r="1570" spans="3:5" x14ac:dyDescent="0.35">
      <c r="C1570">
        <f t="shared" si="25"/>
        <v>2016</v>
      </c>
      <c r="D1570" s="1">
        <v>42460</v>
      </c>
      <c r="E1570">
        <v>69.296800000000005</v>
      </c>
    </row>
    <row r="1571" spans="3:5" x14ac:dyDescent="0.35">
      <c r="C1571">
        <f t="shared" si="25"/>
        <v>2016</v>
      </c>
      <c r="D1571" s="1">
        <v>42461</v>
      </c>
      <c r="E1571">
        <v>69.745000000000005</v>
      </c>
    </row>
    <row r="1572" spans="3:5" x14ac:dyDescent="0.35">
      <c r="C1572">
        <f t="shared" si="25"/>
        <v>2016</v>
      </c>
      <c r="D1572" s="1">
        <v>42464</v>
      </c>
      <c r="E1572">
        <v>70.919700000000006</v>
      </c>
    </row>
    <row r="1573" spans="3:5" x14ac:dyDescent="0.35">
      <c r="C1573">
        <f t="shared" si="25"/>
        <v>2016</v>
      </c>
      <c r="D1573" s="1">
        <v>42465</v>
      </c>
      <c r="E1573">
        <v>70.343299999999999</v>
      </c>
    </row>
    <row r="1574" spans="3:5" x14ac:dyDescent="0.35">
      <c r="C1574">
        <f t="shared" si="25"/>
        <v>2016</v>
      </c>
      <c r="D1574" s="1">
        <v>42466</v>
      </c>
      <c r="E1574">
        <v>68.508700000000005</v>
      </c>
    </row>
    <row r="1575" spans="3:5" x14ac:dyDescent="0.35">
      <c r="C1575">
        <f t="shared" si="25"/>
        <v>2016</v>
      </c>
      <c r="D1575" s="1">
        <v>42467</v>
      </c>
      <c r="E1575">
        <v>66.644400000000005</v>
      </c>
    </row>
    <row r="1576" spans="3:5" x14ac:dyDescent="0.35">
      <c r="C1576">
        <f t="shared" si="25"/>
        <v>2016</v>
      </c>
      <c r="D1576" s="1">
        <v>42468</v>
      </c>
      <c r="E1576">
        <v>65.995900000000006</v>
      </c>
    </row>
    <row r="1577" spans="3:5" x14ac:dyDescent="0.35">
      <c r="C1577">
        <f t="shared" si="25"/>
        <v>2016</v>
      </c>
      <c r="D1577" s="1">
        <v>42471</v>
      </c>
      <c r="E1577">
        <v>67.051400000000001</v>
      </c>
    </row>
    <row r="1578" spans="3:5" x14ac:dyDescent="0.35">
      <c r="C1578">
        <f t="shared" si="25"/>
        <v>2016</v>
      </c>
      <c r="D1578" s="1">
        <v>42472</v>
      </c>
      <c r="E1578">
        <v>66.638400000000004</v>
      </c>
    </row>
    <row r="1579" spans="3:5" x14ac:dyDescent="0.35">
      <c r="C1579">
        <f t="shared" si="25"/>
        <v>2016</v>
      </c>
      <c r="D1579" s="1">
        <v>42473</v>
      </c>
      <c r="E1579">
        <v>68.158799999999999</v>
      </c>
    </row>
    <row r="1580" spans="3:5" x14ac:dyDescent="0.35">
      <c r="C1580">
        <f t="shared" si="25"/>
        <v>2016</v>
      </c>
      <c r="D1580" s="1">
        <v>42474</v>
      </c>
      <c r="E1580">
        <v>68.828400000000002</v>
      </c>
    </row>
    <row r="1581" spans="3:5" x14ac:dyDescent="0.35">
      <c r="C1581">
        <f t="shared" si="25"/>
        <v>2016</v>
      </c>
      <c r="D1581" s="1">
        <v>42475</v>
      </c>
      <c r="E1581">
        <v>67.001599999999996</v>
      </c>
    </row>
    <row r="1582" spans="3:5" x14ac:dyDescent="0.35">
      <c r="C1582">
        <f t="shared" si="25"/>
        <v>2016</v>
      </c>
      <c r="D1582" s="1">
        <v>42478</v>
      </c>
      <c r="E1582">
        <v>66.823800000000006</v>
      </c>
    </row>
    <row r="1583" spans="3:5" x14ac:dyDescent="0.35">
      <c r="C1583">
        <f t="shared" si="25"/>
        <v>2016</v>
      </c>
      <c r="D1583" s="1">
        <v>42479</v>
      </c>
      <c r="E1583">
        <v>65.597700000000003</v>
      </c>
    </row>
    <row r="1584" spans="3:5" x14ac:dyDescent="0.35">
      <c r="C1584">
        <f t="shared" si="25"/>
        <v>2016</v>
      </c>
      <c r="D1584" s="1">
        <v>42480</v>
      </c>
      <c r="E1584">
        <v>61.302700000000002</v>
      </c>
    </row>
    <row r="1585" spans="3:5" x14ac:dyDescent="0.35">
      <c r="C1585">
        <f t="shared" si="25"/>
        <v>2016</v>
      </c>
      <c r="D1585" s="1">
        <v>42481</v>
      </c>
      <c r="E1585">
        <v>61.228299999999997</v>
      </c>
    </row>
    <row r="1586" spans="3:5" x14ac:dyDescent="0.35">
      <c r="C1586">
        <f t="shared" si="25"/>
        <v>2016</v>
      </c>
      <c r="D1586" s="1">
        <v>42482</v>
      </c>
      <c r="E1586">
        <v>62.947800000000001</v>
      </c>
    </row>
    <row r="1587" spans="3:5" x14ac:dyDescent="0.35">
      <c r="C1587">
        <f t="shared" si="25"/>
        <v>2016</v>
      </c>
      <c r="D1587" s="1">
        <v>42485</v>
      </c>
      <c r="E1587">
        <v>61.144599999999997</v>
      </c>
    </row>
    <row r="1588" spans="3:5" x14ac:dyDescent="0.35">
      <c r="C1588">
        <f t="shared" si="25"/>
        <v>2016</v>
      </c>
      <c r="D1588" s="1">
        <v>42486</v>
      </c>
      <c r="E1588">
        <v>61.381900000000002</v>
      </c>
    </row>
    <row r="1589" spans="3:5" x14ac:dyDescent="0.35">
      <c r="C1589">
        <f t="shared" si="25"/>
        <v>2016</v>
      </c>
      <c r="D1589" s="1">
        <v>42487</v>
      </c>
      <c r="E1589">
        <v>61.993400000000001</v>
      </c>
    </row>
    <row r="1590" spans="3:5" x14ac:dyDescent="0.35">
      <c r="C1590">
        <f t="shared" si="25"/>
        <v>2016</v>
      </c>
      <c r="D1590" s="1">
        <v>42488</v>
      </c>
      <c r="E1590">
        <v>60.9833</v>
      </c>
    </row>
    <row r="1591" spans="3:5" x14ac:dyDescent="0.35">
      <c r="C1591">
        <f t="shared" si="25"/>
        <v>2016</v>
      </c>
      <c r="D1591" s="1">
        <v>42489</v>
      </c>
      <c r="E1591">
        <v>59.218899999999998</v>
      </c>
    </row>
    <row r="1592" spans="3:5" x14ac:dyDescent="0.35">
      <c r="C1592">
        <f t="shared" si="25"/>
        <v>2016</v>
      </c>
      <c r="D1592" s="1">
        <v>42492</v>
      </c>
      <c r="E1592">
        <v>58.845999999999997</v>
      </c>
    </row>
    <row r="1593" spans="3:5" x14ac:dyDescent="0.35">
      <c r="C1593">
        <f t="shared" si="25"/>
        <v>2016</v>
      </c>
      <c r="D1593" s="1">
        <v>42493</v>
      </c>
      <c r="E1593">
        <v>56.817900000000002</v>
      </c>
    </row>
    <row r="1594" spans="3:5" x14ac:dyDescent="0.35">
      <c r="C1594">
        <f t="shared" si="25"/>
        <v>2016</v>
      </c>
      <c r="D1594" s="1">
        <v>42494</v>
      </c>
      <c r="E1594">
        <v>57.527900000000002</v>
      </c>
    </row>
    <row r="1595" spans="3:5" x14ac:dyDescent="0.35">
      <c r="C1595">
        <f t="shared" si="25"/>
        <v>2016</v>
      </c>
      <c r="D1595" s="1">
        <v>42495</v>
      </c>
      <c r="E1595">
        <v>55.066400000000002</v>
      </c>
    </row>
    <row r="1596" spans="3:5" x14ac:dyDescent="0.35">
      <c r="C1596">
        <f t="shared" si="25"/>
        <v>2016</v>
      </c>
      <c r="D1596" s="1">
        <v>42496</v>
      </c>
      <c r="E1596">
        <v>54.636699999999998</v>
      </c>
    </row>
    <row r="1597" spans="3:5" x14ac:dyDescent="0.35">
      <c r="C1597">
        <f t="shared" si="25"/>
        <v>2016</v>
      </c>
      <c r="D1597" s="1">
        <v>42499</v>
      </c>
      <c r="E1597">
        <v>56.4968</v>
      </c>
    </row>
    <row r="1598" spans="3:5" x14ac:dyDescent="0.35">
      <c r="C1598">
        <f t="shared" si="25"/>
        <v>2016</v>
      </c>
      <c r="D1598" s="1">
        <v>42500</v>
      </c>
      <c r="E1598">
        <v>55.628500000000003</v>
      </c>
    </row>
    <row r="1599" spans="3:5" x14ac:dyDescent="0.35">
      <c r="C1599">
        <f t="shared" si="25"/>
        <v>2016</v>
      </c>
      <c r="D1599" s="1">
        <v>42501</v>
      </c>
      <c r="E1599">
        <v>54.777700000000003</v>
      </c>
    </row>
    <row r="1600" spans="3:5" x14ac:dyDescent="0.35">
      <c r="C1600">
        <f t="shared" si="25"/>
        <v>2016</v>
      </c>
      <c r="D1600" s="1">
        <v>42502</v>
      </c>
      <c r="E1600">
        <v>53.168199999999999</v>
      </c>
    </row>
    <row r="1601" spans="3:5" x14ac:dyDescent="0.35">
      <c r="C1601">
        <f t="shared" si="25"/>
        <v>2016</v>
      </c>
      <c r="D1601" s="1">
        <v>42503</v>
      </c>
      <c r="E1601">
        <v>51.276699999999998</v>
      </c>
    </row>
    <row r="1602" spans="3:5" x14ac:dyDescent="0.35">
      <c r="C1602">
        <f t="shared" si="25"/>
        <v>2016</v>
      </c>
      <c r="D1602" s="1">
        <v>42506</v>
      </c>
      <c r="E1602">
        <v>50.389400000000002</v>
      </c>
    </row>
    <row r="1603" spans="3:5" x14ac:dyDescent="0.35">
      <c r="C1603">
        <f t="shared" ref="C1603:C1666" si="26">YEAR(D1603)</f>
        <v>2016</v>
      </c>
      <c r="D1603" s="1">
        <v>42507</v>
      </c>
      <c r="E1603">
        <v>51.138599999999997</v>
      </c>
    </row>
    <row r="1604" spans="3:5" x14ac:dyDescent="0.35">
      <c r="C1604">
        <f t="shared" si="26"/>
        <v>2016</v>
      </c>
      <c r="D1604" s="1">
        <v>42508</v>
      </c>
      <c r="E1604">
        <v>50.281399999999998</v>
      </c>
    </row>
    <row r="1605" spans="3:5" x14ac:dyDescent="0.35">
      <c r="C1605">
        <f t="shared" si="26"/>
        <v>2016</v>
      </c>
      <c r="D1605" s="1">
        <v>42509</v>
      </c>
      <c r="E1605">
        <v>50.7395</v>
      </c>
    </row>
    <row r="1606" spans="3:5" x14ac:dyDescent="0.35">
      <c r="C1606">
        <f t="shared" si="26"/>
        <v>2016</v>
      </c>
      <c r="D1606" s="1">
        <v>42510</v>
      </c>
      <c r="E1606">
        <v>50.200299999999999</v>
      </c>
    </row>
    <row r="1607" spans="3:5" x14ac:dyDescent="0.35">
      <c r="C1607">
        <f t="shared" si="26"/>
        <v>2016</v>
      </c>
      <c r="D1607" s="1">
        <v>42513</v>
      </c>
      <c r="E1607">
        <v>51.401800000000001</v>
      </c>
    </row>
    <row r="1608" spans="3:5" x14ac:dyDescent="0.35">
      <c r="C1608">
        <f t="shared" si="26"/>
        <v>2016</v>
      </c>
      <c r="D1608" s="1">
        <v>42514</v>
      </c>
      <c r="E1608">
        <v>52.896999999999998</v>
      </c>
    </row>
    <row r="1609" spans="3:5" x14ac:dyDescent="0.35">
      <c r="C1609">
        <f t="shared" si="26"/>
        <v>2016</v>
      </c>
      <c r="D1609" s="1">
        <v>42515</v>
      </c>
      <c r="E1609">
        <v>53.7179</v>
      </c>
    </row>
    <row r="1610" spans="3:5" x14ac:dyDescent="0.35">
      <c r="C1610">
        <f t="shared" si="26"/>
        <v>2016</v>
      </c>
      <c r="D1610" s="1">
        <v>42516</v>
      </c>
      <c r="E1610">
        <v>53.862699999999997</v>
      </c>
    </row>
    <row r="1611" spans="3:5" x14ac:dyDescent="0.35">
      <c r="C1611">
        <f t="shared" si="26"/>
        <v>2016</v>
      </c>
      <c r="D1611" s="1">
        <v>42517</v>
      </c>
      <c r="E1611">
        <v>53.820399999999999</v>
      </c>
    </row>
    <row r="1612" spans="3:5" x14ac:dyDescent="0.35">
      <c r="C1612">
        <f t="shared" si="26"/>
        <v>2016</v>
      </c>
      <c r="D1612" s="1">
        <v>42521</v>
      </c>
      <c r="E1612">
        <v>53.925199999999997</v>
      </c>
    </row>
    <row r="1613" spans="3:5" x14ac:dyDescent="0.35">
      <c r="C1613">
        <f t="shared" si="26"/>
        <v>2016</v>
      </c>
      <c r="D1613" s="1">
        <v>42522</v>
      </c>
      <c r="E1613">
        <v>53.390900000000002</v>
      </c>
    </row>
    <row r="1614" spans="3:5" x14ac:dyDescent="0.35">
      <c r="C1614">
        <f t="shared" si="26"/>
        <v>2016</v>
      </c>
      <c r="D1614" s="1">
        <v>42523</v>
      </c>
      <c r="E1614">
        <v>53.473199999999999</v>
      </c>
    </row>
    <row r="1615" spans="3:5" x14ac:dyDescent="0.35">
      <c r="C1615">
        <f t="shared" si="26"/>
        <v>2016</v>
      </c>
      <c r="D1615" s="1">
        <v>42524</v>
      </c>
      <c r="E1615">
        <v>52.916200000000003</v>
      </c>
    </row>
    <row r="1616" spans="3:5" x14ac:dyDescent="0.35">
      <c r="C1616">
        <f t="shared" si="26"/>
        <v>2016</v>
      </c>
      <c r="D1616" s="1">
        <v>42527</v>
      </c>
      <c r="E1616">
        <v>53.473500000000001</v>
      </c>
    </row>
    <row r="1617" spans="3:5" x14ac:dyDescent="0.35">
      <c r="C1617">
        <f t="shared" si="26"/>
        <v>2016</v>
      </c>
      <c r="D1617" s="1">
        <v>42528</v>
      </c>
      <c r="E1617">
        <v>52.478900000000003</v>
      </c>
    </row>
    <row r="1618" spans="3:5" x14ac:dyDescent="0.35">
      <c r="C1618">
        <f t="shared" si="26"/>
        <v>2016</v>
      </c>
      <c r="D1618" s="1">
        <v>42529</v>
      </c>
      <c r="E1618">
        <v>51.9161</v>
      </c>
    </row>
    <row r="1619" spans="3:5" x14ac:dyDescent="0.35">
      <c r="C1619">
        <f t="shared" si="26"/>
        <v>2016</v>
      </c>
      <c r="D1619" s="1">
        <v>42530</v>
      </c>
      <c r="E1619">
        <v>51.323900000000002</v>
      </c>
    </row>
    <row r="1620" spans="3:5" x14ac:dyDescent="0.35">
      <c r="C1620">
        <f t="shared" si="26"/>
        <v>2016</v>
      </c>
      <c r="D1620" s="1">
        <v>42531</v>
      </c>
      <c r="E1620">
        <v>49.785600000000002</v>
      </c>
    </row>
    <row r="1621" spans="3:5" x14ac:dyDescent="0.35">
      <c r="C1621">
        <f t="shared" si="26"/>
        <v>2016</v>
      </c>
      <c r="D1621" s="1">
        <v>42534</v>
      </c>
      <c r="E1621">
        <v>47.698500000000003</v>
      </c>
    </row>
    <row r="1622" spans="3:5" x14ac:dyDescent="0.35">
      <c r="C1622">
        <f t="shared" si="26"/>
        <v>2016</v>
      </c>
      <c r="D1622" s="1">
        <v>42535</v>
      </c>
      <c r="E1622">
        <v>48.4375</v>
      </c>
    </row>
    <row r="1623" spans="3:5" x14ac:dyDescent="0.35">
      <c r="C1623">
        <f t="shared" si="26"/>
        <v>2016</v>
      </c>
      <c r="D1623" s="1">
        <v>42536</v>
      </c>
      <c r="E1623">
        <v>47.976399999999998</v>
      </c>
    </row>
    <row r="1624" spans="3:5" x14ac:dyDescent="0.35">
      <c r="C1624">
        <f t="shared" si="26"/>
        <v>2016</v>
      </c>
      <c r="D1624" s="1">
        <v>42537</v>
      </c>
      <c r="E1624">
        <v>47.128300000000003</v>
      </c>
    </row>
    <row r="1625" spans="3:5" x14ac:dyDescent="0.35">
      <c r="C1625">
        <f t="shared" si="26"/>
        <v>2016</v>
      </c>
      <c r="D1625" s="1">
        <v>42538</v>
      </c>
      <c r="E1625">
        <v>46.985500000000002</v>
      </c>
    </row>
    <row r="1626" spans="3:5" x14ac:dyDescent="0.35">
      <c r="C1626">
        <f t="shared" si="26"/>
        <v>2016</v>
      </c>
      <c r="D1626" s="1">
        <v>42541</v>
      </c>
      <c r="E1626">
        <v>47.786900000000003</v>
      </c>
    </row>
    <row r="1627" spans="3:5" x14ac:dyDescent="0.35">
      <c r="C1627">
        <f t="shared" si="26"/>
        <v>2016</v>
      </c>
      <c r="D1627" s="1">
        <v>42542</v>
      </c>
      <c r="E1627">
        <v>49.9529</v>
      </c>
    </row>
    <row r="1628" spans="3:5" x14ac:dyDescent="0.35">
      <c r="C1628">
        <f t="shared" si="26"/>
        <v>2016</v>
      </c>
      <c r="D1628" s="1">
        <v>42543</v>
      </c>
      <c r="E1628">
        <v>48.949599999999997</v>
      </c>
    </row>
    <row r="1629" spans="3:5" x14ac:dyDescent="0.35">
      <c r="C1629">
        <f t="shared" si="26"/>
        <v>2016</v>
      </c>
      <c r="D1629" s="1">
        <v>42544</v>
      </c>
      <c r="E1629">
        <v>49.7624</v>
      </c>
    </row>
    <row r="1630" spans="3:5" x14ac:dyDescent="0.35">
      <c r="C1630">
        <f t="shared" si="26"/>
        <v>2016</v>
      </c>
      <c r="D1630" s="1">
        <v>42545</v>
      </c>
      <c r="E1630">
        <v>46.646599999999999</v>
      </c>
    </row>
    <row r="1631" spans="3:5" x14ac:dyDescent="0.35">
      <c r="C1631">
        <f t="shared" si="26"/>
        <v>2016</v>
      </c>
      <c r="D1631" s="1">
        <v>42548</v>
      </c>
      <c r="E1631">
        <v>47.099299999999999</v>
      </c>
    </row>
    <row r="1632" spans="3:5" x14ac:dyDescent="0.35">
      <c r="C1632">
        <f t="shared" si="26"/>
        <v>2016</v>
      </c>
      <c r="D1632" s="1">
        <v>42549</v>
      </c>
      <c r="E1632">
        <v>48.076900000000002</v>
      </c>
    </row>
    <row r="1633" spans="3:5" x14ac:dyDescent="0.35">
      <c r="C1633">
        <f t="shared" si="26"/>
        <v>2016</v>
      </c>
      <c r="D1633" s="1">
        <v>42550</v>
      </c>
      <c r="E1633">
        <v>46.969700000000003</v>
      </c>
    </row>
    <row r="1634" spans="3:5" x14ac:dyDescent="0.35">
      <c r="C1634">
        <f t="shared" si="26"/>
        <v>2016</v>
      </c>
      <c r="D1634" s="1">
        <v>42551</v>
      </c>
      <c r="E1634">
        <v>46.728499999999997</v>
      </c>
    </row>
    <row r="1635" spans="3:5" x14ac:dyDescent="0.35">
      <c r="C1635">
        <f t="shared" si="26"/>
        <v>2016</v>
      </c>
      <c r="D1635" s="1">
        <v>42552</v>
      </c>
      <c r="E1635">
        <v>46.266800000000003</v>
      </c>
    </row>
    <row r="1636" spans="3:5" x14ac:dyDescent="0.35">
      <c r="C1636">
        <f t="shared" si="26"/>
        <v>2016</v>
      </c>
      <c r="D1636" s="1">
        <v>42556</v>
      </c>
      <c r="E1636">
        <v>45.232399999999998</v>
      </c>
    </row>
    <row r="1637" spans="3:5" x14ac:dyDescent="0.35">
      <c r="C1637">
        <f t="shared" si="26"/>
        <v>2016</v>
      </c>
      <c r="D1637" s="1">
        <v>42557</v>
      </c>
      <c r="E1637">
        <v>44.643300000000004</v>
      </c>
    </row>
    <row r="1638" spans="3:5" x14ac:dyDescent="0.35">
      <c r="C1638">
        <f t="shared" si="26"/>
        <v>2016</v>
      </c>
      <c r="D1638" s="1">
        <v>42558</v>
      </c>
      <c r="E1638">
        <v>44.613100000000003</v>
      </c>
    </row>
    <row r="1639" spans="3:5" x14ac:dyDescent="0.35">
      <c r="C1639">
        <f t="shared" si="26"/>
        <v>2016</v>
      </c>
      <c r="D1639" s="1">
        <v>42559</v>
      </c>
      <c r="E1639">
        <v>43.933300000000003</v>
      </c>
    </row>
    <row r="1640" spans="3:5" x14ac:dyDescent="0.35">
      <c r="C1640">
        <f t="shared" si="26"/>
        <v>2016</v>
      </c>
      <c r="D1640" s="1">
        <v>42562</v>
      </c>
      <c r="E1640">
        <v>46.121699999999997</v>
      </c>
    </row>
    <row r="1641" spans="3:5" x14ac:dyDescent="0.35">
      <c r="C1641">
        <f t="shared" si="26"/>
        <v>2016</v>
      </c>
      <c r="D1641" s="1">
        <v>42563</v>
      </c>
      <c r="E1641">
        <v>47.617600000000003</v>
      </c>
    </row>
    <row r="1642" spans="3:5" x14ac:dyDescent="0.35">
      <c r="C1642">
        <f t="shared" si="26"/>
        <v>2016</v>
      </c>
      <c r="D1642" s="1">
        <v>42564</v>
      </c>
      <c r="E1642">
        <v>48.155900000000003</v>
      </c>
    </row>
    <row r="1643" spans="3:5" x14ac:dyDescent="0.35">
      <c r="C1643">
        <f t="shared" si="26"/>
        <v>2016</v>
      </c>
      <c r="D1643" s="1">
        <v>42565</v>
      </c>
      <c r="E1643">
        <v>48.597900000000003</v>
      </c>
    </row>
    <row r="1644" spans="3:5" x14ac:dyDescent="0.35">
      <c r="C1644">
        <f t="shared" si="26"/>
        <v>2016</v>
      </c>
      <c r="D1644" s="1">
        <v>42566</v>
      </c>
      <c r="E1644">
        <v>48.460599999999999</v>
      </c>
    </row>
    <row r="1645" spans="3:5" x14ac:dyDescent="0.35">
      <c r="C1645">
        <f t="shared" si="26"/>
        <v>2016</v>
      </c>
      <c r="D1645" s="1">
        <v>42569</v>
      </c>
      <c r="E1645">
        <v>41.125300000000003</v>
      </c>
    </row>
    <row r="1646" spans="3:5" x14ac:dyDescent="0.35">
      <c r="C1646">
        <f t="shared" si="26"/>
        <v>2016</v>
      </c>
      <c r="D1646" s="1">
        <v>42570</v>
      </c>
      <c r="E1646">
        <v>40.130699999999997</v>
      </c>
    </row>
    <row r="1647" spans="3:5" x14ac:dyDescent="0.35">
      <c r="C1647">
        <f t="shared" si="26"/>
        <v>2016</v>
      </c>
      <c r="D1647" s="1">
        <v>42571</v>
      </c>
      <c r="E1647">
        <v>39.128500000000003</v>
      </c>
    </row>
    <row r="1648" spans="3:5" x14ac:dyDescent="0.35">
      <c r="C1648">
        <f t="shared" si="26"/>
        <v>2016</v>
      </c>
      <c r="D1648" s="1">
        <v>42572</v>
      </c>
      <c r="E1648">
        <v>36.940600000000003</v>
      </c>
    </row>
    <row r="1649" spans="3:5" x14ac:dyDescent="0.35">
      <c r="C1649">
        <f t="shared" si="26"/>
        <v>2016</v>
      </c>
      <c r="D1649" s="1">
        <v>42573</v>
      </c>
      <c r="E1649">
        <v>37.975999999999999</v>
      </c>
    </row>
    <row r="1650" spans="3:5" x14ac:dyDescent="0.35">
      <c r="C1650">
        <f t="shared" si="26"/>
        <v>2016</v>
      </c>
      <c r="D1650" s="1">
        <v>42576</v>
      </c>
      <c r="E1650">
        <v>39.7164</v>
      </c>
    </row>
    <row r="1651" spans="3:5" x14ac:dyDescent="0.35">
      <c r="C1651">
        <f t="shared" si="26"/>
        <v>2016</v>
      </c>
      <c r="D1651" s="1">
        <v>42577</v>
      </c>
      <c r="E1651">
        <v>39.4163</v>
      </c>
    </row>
    <row r="1652" spans="3:5" x14ac:dyDescent="0.35">
      <c r="C1652">
        <f t="shared" si="26"/>
        <v>2016</v>
      </c>
      <c r="D1652" s="1">
        <v>42578</v>
      </c>
      <c r="E1652">
        <v>39.718600000000002</v>
      </c>
    </row>
    <row r="1653" spans="3:5" x14ac:dyDescent="0.35">
      <c r="C1653">
        <f t="shared" si="26"/>
        <v>2016</v>
      </c>
      <c r="D1653" s="1">
        <v>42579</v>
      </c>
      <c r="E1653">
        <v>39.894199999999998</v>
      </c>
    </row>
    <row r="1654" spans="3:5" x14ac:dyDescent="0.35">
      <c r="C1654">
        <f t="shared" si="26"/>
        <v>2016</v>
      </c>
      <c r="D1654" s="1">
        <v>42580</v>
      </c>
      <c r="E1654">
        <v>39.597700000000003</v>
      </c>
    </row>
    <row r="1655" spans="3:5" x14ac:dyDescent="0.35">
      <c r="C1655">
        <f t="shared" si="26"/>
        <v>2016</v>
      </c>
      <c r="D1655" s="1">
        <v>42583</v>
      </c>
      <c r="E1655">
        <v>40.229900000000001</v>
      </c>
    </row>
    <row r="1656" spans="3:5" x14ac:dyDescent="0.35">
      <c r="C1656">
        <f t="shared" si="26"/>
        <v>2016</v>
      </c>
      <c r="D1656" s="1">
        <v>42584</v>
      </c>
      <c r="E1656">
        <v>39.662599999999998</v>
      </c>
    </row>
    <row r="1657" spans="3:5" x14ac:dyDescent="0.35">
      <c r="C1657">
        <f t="shared" si="26"/>
        <v>2016</v>
      </c>
      <c r="D1657" s="1">
        <v>42585</v>
      </c>
      <c r="E1657">
        <v>39.104300000000002</v>
      </c>
    </row>
    <row r="1658" spans="3:5" x14ac:dyDescent="0.35">
      <c r="C1658">
        <f t="shared" si="26"/>
        <v>2016</v>
      </c>
      <c r="D1658" s="1">
        <v>42586</v>
      </c>
      <c r="E1658">
        <v>39.137099999999997</v>
      </c>
    </row>
    <row r="1659" spans="3:5" x14ac:dyDescent="0.35">
      <c r="C1659">
        <f t="shared" si="26"/>
        <v>2016</v>
      </c>
      <c r="D1659" s="1">
        <v>42587</v>
      </c>
      <c r="E1659">
        <v>39.825600000000001</v>
      </c>
    </row>
    <row r="1660" spans="3:5" x14ac:dyDescent="0.35">
      <c r="C1660">
        <f t="shared" si="26"/>
        <v>2016</v>
      </c>
      <c r="D1660" s="1">
        <v>42590</v>
      </c>
      <c r="E1660">
        <v>42.518900000000002</v>
      </c>
    </row>
    <row r="1661" spans="3:5" x14ac:dyDescent="0.35">
      <c r="C1661">
        <f t="shared" si="26"/>
        <v>2016</v>
      </c>
      <c r="D1661" s="1">
        <v>42591</v>
      </c>
      <c r="E1661">
        <v>44.658200000000001</v>
      </c>
    </row>
    <row r="1662" spans="3:5" x14ac:dyDescent="0.35">
      <c r="C1662">
        <f t="shared" si="26"/>
        <v>2016</v>
      </c>
      <c r="D1662" s="1">
        <v>42592</v>
      </c>
      <c r="E1662">
        <v>43.732799999999997</v>
      </c>
    </row>
    <row r="1663" spans="3:5" x14ac:dyDescent="0.35">
      <c r="C1663">
        <f t="shared" si="26"/>
        <v>2016</v>
      </c>
      <c r="D1663" s="1">
        <v>42593</v>
      </c>
      <c r="E1663">
        <v>44.762999999999998</v>
      </c>
    </row>
    <row r="1664" spans="3:5" x14ac:dyDescent="0.35">
      <c r="C1664">
        <f t="shared" si="26"/>
        <v>2016</v>
      </c>
      <c r="D1664" s="1">
        <v>42594</v>
      </c>
      <c r="E1664">
        <v>44.2166</v>
      </c>
    </row>
    <row r="1665" spans="3:5" x14ac:dyDescent="0.35">
      <c r="C1665">
        <f t="shared" si="26"/>
        <v>2016</v>
      </c>
      <c r="D1665" s="1">
        <v>42597</v>
      </c>
      <c r="E1665">
        <v>43.83</v>
      </c>
    </row>
    <row r="1666" spans="3:5" x14ac:dyDescent="0.35">
      <c r="C1666">
        <f t="shared" si="26"/>
        <v>2016</v>
      </c>
      <c r="D1666" s="1">
        <v>42598</v>
      </c>
      <c r="E1666">
        <v>41.651800000000001</v>
      </c>
    </row>
    <row r="1667" spans="3:5" x14ac:dyDescent="0.35">
      <c r="C1667">
        <f t="shared" ref="C1667:C1730" si="27">YEAR(D1667)</f>
        <v>2016</v>
      </c>
      <c r="D1667" s="1">
        <v>42599</v>
      </c>
      <c r="E1667">
        <v>42.4129</v>
      </c>
    </row>
    <row r="1668" spans="3:5" x14ac:dyDescent="0.35">
      <c r="C1668">
        <f t="shared" si="27"/>
        <v>2016</v>
      </c>
      <c r="D1668" s="1">
        <v>42600</v>
      </c>
      <c r="E1668">
        <v>41.972099999999998</v>
      </c>
    </row>
    <row r="1669" spans="3:5" x14ac:dyDescent="0.35">
      <c r="C1669">
        <f t="shared" si="27"/>
        <v>2016</v>
      </c>
      <c r="D1669" s="1">
        <v>42601</v>
      </c>
      <c r="E1669">
        <v>42.893700000000003</v>
      </c>
    </row>
    <row r="1670" spans="3:5" x14ac:dyDescent="0.35">
      <c r="C1670">
        <f t="shared" si="27"/>
        <v>2016</v>
      </c>
      <c r="D1670" s="1">
        <v>42604</v>
      </c>
      <c r="E1670">
        <v>41.8703</v>
      </c>
    </row>
    <row r="1671" spans="3:5" x14ac:dyDescent="0.35">
      <c r="C1671">
        <f t="shared" si="27"/>
        <v>2016</v>
      </c>
      <c r="D1671" s="1">
        <v>42605</v>
      </c>
      <c r="E1671">
        <v>41.506500000000003</v>
      </c>
    </row>
    <row r="1672" spans="3:5" x14ac:dyDescent="0.35">
      <c r="C1672">
        <f t="shared" si="27"/>
        <v>2016</v>
      </c>
      <c r="D1672" s="1">
        <v>42606</v>
      </c>
      <c r="E1672">
        <v>40.936199999999999</v>
      </c>
    </row>
    <row r="1673" spans="3:5" x14ac:dyDescent="0.35">
      <c r="C1673">
        <f t="shared" si="27"/>
        <v>2016</v>
      </c>
      <c r="D1673" s="1">
        <v>42607</v>
      </c>
      <c r="E1673">
        <v>40.963299999999997</v>
      </c>
    </row>
    <row r="1674" spans="3:5" x14ac:dyDescent="0.35">
      <c r="C1674">
        <f t="shared" si="27"/>
        <v>2016</v>
      </c>
      <c r="D1674" s="1">
        <v>42608</v>
      </c>
      <c r="E1674">
        <v>41.322499999999998</v>
      </c>
    </row>
    <row r="1675" spans="3:5" x14ac:dyDescent="0.35">
      <c r="C1675">
        <f t="shared" si="27"/>
        <v>2016</v>
      </c>
      <c r="D1675" s="1">
        <v>42611</v>
      </c>
      <c r="E1675">
        <v>41.077199999999998</v>
      </c>
    </row>
    <row r="1676" spans="3:5" x14ac:dyDescent="0.35">
      <c r="C1676">
        <f t="shared" si="27"/>
        <v>2016</v>
      </c>
      <c r="D1676" s="1">
        <v>42612</v>
      </c>
      <c r="E1676">
        <v>41.466000000000001</v>
      </c>
    </row>
    <row r="1677" spans="3:5" x14ac:dyDescent="0.35">
      <c r="C1677">
        <f t="shared" si="27"/>
        <v>2016</v>
      </c>
      <c r="D1677" s="1">
        <v>42613</v>
      </c>
      <c r="E1677">
        <v>41.442</v>
      </c>
    </row>
    <row r="1678" spans="3:5" x14ac:dyDescent="0.35">
      <c r="C1678">
        <f t="shared" si="27"/>
        <v>2016</v>
      </c>
      <c r="D1678" s="1">
        <v>42614</v>
      </c>
      <c r="E1678">
        <v>41.281399999999998</v>
      </c>
    </row>
    <row r="1679" spans="3:5" x14ac:dyDescent="0.35">
      <c r="C1679">
        <f t="shared" si="27"/>
        <v>2016</v>
      </c>
      <c r="D1679" s="1">
        <v>42615</v>
      </c>
      <c r="E1679">
        <v>41.155900000000003</v>
      </c>
    </row>
    <row r="1680" spans="3:5" x14ac:dyDescent="0.35">
      <c r="C1680">
        <f t="shared" si="27"/>
        <v>2016</v>
      </c>
      <c r="D1680" s="1">
        <v>42619</v>
      </c>
      <c r="E1680">
        <v>40.535800000000002</v>
      </c>
    </row>
    <row r="1681" spans="3:5" x14ac:dyDescent="0.35">
      <c r="C1681">
        <f t="shared" si="27"/>
        <v>2016</v>
      </c>
      <c r="D1681" s="1">
        <v>42620</v>
      </c>
      <c r="E1681">
        <v>40.701500000000003</v>
      </c>
    </row>
    <row r="1682" spans="3:5" x14ac:dyDescent="0.35">
      <c r="C1682">
        <f t="shared" si="27"/>
        <v>2016</v>
      </c>
      <c r="D1682" s="1">
        <v>42621</v>
      </c>
      <c r="E1682">
        <v>41.001800000000003</v>
      </c>
    </row>
    <row r="1683" spans="3:5" x14ac:dyDescent="0.35">
      <c r="C1683">
        <f t="shared" si="27"/>
        <v>2016</v>
      </c>
      <c r="D1683" s="1">
        <v>42622</v>
      </c>
      <c r="E1683">
        <v>41.810099999999998</v>
      </c>
    </row>
    <row r="1684" spans="3:5" x14ac:dyDescent="0.35">
      <c r="C1684">
        <f t="shared" si="27"/>
        <v>2016</v>
      </c>
      <c r="D1684" s="1">
        <v>42625</v>
      </c>
      <c r="E1684">
        <v>41.8825</v>
      </c>
    </row>
    <row r="1685" spans="3:5" x14ac:dyDescent="0.35">
      <c r="C1685">
        <f t="shared" si="27"/>
        <v>2016</v>
      </c>
      <c r="D1685" s="1">
        <v>42626</v>
      </c>
      <c r="E1685">
        <v>41.929099999999998</v>
      </c>
    </row>
    <row r="1686" spans="3:5" x14ac:dyDescent="0.35">
      <c r="C1686">
        <f t="shared" si="27"/>
        <v>2016</v>
      </c>
      <c r="D1686" s="1">
        <v>42627</v>
      </c>
      <c r="E1686">
        <v>41.680599999999998</v>
      </c>
    </row>
    <row r="1687" spans="3:5" x14ac:dyDescent="0.35">
      <c r="C1687">
        <f t="shared" si="27"/>
        <v>2016</v>
      </c>
      <c r="D1687" s="1">
        <v>42628</v>
      </c>
      <c r="E1687">
        <v>41.966099999999997</v>
      </c>
    </row>
    <row r="1688" spans="3:5" x14ac:dyDescent="0.35">
      <c r="C1688">
        <f t="shared" si="27"/>
        <v>2016</v>
      </c>
      <c r="D1688" s="1">
        <v>42629</v>
      </c>
      <c r="E1688">
        <v>41.1967</v>
      </c>
    </row>
    <row r="1689" spans="3:5" x14ac:dyDescent="0.35">
      <c r="C1689">
        <f t="shared" si="27"/>
        <v>2016</v>
      </c>
      <c r="D1689" s="1">
        <v>42632</v>
      </c>
      <c r="E1689">
        <v>41.112499999999997</v>
      </c>
    </row>
    <row r="1690" spans="3:5" x14ac:dyDescent="0.35">
      <c r="C1690">
        <f t="shared" si="27"/>
        <v>2016</v>
      </c>
      <c r="D1690" s="1">
        <v>42633</v>
      </c>
      <c r="E1690">
        <v>41.219000000000001</v>
      </c>
    </row>
    <row r="1691" spans="3:5" x14ac:dyDescent="0.35">
      <c r="C1691">
        <f t="shared" si="27"/>
        <v>2016</v>
      </c>
      <c r="D1691" s="1">
        <v>42634</v>
      </c>
      <c r="E1691">
        <v>40.953299999999999</v>
      </c>
    </row>
    <row r="1692" spans="3:5" x14ac:dyDescent="0.35">
      <c r="C1692">
        <f t="shared" si="27"/>
        <v>2016</v>
      </c>
      <c r="D1692" s="1">
        <v>42635</v>
      </c>
      <c r="E1692">
        <v>41.788899999999998</v>
      </c>
    </row>
    <row r="1693" spans="3:5" x14ac:dyDescent="0.35">
      <c r="C1693">
        <f t="shared" si="27"/>
        <v>2016</v>
      </c>
      <c r="D1693" s="1">
        <v>42636</v>
      </c>
      <c r="E1693">
        <v>42.221899999999998</v>
      </c>
    </row>
    <row r="1694" spans="3:5" x14ac:dyDescent="0.35">
      <c r="C1694">
        <f t="shared" si="27"/>
        <v>2016</v>
      </c>
      <c r="D1694" s="1">
        <v>42639</v>
      </c>
      <c r="E1694">
        <v>39.777099999999997</v>
      </c>
    </row>
    <row r="1695" spans="3:5" x14ac:dyDescent="0.35">
      <c r="C1695">
        <f t="shared" si="27"/>
        <v>2016</v>
      </c>
      <c r="D1695" s="1">
        <v>42640</v>
      </c>
      <c r="E1695">
        <v>40.379600000000003</v>
      </c>
    </row>
    <row r="1696" spans="3:5" x14ac:dyDescent="0.35">
      <c r="C1696">
        <f t="shared" si="27"/>
        <v>2016</v>
      </c>
      <c r="D1696" s="1">
        <v>42641</v>
      </c>
      <c r="E1696">
        <v>40.912300000000002</v>
      </c>
    </row>
    <row r="1697" spans="3:5" x14ac:dyDescent="0.35">
      <c r="C1697">
        <f t="shared" si="27"/>
        <v>2016</v>
      </c>
      <c r="D1697" s="1">
        <v>42642</v>
      </c>
      <c r="E1697">
        <v>40.775700000000001</v>
      </c>
    </row>
    <row r="1698" spans="3:5" x14ac:dyDescent="0.35">
      <c r="C1698">
        <f t="shared" si="27"/>
        <v>2016</v>
      </c>
      <c r="D1698" s="1">
        <v>42643</v>
      </c>
      <c r="E1698">
        <v>40.617199999999997</v>
      </c>
    </row>
    <row r="1699" spans="3:5" x14ac:dyDescent="0.35">
      <c r="C1699">
        <f t="shared" si="27"/>
        <v>2016</v>
      </c>
      <c r="D1699" s="1">
        <v>42646</v>
      </c>
      <c r="E1699">
        <v>40.768799999999999</v>
      </c>
    </row>
    <row r="1700" spans="3:5" x14ac:dyDescent="0.35">
      <c r="C1700">
        <f t="shared" si="27"/>
        <v>2016</v>
      </c>
      <c r="D1700" s="1">
        <v>42647</v>
      </c>
      <c r="E1700">
        <v>41.810600000000001</v>
      </c>
    </row>
    <row r="1701" spans="3:5" x14ac:dyDescent="0.35">
      <c r="C1701">
        <f t="shared" si="27"/>
        <v>2016</v>
      </c>
      <c r="D1701" s="1">
        <v>42648</v>
      </c>
      <c r="E1701">
        <v>43.008699999999997</v>
      </c>
    </row>
    <row r="1702" spans="3:5" x14ac:dyDescent="0.35">
      <c r="C1702">
        <f t="shared" si="27"/>
        <v>2016</v>
      </c>
      <c r="D1702" s="1">
        <v>42649</v>
      </c>
      <c r="E1702">
        <v>43.304499999999997</v>
      </c>
    </row>
    <row r="1703" spans="3:5" x14ac:dyDescent="0.35">
      <c r="C1703">
        <f t="shared" si="27"/>
        <v>2016</v>
      </c>
      <c r="D1703" s="1">
        <v>42650</v>
      </c>
      <c r="E1703">
        <v>43.142600000000002</v>
      </c>
    </row>
    <row r="1704" spans="3:5" x14ac:dyDescent="0.35">
      <c r="C1704">
        <f t="shared" si="27"/>
        <v>2016</v>
      </c>
      <c r="D1704" s="1">
        <v>42654</v>
      </c>
      <c r="E1704">
        <v>43.348300000000002</v>
      </c>
    </row>
    <row r="1705" spans="3:5" x14ac:dyDescent="0.35">
      <c r="C1705">
        <f t="shared" si="27"/>
        <v>2016</v>
      </c>
      <c r="D1705" s="1">
        <v>42655</v>
      </c>
      <c r="E1705">
        <v>43.891800000000003</v>
      </c>
    </row>
    <row r="1706" spans="3:5" x14ac:dyDescent="0.35">
      <c r="C1706">
        <f t="shared" si="27"/>
        <v>2016</v>
      </c>
      <c r="D1706" s="1">
        <v>42656</v>
      </c>
      <c r="E1706">
        <v>43.616799999999998</v>
      </c>
    </row>
    <row r="1707" spans="3:5" x14ac:dyDescent="0.35">
      <c r="C1707">
        <f t="shared" si="27"/>
        <v>2016</v>
      </c>
      <c r="D1707" s="1">
        <v>42657</v>
      </c>
      <c r="E1707">
        <v>43.651600000000002</v>
      </c>
    </row>
    <row r="1708" spans="3:5" x14ac:dyDescent="0.35">
      <c r="C1708">
        <f t="shared" si="27"/>
        <v>2016</v>
      </c>
      <c r="D1708" s="1">
        <v>42660</v>
      </c>
      <c r="E1708">
        <v>44.184600000000003</v>
      </c>
    </row>
    <row r="1709" spans="3:5" x14ac:dyDescent="0.35">
      <c r="C1709">
        <f t="shared" si="27"/>
        <v>2016</v>
      </c>
      <c r="D1709" s="1">
        <v>42661</v>
      </c>
      <c r="E1709">
        <v>44.233699999999999</v>
      </c>
    </row>
    <row r="1710" spans="3:5" x14ac:dyDescent="0.35">
      <c r="C1710">
        <f t="shared" si="27"/>
        <v>2016</v>
      </c>
      <c r="D1710" s="1">
        <v>42662</v>
      </c>
      <c r="E1710">
        <v>44.314500000000002</v>
      </c>
    </row>
    <row r="1711" spans="3:5" x14ac:dyDescent="0.35">
      <c r="C1711">
        <f t="shared" si="27"/>
        <v>2016</v>
      </c>
      <c r="D1711" s="1">
        <v>42663</v>
      </c>
      <c r="E1711">
        <v>45.304499999999997</v>
      </c>
    </row>
    <row r="1712" spans="3:5" x14ac:dyDescent="0.35">
      <c r="C1712">
        <f t="shared" si="27"/>
        <v>2016</v>
      </c>
      <c r="D1712" s="1">
        <v>42664</v>
      </c>
      <c r="E1712">
        <v>44.808999999999997</v>
      </c>
    </row>
    <row r="1713" spans="3:5" x14ac:dyDescent="0.35">
      <c r="C1713">
        <f t="shared" si="27"/>
        <v>2016</v>
      </c>
      <c r="D1713" s="1">
        <v>42667</v>
      </c>
      <c r="E1713">
        <v>45.691899999999997</v>
      </c>
    </row>
    <row r="1714" spans="3:5" x14ac:dyDescent="0.35">
      <c r="C1714">
        <f t="shared" si="27"/>
        <v>2016</v>
      </c>
      <c r="D1714" s="1">
        <v>42668</v>
      </c>
      <c r="E1714">
        <v>44.595500000000001</v>
      </c>
    </row>
    <row r="1715" spans="3:5" x14ac:dyDescent="0.35">
      <c r="C1715">
        <f t="shared" si="27"/>
        <v>2016</v>
      </c>
      <c r="D1715" s="1">
        <v>42669</v>
      </c>
      <c r="E1715">
        <v>44.774700000000003</v>
      </c>
    </row>
    <row r="1716" spans="3:5" x14ac:dyDescent="0.35">
      <c r="C1716">
        <f t="shared" si="27"/>
        <v>2016</v>
      </c>
      <c r="D1716" s="1">
        <v>42670</v>
      </c>
      <c r="E1716">
        <v>43.881599999999999</v>
      </c>
    </row>
    <row r="1717" spans="3:5" x14ac:dyDescent="0.35">
      <c r="C1717">
        <f t="shared" si="27"/>
        <v>2016</v>
      </c>
      <c r="D1717" s="1">
        <v>42671</v>
      </c>
      <c r="E1717">
        <v>42.872</v>
      </c>
    </row>
    <row r="1718" spans="3:5" x14ac:dyDescent="0.35">
      <c r="C1718">
        <f t="shared" si="27"/>
        <v>2016</v>
      </c>
      <c r="D1718" s="1">
        <v>42674</v>
      </c>
      <c r="E1718">
        <v>42.839799999999997</v>
      </c>
    </row>
    <row r="1719" spans="3:5" x14ac:dyDescent="0.35">
      <c r="C1719">
        <f t="shared" si="27"/>
        <v>2016</v>
      </c>
      <c r="D1719" s="1">
        <v>42675</v>
      </c>
      <c r="E1719">
        <v>41.970700000000001</v>
      </c>
    </row>
    <row r="1720" spans="3:5" x14ac:dyDescent="0.35">
      <c r="C1720">
        <f t="shared" si="27"/>
        <v>2016</v>
      </c>
      <c r="D1720" s="1">
        <v>42676</v>
      </c>
      <c r="E1720">
        <v>41.283200000000001</v>
      </c>
    </row>
    <row r="1721" spans="3:5" x14ac:dyDescent="0.35">
      <c r="C1721">
        <f t="shared" si="27"/>
        <v>2016</v>
      </c>
      <c r="D1721" s="1">
        <v>42677</v>
      </c>
      <c r="E1721">
        <v>40.974200000000003</v>
      </c>
    </row>
    <row r="1722" spans="3:5" x14ac:dyDescent="0.35">
      <c r="C1722">
        <f t="shared" si="27"/>
        <v>2016</v>
      </c>
      <c r="D1722" s="1">
        <v>42678</v>
      </c>
      <c r="E1722">
        <v>38.918500000000002</v>
      </c>
    </row>
    <row r="1723" spans="3:5" x14ac:dyDescent="0.35">
      <c r="C1723">
        <f t="shared" si="27"/>
        <v>2016</v>
      </c>
      <c r="D1723" s="1">
        <v>42681</v>
      </c>
      <c r="E1723">
        <v>40.929600000000001</v>
      </c>
    </row>
    <row r="1724" spans="3:5" x14ac:dyDescent="0.35">
      <c r="C1724">
        <f t="shared" si="27"/>
        <v>2016</v>
      </c>
      <c r="D1724" s="1">
        <v>42682</v>
      </c>
      <c r="E1724">
        <v>40.714399999999998</v>
      </c>
    </row>
    <row r="1725" spans="3:5" x14ac:dyDescent="0.35">
      <c r="C1725">
        <f t="shared" si="27"/>
        <v>2016</v>
      </c>
      <c r="D1725" s="1">
        <v>42683</v>
      </c>
      <c r="E1725">
        <v>41.347999999999999</v>
      </c>
    </row>
    <row r="1726" spans="3:5" x14ac:dyDescent="0.35">
      <c r="C1726">
        <f t="shared" si="27"/>
        <v>2016</v>
      </c>
      <c r="D1726" s="1">
        <v>42684</v>
      </c>
      <c r="E1726">
        <v>40.209000000000003</v>
      </c>
    </row>
    <row r="1727" spans="3:5" x14ac:dyDescent="0.35">
      <c r="C1727">
        <f t="shared" si="27"/>
        <v>2016</v>
      </c>
      <c r="D1727" s="1">
        <v>42688</v>
      </c>
      <c r="E1727">
        <v>40.773200000000003</v>
      </c>
    </row>
    <row r="1728" spans="3:5" x14ac:dyDescent="0.35">
      <c r="C1728">
        <f t="shared" si="27"/>
        <v>2016</v>
      </c>
      <c r="D1728" s="1">
        <v>42689</v>
      </c>
      <c r="E1728">
        <v>40.400500000000001</v>
      </c>
    </row>
    <row r="1729" spans="3:5" x14ac:dyDescent="0.35">
      <c r="C1729">
        <f t="shared" si="27"/>
        <v>2016</v>
      </c>
      <c r="D1729" s="1">
        <v>42690</v>
      </c>
      <c r="E1729">
        <v>39.991799999999998</v>
      </c>
    </row>
    <row r="1730" spans="3:5" x14ac:dyDescent="0.35">
      <c r="C1730">
        <f t="shared" si="27"/>
        <v>2016</v>
      </c>
      <c r="D1730" s="1">
        <v>42691</v>
      </c>
      <c r="E1730">
        <v>39.597000000000001</v>
      </c>
    </row>
    <row r="1731" spans="3:5" x14ac:dyDescent="0.35">
      <c r="C1731">
        <f t="shared" ref="C1731:C1794" si="28">YEAR(D1731)</f>
        <v>2016</v>
      </c>
      <c r="D1731" s="1">
        <v>42692</v>
      </c>
      <c r="E1731">
        <v>39.348700000000001</v>
      </c>
    </row>
    <row r="1732" spans="3:5" x14ac:dyDescent="0.35">
      <c r="C1732">
        <f t="shared" si="28"/>
        <v>2016</v>
      </c>
      <c r="D1732" s="1">
        <v>42695</v>
      </c>
      <c r="E1732">
        <v>40.065199999999997</v>
      </c>
    </row>
    <row r="1733" spans="3:5" x14ac:dyDescent="0.35">
      <c r="C1733">
        <f t="shared" si="28"/>
        <v>2016</v>
      </c>
      <c r="D1733" s="1">
        <v>42696</v>
      </c>
      <c r="E1733">
        <v>39.939500000000002</v>
      </c>
    </row>
    <row r="1734" spans="3:5" x14ac:dyDescent="0.35">
      <c r="C1734">
        <f t="shared" si="28"/>
        <v>2016</v>
      </c>
      <c r="D1734" s="1">
        <v>42697</v>
      </c>
      <c r="E1734">
        <v>39.628900000000002</v>
      </c>
    </row>
    <row r="1735" spans="3:5" x14ac:dyDescent="0.35">
      <c r="C1735">
        <f t="shared" si="28"/>
        <v>2016</v>
      </c>
      <c r="D1735" s="1">
        <v>42699</v>
      </c>
      <c r="E1735">
        <v>38.4099</v>
      </c>
    </row>
    <row r="1736" spans="3:5" x14ac:dyDescent="0.35">
      <c r="C1736">
        <f t="shared" si="28"/>
        <v>2016</v>
      </c>
      <c r="D1736" s="1">
        <v>42702</v>
      </c>
      <c r="E1736">
        <v>38.1995</v>
      </c>
    </row>
    <row r="1737" spans="3:5" x14ac:dyDescent="0.35">
      <c r="C1737">
        <f t="shared" si="28"/>
        <v>2016</v>
      </c>
      <c r="D1737" s="1">
        <v>42703</v>
      </c>
      <c r="E1737">
        <v>38.076300000000003</v>
      </c>
    </row>
    <row r="1738" spans="3:5" x14ac:dyDescent="0.35">
      <c r="C1738">
        <f t="shared" si="28"/>
        <v>2016</v>
      </c>
      <c r="D1738" s="1">
        <v>42704</v>
      </c>
      <c r="E1738">
        <v>37.479500000000002</v>
      </c>
    </row>
    <row r="1739" spans="3:5" x14ac:dyDescent="0.35">
      <c r="C1739">
        <f t="shared" si="28"/>
        <v>2016</v>
      </c>
      <c r="D1739" s="1">
        <v>42705</v>
      </c>
      <c r="E1739">
        <v>35.924999999999997</v>
      </c>
    </row>
    <row r="1740" spans="3:5" x14ac:dyDescent="0.35">
      <c r="C1740">
        <f t="shared" si="28"/>
        <v>2016</v>
      </c>
      <c r="D1740" s="1">
        <v>42706</v>
      </c>
      <c r="E1740">
        <v>36.252000000000002</v>
      </c>
    </row>
    <row r="1741" spans="3:5" x14ac:dyDescent="0.35">
      <c r="C1741">
        <f t="shared" si="28"/>
        <v>2016</v>
      </c>
      <c r="D1741" s="1">
        <v>42709</v>
      </c>
      <c r="E1741">
        <v>35.226599999999998</v>
      </c>
    </row>
    <row r="1742" spans="3:5" x14ac:dyDescent="0.35">
      <c r="C1742">
        <f t="shared" si="28"/>
        <v>2016</v>
      </c>
      <c r="D1742" s="1">
        <v>42710</v>
      </c>
      <c r="E1742">
        <v>36.5672</v>
      </c>
    </row>
    <row r="1743" spans="3:5" x14ac:dyDescent="0.35">
      <c r="C1743">
        <f t="shared" si="28"/>
        <v>2016</v>
      </c>
      <c r="D1743" s="1">
        <v>42711</v>
      </c>
      <c r="E1743">
        <v>37.403500000000001</v>
      </c>
    </row>
    <row r="1744" spans="3:5" x14ac:dyDescent="0.35">
      <c r="C1744">
        <f t="shared" si="28"/>
        <v>2016</v>
      </c>
      <c r="D1744" s="1">
        <v>42712</v>
      </c>
      <c r="E1744">
        <v>37.977200000000003</v>
      </c>
    </row>
    <row r="1745" spans="3:5" x14ac:dyDescent="0.35">
      <c r="C1745">
        <f t="shared" si="28"/>
        <v>2016</v>
      </c>
      <c r="D1745" s="1">
        <v>42713</v>
      </c>
      <c r="E1745">
        <v>37.1661</v>
      </c>
    </row>
    <row r="1746" spans="3:5" x14ac:dyDescent="0.35">
      <c r="C1746">
        <f t="shared" si="28"/>
        <v>2016</v>
      </c>
      <c r="D1746" s="1">
        <v>42716</v>
      </c>
      <c r="E1746">
        <v>36.317700000000002</v>
      </c>
    </row>
    <row r="1747" spans="3:5" x14ac:dyDescent="0.35">
      <c r="C1747">
        <f t="shared" si="28"/>
        <v>2016</v>
      </c>
      <c r="D1747" s="1">
        <v>42717</v>
      </c>
      <c r="E1747">
        <v>37.291800000000002</v>
      </c>
    </row>
    <row r="1748" spans="3:5" x14ac:dyDescent="0.35">
      <c r="C1748">
        <f t="shared" si="28"/>
        <v>2016</v>
      </c>
      <c r="D1748" s="1">
        <v>42718</v>
      </c>
      <c r="E1748">
        <v>36.881300000000003</v>
      </c>
    </row>
    <row r="1749" spans="3:5" x14ac:dyDescent="0.35">
      <c r="C1749">
        <f t="shared" si="28"/>
        <v>2016</v>
      </c>
      <c r="D1749" s="1">
        <v>42719</v>
      </c>
      <c r="E1749">
        <v>38.7346</v>
      </c>
    </row>
    <row r="1750" spans="3:5" x14ac:dyDescent="0.35">
      <c r="C1750">
        <f t="shared" si="28"/>
        <v>2016</v>
      </c>
      <c r="D1750" s="1">
        <v>42720</v>
      </c>
      <c r="E1750">
        <v>38.583599999999997</v>
      </c>
    </row>
    <row r="1751" spans="3:5" x14ac:dyDescent="0.35">
      <c r="C1751">
        <f t="shared" si="28"/>
        <v>2016</v>
      </c>
      <c r="D1751" s="1">
        <v>42723</v>
      </c>
      <c r="E1751">
        <v>39.141300000000001</v>
      </c>
    </row>
    <row r="1752" spans="3:5" x14ac:dyDescent="0.35">
      <c r="C1752">
        <f t="shared" si="28"/>
        <v>2016</v>
      </c>
      <c r="D1752" s="1">
        <v>42724</v>
      </c>
      <c r="E1752">
        <v>39.371899999999997</v>
      </c>
    </row>
    <row r="1753" spans="3:5" x14ac:dyDescent="0.35">
      <c r="C1753">
        <f t="shared" si="28"/>
        <v>2016</v>
      </c>
      <c r="D1753" s="1">
        <v>42725</v>
      </c>
      <c r="E1753">
        <v>39.431899999999999</v>
      </c>
    </row>
    <row r="1754" spans="3:5" x14ac:dyDescent="0.35">
      <c r="C1754">
        <f t="shared" si="28"/>
        <v>2016</v>
      </c>
      <c r="D1754" s="1">
        <v>42726</v>
      </c>
      <c r="E1754">
        <v>39.192700000000002</v>
      </c>
    </row>
    <row r="1755" spans="3:5" x14ac:dyDescent="0.35">
      <c r="C1755">
        <f t="shared" si="28"/>
        <v>2016</v>
      </c>
      <c r="D1755" s="1">
        <v>42727</v>
      </c>
      <c r="E1755">
        <v>38.714100000000002</v>
      </c>
    </row>
    <row r="1756" spans="3:5" x14ac:dyDescent="0.35">
      <c r="C1756">
        <f t="shared" si="28"/>
        <v>2016</v>
      </c>
      <c r="D1756" s="1">
        <v>42731</v>
      </c>
      <c r="E1756">
        <v>38.556899999999999</v>
      </c>
    </row>
    <row r="1757" spans="3:5" x14ac:dyDescent="0.35">
      <c r="C1757">
        <f t="shared" si="28"/>
        <v>2016</v>
      </c>
      <c r="D1757" s="1">
        <v>42732</v>
      </c>
      <c r="E1757">
        <v>39.066000000000003</v>
      </c>
    </row>
    <row r="1758" spans="3:5" x14ac:dyDescent="0.35">
      <c r="C1758">
        <f t="shared" si="28"/>
        <v>2016</v>
      </c>
      <c r="D1758" s="1">
        <v>42733</v>
      </c>
      <c r="E1758">
        <v>38.268300000000004</v>
      </c>
    </row>
    <row r="1759" spans="3:5" x14ac:dyDescent="0.35">
      <c r="C1759">
        <f t="shared" si="28"/>
        <v>2016</v>
      </c>
      <c r="D1759" s="1">
        <v>42734</v>
      </c>
      <c r="E1759">
        <v>38.521500000000003</v>
      </c>
    </row>
    <row r="1760" spans="3:5" x14ac:dyDescent="0.35">
      <c r="C1760">
        <f t="shared" si="28"/>
        <v>2017</v>
      </c>
      <c r="D1760" s="1">
        <v>42738</v>
      </c>
      <c r="E1760">
        <v>36.930500000000002</v>
      </c>
    </row>
    <row r="1761" spans="3:5" x14ac:dyDescent="0.35">
      <c r="C1761">
        <f t="shared" si="28"/>
        <v>2017</v>
      </c>
      <c r="D1761" s="1">
        <v>42739</v>
      </c>
      <c r="E1761">
        <v>35.8596</v>
      </c>
    </row>
    <row r="1762" spans="3:5" x14ac:dyDescent="0.35">
      <c r="C1762">
        <f t="shared" si="28"/>
        <v>2017</v>
      </c>
      <c r="D1762" s="1">
        <v>42740</v>
      </c>
      <c r="E1762">
        <v>36.637700000000002</v>
      </c>
    </row>
    <row r="1763" spans="3:5" x14ac:dyDescent="0.35">
      <c r="C1763">
        <f t="shared" si="28"/>
        <v>2017</v>
      </c>
      <c r="D1763" s="1">
        <v>42741</v>
      </c>
      <c r="E1763">
        <v>36.502299999999998</v>
      </c>
    </row>
    <row r="1764" spans="3:5" x14ac:dyDescent="0.35">
      <c r="C1764">
        <f t="shared" si="28"/>
        <v>2017</v>
      </c>
      <c r="D1764" s="1">
        <v>42744</v>
      </c>
      <c r="E1764">
        <v>35.235399999999998</v>
      </c>
    </row>
    <row r="1765" spans="3:5" x14ac:dyDescent="0.35">
      <c r="C1765">
        <f t="shared" si="28"/>
        <v>2017</v>
      </c>
      <c r="D1765" s="1">
        <v>42745</v>
      </c>
      <c r="E1765">
        <v>34.208500000000001</v>
      </c>
    </row>
    <row r="1766" spans="3:5" x14ac:dyDescent="0.35">
      <c r="C1766">
        <f t="shared" si="28"/>
        <v>2017</v>
      </c>
      <c r="D1766" s="1">
        <v>42746</v>
      </c>
      <c r="E1766">
        <v>33.013100000000001</v>
      </c>
    </row>
    <row r="1767" spans="3:5" x14ac:dyDescent="0.35">
      <c r="C1767">
        <f t="shared" si="28"/>
        <v>2017</v>
      </c>
      <c r="D1767" s="1">
        <v>42747</v>
      </c>
      <c r="E1767">
        <v>33.282200000000003</v>
      </c>
    </row>
    <row r="1768" spans="3:5" x14ac:dyDescent="0.35">
      <c r="C1768">
        <f t="shared" si="28"/>
        <v>2017</v>
      </c>
      <c r="D1768" s="1">
        <v>42748</v>
      </c>
      <c r="E1768">
        <v>34.640799999999999</v>
      </c>
    </row>
    <row r="1769" spans="3:5" x14ac:dyDescent="0.35">
      <c r="C1769">
        <f t="shared" si="28"/>
        <v>2017</v>
      </c>
      <c r="D1769" s="1">
        <v>42752</v>
      </c>
      <c r="E1769">
        <v>34.8598</v>
      </c>
    </row>
    <row r="1770" spans="3:5" x14ac:dyDescent="0.35">
      <c r="C1770">
        <f t="shared" si="28"/>
        <v>2017</v>
      </c>
      <c r="D1770" s="1">
        <v>42753</v>
      </c>
      <c r="E1770">
        <v>35.640799999999999</v>
      </c>
    </row>
    <row r="1771" spans="3:5" x14ac:dyDescent="0.35">
      <c r="C1771">
        <f t="shared" si="28"/>
        <v>2017</v>
      </c>
      <c r="D1771" s="1">
        <v>42754</v>
      </c>
      <c r="E1771">
        <v>35.040900000000001</v>
      </c>
    </row>
    <row r="1772" spans="3:5" x14ac:dyDescent="0.35">
      <c r="C1772">
        <f t="shared" si="28"/>
        <v>2017</v>
      </c>
      <c r="D1772" s="1">
        <v>42755</v>
      </c>
      <c r="E1772">
        <v>35.025399999999998</v>
      </c>
    </row>
    <row r="1773" spans="3:5" x14ac:dyDescent="0.35">
      <c r="C1773">
        <f t="shared" si="28"/>
        <v>2017</v>
      </c>
      <c r="D1773" s="1">
        <v>42758</v>
      </c>
      <c r="E1773">
        <v>35.352600000000002</v>
      </c>
    </row>
    <row r="1774" spans="3:5" x14ac:dyDescent="0.35">
      <c r="C1774">
        <f t="shared" si="28"/>
        <v>2017</v>
      </c>
      <c r="D1774" s="1">
        <v>42759</v>
      </c>
      <c r="E1774">
        <v>37.646700000000003</v>
      </c>
    </row>
    <row r="1775" spans="3:5" x14ac:dyDescent="0.35">
      <c r="C1775">
        <f t="shared" si="28"/>
        <v>2017</v>
      </c>
      <c r="D1775" s="1">
        <v>42760</v>
      </c>
      <c r="E1775">
        <v>36.817999999999998</v>
      </c>
    </row>
    <row r="1776" spans="3:5" x14ac:dyDescent="0.35">
      <c r="C1776">
        <f t="shared" si="28"/>
        <v>2017</v>
      </c>
      <c r="D1776" s="1">
        <v>42761</v>
      </c>
      <c r="E1776">
        <v>37.311999999999998</v>
      </c>
    </row>
    <row r="1777" spans="3:5" x14ac:dyDescent="0.35">
      <c r="C1777">
        <f t="shared" si="28"/>
        <v>2017</v>
      </c>
      <c r="D1777" s="1">
        <v>42762</v>
      </c>
      <c r="E1777">
        <v>36.286499999999997</v>
      </c>
    </row>
    <row r="1778" spans="3:5" x14ac:dyDescent="0.35">
      <c r="C1778">
        <f t="shared" si="28"/>
        <v>2017</v>
      </c>
      <c r="D1778" s="1">
        <v>42765</v>
      </c>
      <c r="E1778">
        <v>37.739600000000003</v>
      </c>
    </row>
    <row r="1779" spans="3:5" x14ac:dyDescent="0.35">
      <c r="C1779">
        <f t="shared" si="28"/>
        <v>2017</v>
      </c>
      <c r="D1779" s="1">
        <v>42766</v>
      </c>
      <c r="E1779">
        <v>37.755699999999997</v>
      </c>
    </row>
    <row r="1780" spans="3:5" x14ac:dyDescent="0.35">
      <c r="C1780">
        <f t="shared" si="28"/>
        <v>2017</v>
      </c>
      <c r="D1780" s="1">
        <v>42767</v>
      </c>
      <c r="E1780">
        <v>38.6389</v>
      </c>
    </row>
    <row r="1781" spans="3:5" x14ac:dyDescent="0.35">
      <c r="C1781">
        <f t="shared" si="28"/>
        <v>2017</v>
      </c>
      <c r="D1781" s="1">
        <v>42768</v>
      </c>
      <c r="E1781">
        <v>38.499299999999998</v>
      </c>
    </row>
    <row r="1782" spans="3:5" x14ac:dyDescent="0.35">
      <c r="C1782">
        <f t="shared" si="28"/>
        <v>2017</v>
      </c>
      <c r="D1782" s="1">
        <v>42769</v>
      </c>
      <c r="E1782">
        <v>38.823799999999999</v>
      </c>
    </row>
    <row r="1783" spans="3:5" x14ac:dyDescent="0.35">
      <c r="C1783">
        <f t="shared" si="28"/>
        <v>2017</v>
      </c>
      <c r="D1783" s="1">
        <v>42772</v>
      </c>
      <c r="E1783">
        <v>38.264200000000002</v>
      </c>
    </row>
    <row r="1784" spans="3:5" x14ac:dyDescent="0.35">
      <c r="C1784">
        <f t="shared" si="28"/>
        <v>2017</v>
      </c>
      <c r="D1784" s="1">
        <v>42773</v>
      </c>
      <c r="E1784">
        <v>38.003700000000002</v>
      </c>
    </row>
    <row r="1785" spans="3:5" x14ac:dyDescent="0.35">
      <c r="C1785">
        <f t="shared" si="28"/>
        <v>2017</v>
      </c>
      <c r="D1785" s="1">
        <v>42774</v>
      </c>
      <c r="E1785">
        <v>38.631799999999998</v>
      </c>
    </row>
    <row r="1786" spans="3:5" x14ac:dyDescent="0.35">
      <c r="C1786">
        <f t="shared" si="28"/>
        <v>2017</v>
      </c>
      <c r="D1786" s="1">
        <v>42775</v>
      </c>
      <c r="E1786">
        <v>39.024999999999999</v>
      </c>
    </row>
    <row r="1787" spans="3:5" x14ac:dyDescent="0.35">
      <c r="C1787">
        <f t="shared" si="28"/>
        <v>2017</v>
      </c>
      <c r="D1787" s="1">
        <v>42776</v>
      </c>
      <c r="E1787">
        <v>38.163200000000003</v>
      </c>
    </row>
    <row r="1788" spans="3:5" x14ac:dyDescent="0.35">
      <c r="C1788">
        <f t="shared" si="28"/>
        <v>2017</v>
      </c>
      <c r="D1788" s="1">
        <v>42779</v>
      </c>
      <c r="E1788">
        <v>39.420699999999997</v>
      </c>
    </row>
    <row r="1789" spans="3:5" x14ac:dyDescent="0.35">
      <c r="C1789">
        <f t="shared" si="28"/>
        <v>2017</v>
      </c>
      <c r="D1789" s="1">
        <v>42780</v>
      </c>
      <c r="E1789">
        <v>39.739899999999999</v>
      </c>
    </row>
    <row r="1790" spans="3:5" x14ac:dyDescent="0.35">
      <c r="C1790">
        <f t="shared" si="28"/>
        <v>2017</v>
      </c>
      <c r="D1790" s="1">
        <v>42781</v>
      </c>
      <c r="E1790">
        <v>39</v>
      </c>
    </row>
    <row r="1791" spans="3:5" x14ac:dyDescent="0.35">
      <c r="C1791">
        <f t="shared" si="28"/>
        <v>2017</v>
      </c>
      <c r="D1791" s="1">
        <v>42782</v>
      </c>
      <c r="E1791">
        <v>38.971200000000003</v>
      </c>
    </row>
    <row r="1792" spans="3:5" x14ac:dyDescent="0.35">
      <c r="C1792">
        <f t="shared" si="28"/>
        <v>2017</v>
      </c>
      <c r="D1792" s="1">
        <v>42783</v>
      </c>
      <c r="E1792">
        <v>39.1297</v>
      </c>
    </row>
    <row r="1793" spans="3:5" x14ac:dyDescent="0.35">
      <c r="C1793">
        <f t="shared" si="28"/>
        <v>2017</v>
      </c>
      <c r="D1793" s="1">
        <v>42787</v>
      </c>
      <c r="E1793">
        <v>39.677</v>
      </c>
    </row>
    <row r="1794" spans="3:5" x14ac:dyDescent="0.35">
      <c r="C1794">
        <f t="shared" si="28"/>
        <v>2017</v>
      </c>
      <c r="D1794" s="1">
        <v>42788</v>
      </c>
      <c r="E1794">
        <v>39.764800000000001</v>
      </c>
    </row>
    <row r="1795" spans="3:5" x14ac:dyDescent="0.35">
      <c r="C1795">
        <f t="shared" ref="C1795:C1858" si="29">YEAR(D1795)</f>
        <v>2017</v>
      </c>
      <c r="D1795" s="1">
        <v>42789</v>
      </c>
      <c r="E1795">
        <v>39.861699999999999</v>
      </c>
    </row>
    <row r="1796" spans="3:5" x14ac:dyDescent="0.35">
      <c r="C1796">
        <f t="shared" si="29"/>
        <v>2017</v>
      </c>
      <c r="D1796" s="1">
        <v>42790</v>
      </c>
      <c r="E1796">
        <v>39.1828</v>
      </c>
    </row>
    <row r="1797" spans="3:5" x14ac:dyDescent="0.35">
      <c r="C1797">
        <f t="shared" si="29"/>
        <v>2017</v>
      </c>
      <c r="D1797" s="1">
        <v>42793</v>
      </c>
      <c r="E1797">
        <v>38.077199999999998</v>
      </c>
    </row>
    <row r="1798" spans="3:5" x14ac:dyDescent="0.35">
      <c r="C1798">
        <f t="shared" si="29"/>
        <v>2017</v>
      </c>
      <c r="D1798" s="1">
        <v>42794</v>
      </c>
      <c r="E1798">
        <v>37.588500000000003</v>
      </c>
    </row>
    <row r="1799" spans="3:5" x14ac:dyDescent="0.35">
      <c r="C1799">
        <f t="shared" si="29"/>
        <v>2017</v>
      </c>
      <c r="D1799" s="1">
        <v>42795</v>
      </c>
      <c r="E1799">
        <v>38.838799999999999</v>
      </c>
    </row>
    <row r="1800" spans="3:5" x14ac:dyDescent="0.35">
      <c r="C1800">
        <f t="shared" si="29"/>
        <v>2017</v>
      </c>
      <c r="D1800" s="1">
        <v>42796</v>
      </c>
      <c r="E1800">
        <v>39.492800000000003</v>
      </c>
    </row>
    <row r="1801" spans="3:5" x14ac:dyDescent="0.35">
      <c r="C1801">
        <f t="shared" si="29"/>
        <v>2017</v>
      </c>
      <c r="D1801" s="1">
        <v>42797</v>
      </c>
      <c r="E1801">
        <v>38.818600000000004</v>
      </c>
    </row>
    <row r="1802" spans="3:5" x14ac:dyDescent="0.35">
      <c r="C1802">
        <f t="shared" si="29"/>
        <v>2017</v>
      </c>
      <c r="D1802" s="1">
        <v>42800</v>
      </c>
      <c r="E1802">
        <v>39.028100000000002</v>
      </c>
    </row>
    <row r="1803" spans="3:5" x14ac:dyDescent="0.35">
      <c r="C1803">
        <f t="shared" si="29"/>
        <v>2017</v>
      </c>
      <c r="D1803" s="1">
        <v>42801</v>
      </c>
      <c r="E1803">
        <v>39.0167</v>
      </c>
    </row>
    <row r="1804" spans="3:5" x14ac:dyDescent="0.35">
      <c r="C1804">
        <f t="shared" si="29"/>
        <v>2017</v>
      </c>
      <c r="D1804" s="1">
        <v>42802</v>
      </c>
      <c r="E1804">
        <v>38.970399999999998</v>
      </c>
    </row>
    <row r="1805" spans="3:5" x14ac:dyDescent="0.35">
      <c r="C1805">
        <f t="shared" si="29"/>
        <v>2017</v>
      </c>
      <c r="D1805" s="1">
        <v>42803</v>
      </c>
      <c r="E1805">
        <v>38.0687</v>
      </c>
    </row>
    <row r="1806" spans="3:5" x14ac:dyDescent="0.35">
      <c r="C1806">
        <f t="shared" si="29"/>
        <v>2017</v>
      </c>
      <c r="D1806" s="1">
        <v>42804</v>
      </c>
      <c r="E1806">
        <v>38.514200000000002</v>
      </c>
    </row>
    <row r="1807" spans="3:5" x14ac:dyDescent="0.35">
      <c r="C1807">
        <f t="shared" si="29"/>
        <v>2017</v>
      </c>
      <c r="D1807" s="1">
        <v>42807</v>
      </c>
      <c r="E1807">
        <v>39.0807</v>
      </c>
    </row>
    <row r="1808" spans="3:5" x14ac:dyDescent="0.35">
      <c r="C1808">
        <f t="shared" si="29"/>
        <v>2017</v>
      </c>
      <c r="D1808" s="1">
        <v>42808</v>
      </c>
      <c r="E1808">
        <v>40.191000000000003</v>
      </c>
    </row>
    <row r="1809" spans="3:5" x14ac:dyDescent="0.35">
      <c r="C1809">
        <f t="shared" si="29"/>
        <v>2017</v>
      </c>
      <c r="D1809" s="1">
        <v>42809</v>
      </c>
      <c r="E1809">
        <v>40.6021</v>
      </c>
    </row>
    <row r="1810" spans="3:5" x14ac:dyDescent="0.35">
      <c r="C1810">
        <f t="shared" si="29"/>
        <v>2017</v>
      </c>
      <c r="D1810" s="1">
        <v>42810</v>
      </c>
      <c r="E1810">
        <v>40.862699999999997</v>
      </c>
    </row>
    <row r="1811" spans="3:5" x14ac:dyDescent="0.35">
      <c r="C1811">
        <f t="shared" si="29"/>
        <v>2017</v>
      </c>
      <c r="D1811" s="1">
        <v>42811</v>
      </c>
      <c r="E1811">
        <v>41.059199999999997</v>
      </c>
    </row>
    <row r="1812" spans="3:5" x14ac:dyDescent="0.35">
      <c r="C1812">
        <f t="shared" si="29"/>
        <v>2017</v>
      </c>
      <c r="D1812" s="1">
        <v>42814</v>
      </c>
      <c r="E1812">
        <v>41.0655</v>
      </c>
    </row>
    <row r="1813" spans="3:5" x14ac:dyDescent="0.35">
      <c r="C1813">
        <f t="shared" si="29"/>
        <v>2017</v>
      </c>
      <c r="D1813" s="1">
        <v>42815</v>
      </c>
      <c r="E1813">
        <v>39.542499999999997</v>
      </c>
    </row>
    <row r="1814" spans="3:5" x14ac:dyDescent="0.35">
      <c r="C1814">
        <f t="shared" si="29"/>
        <v>2017</v>
      </c>
      <c r="D1814" s="1">
        <v>42816</v>
      </c>
      <c r="E1814">
        <v>37.697400000000002</v>
      </c>
    </row>
    <row r="1815" spans="3:5" x14ac:dyDescent="0.35">
      <c r="C1815">
        <f t="shared" si="29"/>
        <v>2017</v>
      </c>
      <c r="D1815" s="1">
        <v>42817</v>
      </c>
      <c r="E1815">
        <v>37.875399999999999</v>
      </c>
    </row>
    <row r="1816" spans="3:5" x14ac:dyDescent="0.35">
      <c r="C1816">
        <f t="shared" si="29"/>
        <v>2017</v>
      </c>
      <c r="D1816" s="1">
        <v>42818</v>
      </c>
      <c r="E1816">
        <v>37.931199999999997</v>
      </c>
    </row>
    <row r="1817" spans="3:5" x14ac:dyDescent="0.35">
      <c r="C1817">
        <f t="shared" si="29"/>
        <v>2017</v>
      </c>
      <c r="D1817" s="1">
        <v>42821</v>
      </c>
      <c r="E1817">
        <v>38.1113</v>
      </c>
    </row>
    <row r="1818" spans="3:5" x14ac:dyDescent="0.35">
      <c r="C1818">
        <f t="shared" si="29"/>
        <v>2017</v>
      </c>
      <c r="D1818" s="1">
        <v>42822</v>
      </c>
      <c r="E1818">
        <v>38.039499999999997</v>
      </c>
    </row>
    <row r="1819" spans="3:5" x14ac:dyDescent="0.35">
      <c r="C1819">
        <f t="shared" si="29"/>
        <v>2017</v>
      </c>
      <c r="D1819" s="1">
        <v>42823</v>
      </c>
      <c r="E1819">
        <v>37.054499999999997</v>
      </c>
    </row>
    <row r="1820" spans="3:5" x14ac:dyDescent="0.35">
      <c r="C1820">
        <f t="shared" si="29"/>
        <v>2017</v>
      </c>
      <c r="D1820" s="1">
        <v>42824</v>
      </c>
      <c r="E1820">
        <v>37.504600000000003</v>
      </c>
    </row>
    <row r="1821" spans="3:5" x14ac:dyDescent="0.35">
      <c r="C1821">
        <f t="shared" si="29"/>
        <v>2017</v>
      </c>
      <c r="D1821" s="1">
        <v>42825</v>
      </c>
      <c r="E1821">
        <v>37.326900000000002</v>
      </c>
    </row>
    <row r="1822" spans="3:5" x14ac:dyDescent="0.35">
      <c r="C1822">
        <f t="shared" si="29"/>
        <v>2017</v>
      </c>
      <c r="D1822" s="1">
        <v>42828</v>
      </c>
      <c r="E1822">
        <v>37.007599999999996</v>
      </c>
    </row>
    <row r="1823" spans="3:5" x14ac:dyDescent="0.35">
      <c r="C1823">
        <f t="shared" si="29"/>
        <v>2017</v>
      </c>
      <c r="D1823" s="1">
        <v>42829</v>
      </c>
      <c r="E1823">
        <v>37.404699999999998</v>
      </c>
    </row>
    <row r="1824" spans="3:5" x14ac:dyDescent="0.35">
      <c r="C1824">
        <f t="shared" si="29"/>
        <v>2017</v>
      </c>
      <c r="D1824" s="1">
        <v>42830</v>
      </c>
      <c r="E1824">
        <v>37.2149</v>
      </c>
    </row>
    <row r="1825" spans="3:5" x14ac:dyDescent="0.35">
      <c r="C1825">
        <f t="shared" si="29"/>
        <v>2017</v>
      </c>
      <c r="D1825" s="1">
        <v>42831</v>
      </c>
      <c r="E1825">
        <v>36.604300000000002</v>
      </c>
    </row>
    <row r="1826" spans="3:5" x14ac:dyDescent="0.35">
      <c r="C1826">
        <f t="shared" si="29"/>
        <v>2017</v>
      </c>
      <c r="D1826" s="1">
        <v>42832</v>
      </c>
      <c r="E1826">
        <v>36.340499999999999</v>
      </c>
    </row>
    <row r="1827" spans="3:5" x14ac:dyDescent="0.35">
      <c r="C1827">
        <f t="shared" si="29"/>
        <v>2017</v>
      </c>
      <c r="D1827" s="1">
        <v>42835</v>
      </c>
      <c r="E1827">
        <v>37.277999999999999</v>
      </c>
    </row>
    <row r="1828" spans="3:5" x14ac:dyDescent="0.35">
      <c r="C1828">
        <f t="shared" si="29"/>
        <v>2017</v>
      </c>
      <c r="D1828" s="1">
        <v>42836</v>
      </c>
      <c r="E1828">
        <v>36.424100000000003</v>
      </c>
    </row>
    <row r="1829" spans="3:5" x14ac:dyDescent="0.35">
      <c r="C1829">
        <f t="shared" si="29"/>
        <v>2017</v>
      </c>
      <c r="D1829" s="1">
        <v>42837</v>
      </c>
      <c r="E1829">
        <v>36.700200000000002</v>
      </c>
    </row>
    <row r="1830" spans="3:5" x14ac:dyDescent="0.35">
      <c r="C1830">
        <f t="shared" si="29"/>
        <v>2017</v>
      </c>
      <c r="D1830" s="1">
        <v>42838</v>
      </c>
      <c r="E1830">
        <v>36.1462</v>
      </c>
    </row>
    <row r="1831" spans="3:5" x14ac:dyDescent="0.35">
      <c r="C1831">
        <f t="shared" si="29"/>
        <v>2017</v>
      </c>
      <c r="D1831" s="1">
        <v>42842</v>
      </c>
      <c r="E1831">
        <v>36.690899999999999</v>
      </c>
    </row>
    <row r="1832" spans="3:5" x14ac:dyDescent="0.35">
      <c r="C1832">
        <f t="shared" si="29"/>
        <v>2017</v>
      </c>
      <c r="D1832" s="1">
        <v>42843</v>
      </c>
      <c r="E1832">
        <v>36.110300000000002</v>
      </c>
    </row>
    <row r="1833" spans="3:5" x14ac:dyDescent="0.35">
      <c r="C1833">
        <f t="shared" si="29"/>
        <v>2017</v>
      </c>
      <c r="D1833" s="1">
        <v>42844</v>
      </c>
      <c r="E1833">
        <v>36.588099999999997</v>
      </c>
    </row>
    <row r="1834" spans="3:5" x14ac:dyDescent="0.35">
      <c r="C1834">
        <f t="shared" si="29"/>
        <v>2017</v>
      </c>
      <c r="D1834" s="1">
        <v>42845</v>
      </c>
      <c r="E1834">
        <v>36.938699999999997</v>
      </c>
    </row>
    <row r="1835" spans="3:5" x14ac:dyDescent="0.35">
      <c r="C1835">
        <f t="shared" si="29"/>
        <v>2017</v>
      </c>
      <c r="D1835" s="1">
        <v>42846</v>
      </c>
      <c r="E1835">
        <v>37.625500000000002</v>
      </c>
    </row>
    <row r="1836" spans="3:5" x14ac:dyDescent="0.35">
      <c r="C1836">
        <f t="shared" si="29"/>
        <v>2017</v>
      </c>
      <c r="D1836" s="1">
        <v>42849</v>
      </c>
      <c r="E1836">
        <v>39.950000000000003</v>
      </c>
    </row>
    <row r="1837" spans="3:5" x14ac:dyDescent="0.35">
      <c r="C1837">
        <f t="shared" si="29"/>
        <v>2017</v>
      </c>
      <c r="D1837" s="1">
        <v>42850</v>
      </c>
      <c r="E1837">
        <v>40.694899999999997</v>
      </c>
    </row>
    <row r="1838" spans="3:5" x14ac:dyDescent="0.35">
      <c r="C1838">
        <f t="shared" si="29"/>
        <v>2017</v>
      </c>
      <c r="D1838" s="1">
        <v>42851</v>
      </c>
      <c r="E1838">
        <v>42.018700000000003</v>
      </c>
    </row>
    <row r="1839" spans="3:5" x14ac:dyDescent="0.35">
      <c r="C1839">
        <f t="shared" si="29"/>
        <v>2017</v>
      </c>
      <c r="D1839" s="1">
        <v>42852</v>
      </c>
      <c r="E1839">
        <v>41.771900000000002</v>
      </c>
    </row>
    <row r="1840" spans="3:5" x14ac:dyDescent="0.35">
      <c r="C1840">
        <f t="shared" si="29"/>
        <v>2017</v>
      </c>
      <c r="D1840" s="1">
        <v>42853</v>
      </c>
      <c r="E1840">
        <v>41.779299999999999</v>
      </c>
    </row>
    <row r="1841" spans="3:5" x14ac:dyDescent="0.35">
      <c r="C1841">
        <f t="shared" si="29"/>
        <v>2017</v>
      </c>
      <c r="D1841" s="1">
        <v>42856</v>
      </c>
      <c r="E1841">
        <v>42.329599999999999</v>
      </c>
    </row>
    <row r="1842" spans="3:5" x14ac:dyDescent="0.35">
      <c r="C1842">
        <f t="shared" si="29"/>
        <v>2017</v>
      </c>
      <c r="D1842" s="1">
        <v>42857</v>
      </c>
      <c r="E1842">
        <v>42.335000000000001</v>
      </c>
    </row>
    <row r="1843" spans="3:5" x14ac:dyDescent="0.35">
      <c r="C1843">
        <f t="shared" si="29"/>
        <v>2017</v>
      </c>
      <c r="D1843" s="1">
        <v>42858</v>
      </c>
      <c r="E1843">
        <v>43.284199999999998</v>
      </c>
    </row>
    <row r="1844" spans="3:5" x14ac:dyDescent="0.35">
      <c r="C1844">
        <f t="shared" si="29"/>
        <v>2017</v>
      </c>
      <c r="D1844" s="1">
        <v>42859</v>
      </c>
      <c r="E1844">
        <v>44.062399999999997</v>
      </c>
    </row>
    <row r="1845" spans="3:5" x14ac:dyDescent="0.35">
      <c r="C1845">
        <f t="shared" si="29"/>
        <v>2017</v>
      </c>
      <c r="D1845" s="1">
        <v>42860</v>
      </c>
      <c r="E1845">
        <v>43.804900000000004</v>
      </c>
    </row>
    <row r="1846" spans="3:5" x14ac:dyDescent="0.35">
      <c r="C1846">
        <f t="shared" si="29"/>
        <v>2017</v>
      </c>
      <c r="D1846" s="1">
        <v>42863</v>
      </c>
      <c r="E1846">
        <v>46.102200000000003</v>
      </c>
    </row>
    <row r="1847" spans="3:5" x14ac:dyDescent="0.35">
      <c r="C1847">
        <f t="shared" si="29"/>
        <v>2017</v>
      </c>
      <c r="D1847" s="1">
        <v>42864</v>
      </c>
      <c r="E1847">
        <v>46.018099999999997</v>
      </c>
    </row>
    <row r="1848" spans="3:5" x14ac:dyDescent="0.35">
      <c r="C1848">
        <f t="shared" si="29"/>
        <v>2017</v>
      </c>
      <c r="D1848" s="1">
        <v>42865</v>
      </c>
      <c r="E1848">
        <v>46.904800000000002</v>
      </c>
    </row>
    <row r="1849" spans="3:5" x14ac:dyDescent="0.35">
      <c r="C1849">
        <f t="shared" si="29"/>
        <v>2017</v>
      </c>
      <c r="D1849" s="1">
        <v>42866</v>
      </c>
      <c r="E1849">
        <v>46.136699999999998</v>
      </c>
    </row>
    <row r="1850" spans="3:5" x14ac:dyDescent="0.35">
      <c r="C1850">
        <f t="shared" si="29"/>
        <v>2017</v>
      </c>
      <c r="D1850" s="1">
        <v>42867</v>
      </c>
      <c r="E1850">
        <v>46.0899</v>
      </c>
    </row>
    <row r="1851" spans="3:5" x14ac:dyDescent="0.35">
      <c r="C1851">
        <f t="shared" si="29"/>
        <v>2017</v>
      </c>
      <c r="D1851" s="1">
        <v>42870</v>
      </c>
      <c r="E1851">
        <v>47.196800000000003</v>
      </c>
    </row>
    <row r="1852" spans="3:5" x14ac:dyDescent="0.35">
      <c r="C1852">
        <f t="shared" si="29"/>
        <v>2017</v>
      </c>
      <c r="D1852" s="1">
        <v>42871</v>
      </c>
      <c r="E1852">
        <v>47.718499999999999</v>
      </c>
    </row>
    <row r="1853" spans="3:5" x14ac:dyDescent="0.35">
      <c r="C1853">
        <f t="shared" si="29"/>
        <v>2017</v>
      </c>
      <c r="D1853" s="1">
        <v>42872</v>
      </c>
      <c r="E1853">
        <v>47.279400000000003</v>
      </c>
    </row>
    <row r="1854" spans="3:5" x14ac:dyDescent="0.35">
      <c r="C1854">
        <f t="shared" si="29"/>
        <v>2017</v>
      </c>
      <c r="D1854" s="1">
        <v>42873</v>
      </c>
      <c r="E1854">
        <v>46.383899999999997</v>
      </c>
    </row>
    <row r="1855" spans="3:5" x14ac:dyDescent="0.35">
      <c r="C1855">
        <f t="shared" si="29"/>
        <v>2017</v>
      </c>
      <c r="D1855" s="1">
        <v>42874</v>
      </c>
      <c r="E1855">
        <v>45.854700000000001</v>
      </c>
    </row>
    <row r="1856" spans="3:5" x14ac:dyDescent="0.35">
      <c r="C1856">
        <f t="shared" si="29"/>
        <v>2017</v>
      </c>
      <c r="D1856" s="1">
        <v>42877</v>
      </c>
      <c r="E1856">
        <v>47.264200000000002</v>
      </c>
    </row>
    <row r="1857" spans="3:5" x14ac:dyDescent="0.35">
      <c r="C1857">
        <f t="shared" si="29"/>
        <v>2017</v>
      </c>
      <c r="D1857" s="1">
        <v>42878</v>
      </c>
      <c r="E1857">
        <v>49.215200000000003</v>
      </c>
    </row>
    <row r="1858" spans="3:5" x14ac:dyDescent="0.35">
      <c r="C1858">
        <f t="shared" si="29"/>
        <v>2017</v>
      </c>
      <c r="D1858" s="1">
        <v>42879</v>
      </c>
      <c r="E1858">
        <v>49.617699999999999</v>
      </c>
    </row>
    <row r="1859" spans="3:5" x14ac:dyDescent="0.35">
      <c r="C1859">
        <f t="shared" ref="C1859:C1922" si="30">YEAR(D1859)</f>
        <v>2017</v>
      </c>
      <c r="D1859" s="1">
        <v>42880</v>
      </c>
      <c r="E1859">
        <v>50.739899999999999</v>
      </c>
    </row>
    <row r="1860" spans="3:5" x14ac:dyDescent="0.35">
      <c r="C1860">
        <f t="shared" si="30"/>
        <v>2017</v>
      </c>
      <c r="D1860" s="1">
        <v>42881</v>
      </c>
      <c r="E1860">
        <v>50.0747</v>
      </c>
    </row>
    <row r="1861" spans="3:5" x14ac:dyDescent="0.35">
      <c r="C1861">
        <f t="shared" si="30"/>
        <v>2017</v>
      </c>
      <c r="D1861" s="1">
        <v>42885</v>
      </c>
      <c r="E1861">
        <v>49.837800000000001</v>
      </c>
    </row>
    <row r="1862" spans="3:5" x14ac:dyDescent="0.35">
      <c r="C1862">
        <f t="shared" si="30"/>
        <v>2017</v>
      </c>
      <c r="D1862" s="1">
        <v>42886</v>
      </c>
      <c r="E1862">
        <v>49.834099999999999</v>
      </c>
    </row>
    <row r="1863" spans="3:5" x14ac:dyDescent="0.35">
      <c r="C1863">
        <f t="shared" si="30"/>
        <v>2017</v>
      </c>
      <c r="D1863" s="1">
        <v>42887</v>
      </c>
      <c r="E1863">
        <v>49.749099999999999</v>
      </c>
    </row>
    <row r="1864" spans="3:5" x14ac:dyDescent="0.35">
      <c r="C1864">
        <f t="shared" si="30"/>
        <v>2017</v>
      </c>
      <c r="D1864" s="1">
        <v>42888</v>
      </c>
      <c r="E1864">
        <v>50.173099999999998</v>
      </c>
    </row>
    <row r="1865" spans="3:5" x14ac:dyDescent="0.35">
      <c r="C1865">
        <f t="shared" si="30"/>
        <v>2017</v>
      </c>
      <c r="D1865" s="1">
        <v>42891</v>
      </c>
      <c r="E1865">
        <v>51.464100000000002</v>
      </c>
    </row>
    <row r="1866" spans="3:5" x14ac:dyDescent="0.35">
      <c r="C1866">
        <f t="shared" si="30"/>
        <v>2017</v>
      </c>
      <c r="D1866" s="1">
        <v>42892</v>
      </c>
      <c r="E1866">
        <v>51.063800000000001</v>
      </c>
    </row>
    <row r="1867" spans="3:5" x14ac:dyDescent="0.35">
      <c r="C1867">
        <f t="shared" si="30"/>
        <v>2017</v>
      </c>
      <c r="D1867" s="1">
        <v>42893</v>
      </c>
      <c r="E1867">
        <v>50.914000000000001</v>
      </c>
    </row>
    <row r="1868" spans="3:5" x14ac:dyDescent="0.35">
      <c r="C1868">
        <f t="shared" si="30"/>
        <v>2017</v>
      </c>
      <c r="D1868" s="1">
        <v>42894</v>
      </c>
      <c r="E1868">
        <v>50.305399999999999</v>
      </c>
    </row>
    <row r="1869" spans="3:5" x14ac:dyDescent="0.35">
      <c r="C1869">
        <f t="shared" si="30"/>
        <v>2017</v>
      </c>
      <c r="D1869" s="1">
        <v>42895</v>
      </c>
      <c r="E1869">
        <v>51.3187</v>
      </c>
    </row>
    <row r="1870" spans="3:5" x14ac:dyDescent="0.35">
      <c r="C1870">
        <f t="shared" si="30"/>
        <v>2017</v>
      </c>
      <c r="D1870" s="1">
        <v>42898</v>
      </c>
      <c r="E1870">
        <v>51.233499999999999</v>
      </c>
    </row>
    <row r="1871" spans="3:5" x14ac:dyDescent="0.35">
      <c r="C1871">
        <f t="shared" si="30"/>
        <v>2017</v>
      </c>
      <c r="D1871" s="1">
        <v>42899</v>
      </c>
      <c r="E1871">
        <v>51.0916</v>
      </c>
    </row>
    <row r="1872" spans="3:5" x14ac:dyDescent="0.35">
      <c r="C1872">
        <f t="shared" si="30"/>
        <v>2017</v>
      </c>
      <c r="D1872" s="1">
        <v>42900</v>
      </c>
      <c r="E1872">
        <v>51.690100000000001</v>
      </c>
    </row>
    <row r="1873" spans="3:5" x14ac:dyDescent="0.35">
      <c r="C1873">
        <f t="shared" si="30"/>
        <v>2017</v>
      </c>
      <c r="D1873" s="1">
        <v>42901</v>
      </c>
      <c r="E1873">
        <v>52.402999999999999</v>
      </c>
    </row>
    <row r="1874" spans="3:5" x14ac:dyDescent="0.35">
      <c r="C1874">
        <f t="shared" si="30"/>
        <v>2017</v>
      </c>
      <c r="D1874" s="1">
        <v>42902</v>
      </c>
      <c r="E1874">
        <v>51.329599999999999</v>
      </c>
    </row>
    <row r="1875" spans="3:5" x14ac:dyDescent="0.35">
      <c r="C1875">
        <f t="shared" si="30"/>
        <v>2017</v>
      </c>
      <c r="D1875" s="1">
        <v>42905</v>
      </c>
      <c r="E1875">
        <v>53.204099999999997</v>
      </c>
    </row>
    <row r="1876" spans="3:5" x14ac:dyDescent="0.35">
      <c r="C1876">
        <f t="shared" si="30"/>
        <v>2017</v>
      </c>
      <c r="D1876" s="1">
        <v>42906</v>
      </c>
      <c r="E1876">
        <v>52.728000000000002</v>
      </c>
    </row>
    <row r="1877" spans="3:5" x14ac:dyDescent="0.35">
      <c r="C1877">
        <f t="shared" si="30"/>
        <v>2017</v>
      </c>
      <c r="D1877" s="1">
        <v>42907</v>
      </c>
      <c r="E1877">
        <v>52.587899999999998</v>
      </c>
    </row>
    <row r="1878" spans="3:5" x14ac:dyDescent="0.35">
      <c r="C1878">
        <f t="shared" si="30"/>
        <v>2017</v>
      </c>
      <c r="D1878" s="1">
        <v>42908</v>
      </c>
      <c r="E1878">
        <v>53.665999999999997</v>
      </c>
    </row>
    <row r="1879" spans="3:5" x14ac:dyDescent="0.35">
      <c r="C1879">
        <f t="shared" si="30"/>
        <v>2017</v>
      </c>
      <c r="D1879" s="1">
        <v>42909</v>
      </c>
      <c r="E1879">
        <v>54.765300000000003</v>
      </c>
    </row>
    <row r="1880" spans="3:5" x14ac:dyDescent="0.35">
      <c r="C1880">
        <f t="shared" si="30"/>
        <v>2017</v>
      </c>
      <c r="D1880" s="1">
        <v>42912</v>
      </c>
      <c r="E1880">
        <v>55.322200000000002</v>
      </c>
    </row>
    <row r="1881" spans="3:5" x14ac:dyDescent="0.35">
      <c r="C1881">
        <f t="shared" si="30"/>
        <v>2017</v>
      </c>
      <c r="D1881" s="1">
        <v>42913</v>
      </c>
      <c r="E1881">
        <v>55.398600000000002</v>
      </c>
    </row>
    <row r="1882" spans="3:5" x14ac:dyDescent="0.35">
      <c r="C1882">
        <f t="shared" si="30"/>
        <v>2017</v>
      </c>
      <c r="D1882" s="1">
        <v>42914</v>
      </c>
      <c r="E1882">
        <v>56.510599999999997</v>
      </c>
    </row>
    <row r="1883" spans="3:5" x14ac:dyDescent="0.35">
      <c r="C1883">
        <f t="shared" si="30"/>
        <v>2017</v>
      </c>
      <c r="D1883" s="1">
        <v>42915</v>
      </c>
      <c r="E1883">
        <v>55.597200000000001</v>
      </c>
    </row>
    <row r="1884" spans="3:5" x14ac:dyDescent="0.35">
      <c r="C1884">
        <f t="shared" si="30"/>
        <v>2017</v>
      </c>
      <c r="D1884" s="1">
        <v>42916</v>
      </c>
      <c r="E1884">
        <v>57.262999999999998</v>
      </c>
    </row>
    <row r="1885" spans="3:5" x14ac:dyDescent="0.35">
      <c r="C1885">
        <f t="shared" si="30"/>
        <v>2017</v>
      </c>
      <c r="D1885" s="1">
        <v>42919</v>
      </c>
      <c r="E1885">
        <v>58.4893</v>
      </c>
    </row>
    <row r="1886" spans="3:5" x14ac:dyDescent="0.35">
      <c r="C1886">
        <f t="shared" si="30"/>
        <v>2017</v>
      </c>
      <c r="D1886" s="1">
        <v>42921</v>
      </c>
      <c r="E1886">
        <v>58.957299999999996</v>
      </c>
    </row>
    <row r="1887" spans="3:5" x14ac:dyDescent="0.35">
      <c r="C1887">
        <f t="shared" si="30"/>
        <v>2017</v>
      </c>
      <c r="D1887" s="1">
        <v>42922</v>
      </c>
      <c r="E1887">
        <v>58.625399999999999</v>
      </c>
    </row>
    <row r="1888" spans="3:5" x14ac:dyDescent="0.35">
      <c r="C1888">
        <f t="shared" si="30"/>
        <v>2017</v>
      </c>
      <c r="D1888" s="1">
        <v>42923</v>
      </c>
      <c r="E1888">
        <v>59.558399999999999</v>
      </c>
    </row>
    <row r="1889" spans="3:5" x14ac:dyDescent="0.35">
      <c r="C1889">
        <f t="shared" si="30"/>
        <v>2017</v>
      </c>
      <c r="D1889" s="1">
        <v>42926</v>
      </c>
      <c r="E1889">
        <v>61.456699999999998</v>
      </c>
    </row>
    <row r="1890" spans="3:5" x14ac:dyDescent="0.35">
      <c r="C1890">
        <f t="shared" si="30"/>
        <v>2017</v>
      </c>
      <c r="D1890" s="1">
        <v>42928</v>
      </c>
      <c r="E1890">
        <v>60.735799999999998</v>
      </c>
    </row>
    <row r="1891" spans="3:5" x14ac:dyDescent="0.35">
      <c r="C1891">
        <f t="shared" si="30"/>
        <v>2017</v>
      </c>
      <c r="D1891" s="1">
        <v>42929</v>
      </c>
      <c r="E1891">
        <v>62.7624</v>
      </c>
    </row>
    <row r="1892" spans="3:5" x14ac:dyDescent="0.35">
      <c r="C1892">
        <f t="shared" si="30"/>
        <v>2017</v>
      </c>
      <c r="D1892" s="1">
        <v>42930</v>
      </c>
      <c r="E1892">
        <v>62.789499999999997</v>
      </c>
    </row>
    <row r="1893" spans="3:5" x14ac:dyDescent="0.35">
      <c r="C1893">
        <f t="shared" si="30"/>
        <v>2017</v>
      </c>
      <c r="D1893" s="1">
        <v>42933</v>
      </c>
      <c r="E1893">
        <v>63.833599999999997</v>
      </c>
    </row>
    <row r="1894" spans="3:5" x14ac:dyDescent="0.35">
      <c r="C1894">
        <f t="shared" si="30"/>
        <v>2017</v>
      </c>
      <c r="D1894" s="1">
        <v>42934</v>
      </c>
      <c r="E1894">
        <v>62.923000000000002</v>
      </c>
    </row>
    <row r="1895" spans="3:5" x14ac:dyDescent="0.35">
      <c r="C1895">
        <f t="shared" si="30"/>
        <v>2017</v>
      </c>
      <c r="D1895" s="1">
        <v>42935</v>
      </c>
      <c r="E1895">
        <v>63.709099999999999</v>
      </c>
    </row>
    <row r="1896" spans="3:5" x14ac:dyDescent="0.35">
      <c r="C1896">
        <f t="shared" si="30"/>
        <v>2017</v>
      </c>
      <c r="D1896" s="1">
        <v>42936</v>
      </c>
      <c r="E1896">
        <v>62.019799999999996</v>
      </c>
    </row>
    <row r="1897" spans="3:5" x14ac:dyDescent="0.35">
      <c r="C1897">
        <f t="shared" si="30"/>
        <v>2017</v>
      </c>
      <c r="D1897" s="1">
        <v>42937</v>
      </c>
      <c r="E1897">
        <v>62.155500000000004</v>
      </c>
    </row>
    <row r="1898" spans="3:5" x14ac:dyDescent="0.35">
      <c r="C1898">
        <f t="shared" si="30"/>
        <v>2017</v>
      </c>
      <c r="D1898" s="1">
        <v>42940</v>
      </c>
      <c r="E1898">
        <v>62.092500000000001</v>
      </c>
    </row>
    <row r="1899" spans="3:5" x14ac:dyDescent="0.35">
      <c r="C1899">
        <f t="shared" si="30"/>
        <v>2017</v>
      </c>
      <c r="D1899" s="1">
        <v>42941</v>
      </c>
      <c r="E1899">
        <v>61.424799999999998</v>
      </c>
    </row>
    <row r="1900" spans="3:5" x14ac:dyDescent="0.35">
      <c r="C1900">
        <f t="shared" si="30"/>
        <v>2017</v>
      </c>
      <c r="D1900" s="1">
        <v>42942</v>
      </c>
      <c r="E1900">
        <v>60.5989</v>
      </c>
    </row>
    <row r="1901" spans="3:5" x14ac:dyDescent="0.35">
      <c r="C1901">
        <f t="shared" si="30"/>
        <v>2017</v>
      </c>
      <c r="D1901" s="1">
        <v>42943</v>
      </c>
      <c r="E1901">
        <v>61.344200000000001</v>
      </c>
    </row>
    <row r="1902" spans="3:5" x14ac:dyDescent="0.35">
      <c r="C1902">
        <f t="shared" si="30"/>
        <v>2017</v>
      </c>
      <c r="D1902" s="1">
        <v>42944</v>
      </c>
      <c r="E1902">
        <v>60.047499999999999</v>
      </c>
    </row>
    <row r="1903" spans="3:5" x14ac:dyDescent="0.35">
      <c r="C1903">
        <f t="shared" si="30"/>
        <v>2017</v>
      </c>
      <c r="D1903" s="1">
        <v>42947</v>
      </c>
      <c r="E1903">
        <v>61.386499999999998</v>
      </c>
    </row>
    <row r="1904" spans="3:5" x14ac:dyDescent="0.35">
      <c r="C1904">
        <f t="shared" si="30"/>
        <v>2017</v>
      </c>
      <c r="D1904" s="1">
        <v>42948</v>
      </c>
      <c r="E1904">
        <v>60.030500000000004</v>
      </c>
    </row>
    <row r="1905" spans="3:5" x14ac:dyDescent="0.35">
      <c r="C1905">
        <f t="shared" si="30"/>
        <v>2017</v>
      </c>
      <c r="D1905" s="1">
        <v>42949</v>
      </c>
      <c r="E1905">
        <v>60.023099999999999</v>
      </c>
    </row>
    <row r="1906" spans="3:5" x14ac:dyDescent="0.35">
      <c r="C1906">
        <f t="shared" si="30"/>
        <v>2017</v>
      </c>
      <c r="D1906" s="1">
        <v>42950</v>
      </c>
      <c r="E1906">
        <v>60.124200000000002</v>
      </c>
    </row>
    <row r="1907" spans="3:5" x14ac:dyDescent="0.35">
      <c r="C1907">
        <f t="shared" si="30"/>
        <v>2017</v>
      </c>
      <c r="D1907" s="1">
        <v>42951</v>
      </c>
      <c r="E1907">
        <v>61.948599999999999</v>
      </c>
    </row>
    <row r="1908" spans="3:5" x14ac:dyDescent="0.35">
      <c r="C1908">
        <f t="shared" si="30"/>
        <v>2017</v>
      </c>
      <c r="D1908" s="1">
        <v>42954</v>
      </c>
      <c r="E1908">
        <v>63.475099999999998</v>
      </c>
    </row>
    <row r="1909" spans="3:5" x14ac:dyDescent="0.35">
      <c r="C1909">
        <f t="shared" si="30"/>
        <v>2017</v>
      </c>
      <c r="D1909" s="1">
        <v>42955</v>
      </c>
      <c r="E1909">
        <v>63.492199999999997</v>
      </c>
    </row>
    <row r="1910" spans="3:5" x14ac:dyDescent="0.35">
      <c r="C1910">
        <f t="shared" si="30"/>
        <v>2017</v>
      </c>
      <c r="D1910" s="1">
        <v>42956</v>
      </c>
      <c r="E1910">
        <v>61.735599999999998</v>
      </c>
    </row>
    <row r="1911" spans="3:5" x14ac:dyDescent="0.35">
      <c r="C1911">
        <f t="shared" si="30"/>
        <v>2017</v>
      </c>
      <c r="D1911" s="1">
        <v>42957</v>
      </c>
      <c r="E1911">
        <v>60.528399999999998</v>
      </c>
    </row>
    <row r="1912" spans="3:5" x14ac:dyDescent="0.35">
      <c r="C1912">
        <f t="shared" si="30"/>
        <v>2017</v>
      </c>
      <c r="D1912" s="1">
        <v>42958</v>
      </c>
      <c r="E1912">
        <v>61.371099999999998</v>
      </c>
    </row>
    <row r="1913" spans="3:5" x14ac:dyDescent="0.35">
      <c r="C1913">
        <f t="shared" si="30"/>
        <v>2017</v>
      </c>
      <c r="D1913" s="1">
        <v>42961</v>
      </c>
      <c r="E1913">
        <v>65.117099999999994</v>
      </c>
    </row>
    <row r="1914" spans="3:5" x14ac:dyDescent="0.35">
      <c r="C1914">
        <f t="shared" si="30"/>
        <v>2017</v>
      </c>
      <c r="D1914" s="1">
        <v>42962</v>
      </c>
      <c r="E1914">
        <v>64.282700000000006</v>
      </c>
    </row>
    <row r="1915" spans="3:5" x14ac:dyDescent="0.35">
      <c r="C1915">
        <f t="shared" si="30"/>
        <v>2017</v>
      </c>
      <c r="D1915" s="1">
        <v>42963</v>
      </c>
      <c r="E1915">
        <v>64.059899999999999</v>
      </c>
    </row>
    <row r="1916" spans="3:5" x14ac:dyDescent="0.35">
      <c r="C1916">
        <f t="shared" si="30"/>
        <v>2017</v>
      </c>
      <c r="D1916" s="1">
        <v>42964</v>
      </c>
      <c r="E1916">
        <v>63.953200000000002</v>
      </c>
    </row>
    <row r="1917" spans="3:5" x14ac:dyDescent="0.35">
      <c r="C1917">
        <f t="shared" si="30"/>
        <v>2017</v>
      </c>
      <c r="D1917" s="1">
        <v>42965</v>
      </c>
      <c r="E1917">
        <v>63.480600000000003</v>
      </c>
    </row>
    <row r="1918" spans="3:5" x14ac:dyDescent="0.35">
      <c r="C1918">
        <f t="shared" si="30"/>
        <v>2017</v>
      </c>
      <c r="D1918" s="1">
        <v>42968</v>
      </c>
      <c r="E1918">
        <v>64.343599999999995</v>
      </c>
    </row>
    <row r="1919" spans="3:5" x14ac:dyDescent="0.35">
      <c r="C1919">
        <f t="shared" si="30"/>
        <v>2017</v>
      </c>
      <c r="D1919" s="1">
        <v>42969</v>
      </c>
      <c r="E1919">
        <v>66.181100000000001</v>
      </c>
    </row>
    <row r="1920" spans="3:5" x14ac:dyDescent="0.35">
      <c r="C1920">
        <f t="shared" si="30"/>
        <v>2017</v>
      </c>
      <c r="D1920" s="1">
        <v>42970</v>
      </c>
      <c r="E1920">
        <v>65.301400000000001</v>
      </c>
    </row>
    <row r="1921" spans="3:5" x14ac:dyDescent="0.35">
      <c r="C1921">
        <f t="shared" si="30"/>
        <v>2017</v>
      </c>
      <c r="D1921" s="1">
        <v>42971</v>
      </c>
      <c r="E1921">
        <v>66.101699999999994</v>
      </c>
    </row>
    <row r="1922" spans="3:5" x14ac:dyDescent="0.35">
      <c r="C1922">
        <f t="shared" si="30"/>
        <v>2017</v>
      </c>
      <c r="D1922" s="1">
        <v>42972</v>
      </c>
      <c r="E1922">
        <v>66.698400000000007</v>
      </c>
    </row>
    <row r="1923" spans="3:5" x14ac:dyDescent="0.35">
      <c r="C1923">
        <f t="shared" ref="C1923:C1986" si="31">YEAR(D1923)</f>
        <v>2017</v>
      </c>
      <c r="D1923" s="1">
        <v>42975</v>
      </c>
      <c r="E1923">
        <v>68.174400000000006</v>
      </c>
    </row>
    <row r="1924" spans="3:5" x14ac:dyDescent="0.35">
      <c r="C1924">
        <f t="shared" si="31"/>
        <v>2017</v>
      </c>
      <c r="D1924" s="1">
        <v>42976</v>
      </c>
      <c r="E1924">
        <v>66.965100000000007</v>
      </c>
    </row>
    <row r="1925" spans="3:5" x14ac:dyDescent="0.35">
      <c r="C1925">
        <f t="shared" si="31"/>
        <v>2017</v>
      </c>
      <c r="D1925" s="1">
        <v>42977</v>
      </c>
      <c r="E1925">
        <v>67.363</v>
      </c>
    </row>
    <row r="1926" spans="3:5" x14ac:dyDescent="0.35">
      <c r="C1926">
        <f t="shared" si="31"/>
        <v>2017</v>
      </c>
      <c r="D1926" s="1">
        <v>42978</v>
      </c>
      <c r="E1926">
        <v>66.753900000000002</v>
      </c>
    </row>
    <row r="1927" spans="3:5" x14ac:dyDescent="0.35">
      <c r="C1927">
        <f t="shared" si="31"/>
        <v>2017</v>
      </c>
      <c r="D1927" s="1">
        <v>42979</v>
      </c>
      <c r="E1927">
        <v>66.421099999999996</v>
      </c>
    </row>
    <row r="1928" spans="3:5" x14ac:dyDescent="0.35">
      <c r="C1928">
        <f t="shared" si="31"/>
        <v>2017</v>
      </c>
      <c r="D1928" s="1">
        <v>42983</v>
      </c>
      <c r="E1928">
        <v>65.731700000000004</v>
      </c>
    </row>
    <row r="1929" spans="3:5" x14ac:dyDescent="0.35">
      <c r="C1929">
        <f t="shared" si="31"/>
        <v>2017</v>
      </c>
      <c r="D1929" s="1">
        <v>42984</v>
      </c>
      <c r="E1929">
        <v>66.694699999999997</v>
      </c>
    </row>
    <row r="1930" spans="3:5" x14ac:dyDescent="0.35">
      <c r="C1930">
        <f t="shared" si="31"/>
        <v>2017</v>
      </c>
      <c r="D1930" s="1">
        <v>42985</v>
      </c>
      <c r="E1930">
        <v>67.711299999999994</v>
      </c>
    </row>
    <row r="1931" spans="3:5" x14ac:dyDescent="0.35">
      <c r="C1931">
        <f t="shared" si="31"/>
        <v>2017</v>
      </c>
      <c r="D1931" s="1">
        <v>42986</v>
      </c>
      <c r="E1931">
        <v>67.163300000000007</v>
      </c>
    </row>
    <row r="1932" spans="3:5" x14ac:dyDescent="0.35">
      <c r="C1932">
        <f t="shared" si="31"/>
        <v>2017</v>
      </c>
      <c r="D1932" s="1">
        <v>42989</v>
      </c>
      <c r="E1932">
        <v>70.122</v>
      </c>
    </row>
    <row r="1933" spans="3:5" x14ac:dyDescent="0.35">
      <c r="C1933">
        <f t="shared" si="31"/>
        <v>2017</v>
      </c>
      <c r="D1933" s="1">
        <v>42990</v>
      </c>
      <c r="E1933">
        <v>71.874399999999994</v>
      </c>
    </row>
    <row r="1934" spans="3:5" x14ac:dyDescent="0.35">
      <c r="C1934">
        <f t="shared" si="31"/>
        <v>2017</v>
      </c>
      <c r="D1934" s="1">
        <v>42991</v>
      </c>
      <c r="E1934">
        <v>68.674599999999998</v>
      </c>
    </row>
    <row r="1935" spans="3:5" x14ac:dyDescent="0.35">
      <c r="C1935">
        <f t="shared" si="31"/>
        <v>2017</v>
      </c>
      <c r="D1935" s="1">
        <v>42992</v>
      </c>
      <c r="E1935">
        <v>67.346599999999995</v>
      </c>
    </row>
    <row r="1936" spans="3:5" x14ac:dyDescent="0.35">
      <c r="C1936">
        <f t="shared" si="31"/>
        <v>2017</v>
      </c>
      <c r="D1936" s="1">
        <v>42993</v>
      </c>
      <c r="E1936">
        <v>67.330699999999993</v>
      </c>
    </row>
    <row r="1937" spans="3:5" x14ac:dyDescent="0.35">
      <c r="C1937">
        <f t="shared" si="31"/>
        <v>2017</v>
      </c>
      <c r="D1937" s="1">
        <v>42996</v>
      </c>
      <c r="E1937">
        <v>64.145700000000005</v>
      </c>
    </row>
    <row r="1938" spans="3:5" x14ac:dyDescent="0.35">
      <c r="C1938">
        <f t="shared" si="31"/>
        <v>2017</v>
      </c>
      <c r="D1938" s="1">
        <v>42997</v>
      </c>
      <c r="E1938">
        <v>62.868499999999997</v>
      </c>
    </row>
    <row r="1939" spans="3:5" x14ac:dyDescent="0.35">
      <c r="C1939">
        <f t="shared" si="31"/>
        <v>2017</v>
      </c>
      <c r="D1939" s="1">
        <v>42998</v>
      </c>
      <c r="E1939">
        <v>63.342599999999997</v>
      </c>
    </row>
    <row r="1940" spans="3:5" x14ac:dyDescent="0.35">
      <c r="C1940">
        <f t="shared" si="31"/>
        <v>2017</v>
      </c>
      <c r="D1940" s="1">
        <v>42999</v>
      </c>
      <c r="E1940">
        <v>63.536900000000003</v>
      </c>
    </row>
    <row r="1941" spans="3:5" x14ac:dyDescent="0.35">
      <c r="C1941">
        <f t="shared" si="31"/>
        <v>2017</v>
      </c>
      <c r="D1941" s="1">
        <v>43000</v>
      </c>
      <c r="E1941">
        <v>64.3429</v>
      </c>
    </row>
    <row r="1942" spans="3:5" x14ac:dyDescent="0.35">
      <c r="C1942">
        <f t="shared" si="31"/>
        <v>2017</v>
      </c>
      <c r="D1942" s="1">
        <v>43003</v>
      </c>
      <c r="E1942">
        <v>59.652799999999999</v>
      </c>
    </row>
    <row r="1943" spans="3:5" x14ac:dyDescent="0.35">
      <c r="C1943">
        <f t="shared" si="31"/>
        <v>2017</v>
      </c>
      <c r="D1943" s="1">
        <v>43004</v>
      </c>
      <c r="E1943">
        <v>60.908700000000003</v>
      </c>
    </row>
    <row r="1944" spans="3:5" x14ac:dyDescent="0.35">
      <c r="C1944">
        <f t="shared" si="31"/>
        <v>2017</v>
      </c>
      <c r="D1944" s="1">
        <v>43005</v>
      </c>
      <c r="E1944">
        <v>58.849299999999999</v>
      </c>
    </row>
    <row r="1945" spans="3:5" x14ac:dyDescent="0.35">
      <c r="C1945">
        <f t="shared" si="31"/>
        <v>2017</v>
      </c>
      <c r="D1945" s="1">
        <v>43006</v>
      </c>
      <c r="E1945">
        <v>60.26</v>
      </c>
    </row>
    <row r="1946" spans="3:5" x14ac:dyDescent="0.35">
      <c r="C1946">
        <f t="shared" si="31"/>
        <v>2017</v>
      </c>
      <c r="D1946" s="1">
        <v>43007</v>
      </c>
      <c r="E1946">
        <v>59.683599999999998</v>
      </c>
    </row>
    <row r="1947" spans="3:5" x14ac:dyDescent="0.35">
      <c r="C1947">
        <f t="shared" si="31"/>
        <v>2017</v>
      </c>
      <c r="D1947" s="1">
        <v>43010</v>
      </c>
      <c r="E1947">
        <v>62.157400000000003</v>
      </c>
    </row>
    <row r="1948" spans="3:5" x14ac:dyDescent="0.35">
      <c r="C1948">
        <f t="shared" si="31"/>
        <v>2017</v>
      </c>
      <c r="D1948" s="1">
        <v>43011</v>
      </c>
      <c r="E1948">
        <v>61.3063</v>
      </c>
    </row>
    <row r="1949" spans="3:5" x14ac:dyDescent="0.35">
      <c r="C1949">
        <f t="shared" si="31"/>
        <v>2017</v>
      </c>
      <c r="D1949" s="1">
        <v>43012</v>
      </c>
      <c r="E1949">
        <v>62.7288</v>
      </c>
    </row>
    <row r="1950" spans="3:5" x14ac:dyDescent="0.35">
      <c r="C1950">
        <f t="shared" si="31"/>
        <v>2017</v>
      </c>
      <c r="D1950" s="1">
        <v>43013</v>
      </c>
      <c r="E1950">
        <v>62.649299999999997</v>
      </c>
    </row>
    <row r="1951" spans="3:5" x14ac:dyDescent="0.35">
      <c r="C1951">
        <f t="shared" si="31"/>
        <v>2017</v>
      </c>
      <c r="D1951" s="1">
        <v>43014</v>
      </c>
      <c r="E1951">
        <v>63.351300000000002</v>
      </c>
    </row>
    <row r="1952" spans="3:5" x14ac:dyDescent="0.35">
      <c r="C1952">
        <f t="shared" si="31"/>
        <v>2017</v>
      </c>
      <c r="D1952" s="1">
        <v>43017</v>
      </c>
      <c r="E1952">
        <v>55.186</v>
      </c>
    </row>
    <row r="1953" spans="3:5" x14ac:dyDescent="0.35">
      <c r="C1953">
        <f t="shared" si="31"/>
        <v>2017</v>
      </c>
      <c r="D1953" s="1">
        <v>43018</v>
      </c>
      <c r="E1953">
        <v>56.314300000000003</v>
      </c>
    </row>
    <row r="1954" spans="3:5" x14ac:dyDescent="0.35">
      <c r="C1954">
        <f t="shared" si="31"/>
        <v>2017</v>
      </c>
      <c r="D1954" s="1">
        <v>43019</v>
      </c>
      <c r="E1954">
        <v>57.753399999999999</v>
      </c>
    </row>
    <row r="1955" spans="3:5" x14ac:dyDescent="0.35">
      <c r="C1955">
        <f t="shared" si="31"/>
        <v>2017</v>
      </c>
      <c r="D1955" s="1">
        <v>43020</v>
      </c>
      <c r="E1955">
        <v>60.247900000000001</v>
      </c>
    </row>
    <row r="1956" spans="3:5" x14ac:dyDescent="0.35">
      <c r="C1956">
        <f t="shared" si="31"/>
        <v>2017</v>
      </c>
      <c r="D1956" s="1">
        <v>43021</v>
      </c>
      <c r="E1956">
        <v>59.797800000000002</v>
      </c>
    </row>
    <row r="1957" spans="3:5" x14ac:dyDescent="0.35">
      <c r="C1957">
        <f t="shared" si="31"/>
        <v>2017</v>
      </c>
      <c r="D1957" s="1">
        <v>43024</v>
      </c>
      <c r="E1957">
        <v>61.499600000000001</v>
      </c>
    </row>
    <row r="1958" spans="3:5" x14ac:dyDescent="0.35">
      <c r="C1958">
        <f t="shared" si="31"/>
        <v>2017</v>
      </c>
      <c r="D1958" s="1">
        <v>43025</v>
      </c>
      <c r="E1958">
        <v>63.109099999999998</v>
      </c>
    </row>
    <row r="1959" spans="3:5" x14ac:dyDescent="0.35">
      <c r="C1959">
        <f t="shared" si="31"/>
        <v>2017</v>
      </c>
      <c r="D1959" s="1">
        <v>43026</v>
      </c>
      <c r="E1959">
        <v>63.649500000000003</v>
      </c>
    </row>
    <row r="1960" spans="3:5" x14ac:dyDescent="0.35">
      <c r="C1960">
        <f t="shared" si="31"/>
        <v>2017</v>
      </c>
      <c r="D1960" s="1">
        <v>43027</v>
      </c>
      <c r="E1960">
        <v>65.404499999999999</v>
      </c>
    </row>
    <row r="1961" spans="3:5" x14ac:dyDescent="0.35">
      <c r="C1961">
        <f t="shared" si="31"/>
        <v>2017</v>
      </c>
      <c r="D1961" s="1">
        <v>43028</v>
      </c>
      <c r="E1961">
        <v>65.865899999999996</v>
      </c>
    </row>
    <row r="1962" spans="3:5" x14ac:dyDescent="0.35">
      <c r="C1962">
        <f t="shared" si="31"/>
        <v>2017</v>
      </c>
      <c r="D1962" s="1">
        <v>43031</v>
      </c>
      <c r="E1962">
        <v>65.207899999999995</v>
      </c>
    </row>
    <row r="1963" spans="3:5" x14ac:dyDescent="0.35">
      <c r="C1963">
        <f t="shared" si="31"/>
        <v>2017</v>
      </c>
      <c r="D1963" s="1">
        <v>43032</v>
      </c>
      <c r="E1963">
        <v>64.912899999999993</v>
      </c>
    </row>
    <row r="1964" spans="3:5" x14ac:dyDescent="0.35">
      <c r="C1964">
        <f t="shared" si="31"/>
        <v>2017</v>
      </c>
      <c r="D1964" s="1">
        <v>43033</v>
      </c>
      <c r="E1964">
        <v>65.513400000000004</v>
      </c>
    </row>
    <row r="1965" spans="3:5" x14ac:dyDescent="0.35">
      <c r="C1965">
        <f t="shared" si="31"/>
        <v>2017</v>
      </c>
      <c r="D1965" s="1">
        <v>43034</v>
      </c>
      <c r="E1965">
        <v>64.500100000000003</v>
      </c>
    </row>
    <row r="1966" spans="3:5" x14ac:dyDescent="0.35">
      <c r="C1966">
        <f t="shared" si="31"/>
        <v>2017</v>
      </c>
      <c r="D1966" s="1">
        <v>43035</v>
      </c>
      <c r="E1966">
        <v>64.857299999999995</v>
      </c>
    </row>
    <row r="1967" spans="3:5" x14ac:dyDescent="0.35">
      <c r="C1967">
        <f t="shared" si="31"/>
        <v>2017</v>
      </c>
      <c r="D1967" s="1">
        <v>43038</v>
      </c>
      <c r="E1967">
        <v>65.814999999999998</v>
      </c>
    </row>
    <row r="1968" spans="3:5" x14ac:dyDescent="0.35">
      <c r="C1968">
        <f t="shared" si="31"/>
        <v>2017</v>
      </c>
      <c r="D1968" s="1">
        <v>43039</v>
      </c>
      <c r="E1968">
        <v>67.461200000000005</v>
      </c>
    </row>
    <row r="1969" spans="3:5" x14ac:dyDescent="0.35">
      <c r="C1969">
        <f t="shared" si="31"/>
        <v>2017</v>
      </c>
      <c r="D1969" s="1">
        <v>43040</v>
      </c>
      <c r="E1969">
        <v>67.745199999999997</v>
      </c>
    </row>
    <row r="1970" spans="3:5" x14ac:dyDescent="0.35">
      <c r="C1970">
        <f t="shared" si="31"/>
        <v>2017</v>
      </c>
      <c r="D1970" s="1">
        <v>43041</v>
      </c>
      <c r="E1970">
        <v>66.958399999999997</v>
      </c>
    </row>
    <row r="1971" spans="3:5" x14ac:dyDescent="0.35">
      <c r="C1971">
        <f t="shared" si="31"/>
        <v>2017</v>
      </c>
      <c r="D1971" s="1">
        <v>43042</v>
      </c>
      <c r="E1971">
        <v>67.421199999999999</v>
      </c>
    </row>
    <row r="1972" spans="3:5" x14ac:dyDescent="0.35">
      <c r="C1972">
        <f t="shared" si="31"/>
        <v>2017</v>
      </c>
      <c r="D1972" s="1">
        <v>43045</v>
      </c>
      <c r="E1972">
        <v>69.214799999999997</v>
      </c>
    </row>
    <row r="1973" spans="3:5" x14ac:dyDescent="0.35">
      <c r="C1973">
        <f t="shared" si="31"/>
        <v>2017</v>
      </c>
      <c r="D1973" s="1">
        <v>43046</v>
      </c>
      <c r="E1973">
        <v>67.525199999999998</v>
      </c>
    </row>
    <row r="1974" spans="3:5" x14ac:dyDescent="0.35">
      <c r="C1974">
        <f t="shared" si="31"/>
        <v>2017</v>
      </c>
      <c r="D1974" s="1">
        <v>43047</v>
      </c>
      <c r="E1974">
        <v>65.940100000000001</v>
      </c>
    </row>
    <row r="1975" spans="3:5" x14ac:dyDescent="0.35">
      <c r="C1975">
        <f t="shared" si="31"/>
        <v>2017</v>
      </c>
      <c r="D1975" s="1">
        <v>43048</v>
      </c>
      <c r="E1975">
        <v>65.781000000000006</v>
      </c>
    </row>
    <row r="1976" spans="3:5" x14ac:dyDescent="0.35">
      <c r="C1976">
        <f t="shared" si="31"/>
        <v>2017</v>
      </c>
      <c r="D1976" s="1">
        <v>43049</v>
      </c>
      <c r="E1976">
        <v>63.374499999999998</v>
      </c>
    </row>
    <row r="1977" spans="3:5" x14ac:dyDescent="0.35">
      <c r="C1977">
        <f t="shared" si="31"/>
        <v>2017</v>
      </c>
      <c r="D1977" s="1">
        <v>43052</v>
      </c>
      <c r="E1977">
        <v>61.790900000000001</v>
      </c>
    </row>
    <row r="1978" spans="3:5" x14ac:dyDescent="0.35">
      <c r="C1978">
        <f t="shared" si="31"/>
        <v>2017</v>
      </c>
      <c r="D1978" s="1">
        <v>43053</v>
      </c>
      <c r="E1978">
        <v>65.501099999999994</v>
      </c>
    </row>
    <row r="1979" spans="3:5" x14ac:dyDescent="0.35">
      <c r="C1979">
        <f t="shared" si="31"/>
        <v>2017</v>
      </c>
      <c r="D1979" s="1">
        <v>43054</v>
      </c>
      <c r="E1979">
        <v>63.323799999999999</v>
      </c>
    </row>
    <row r="1980" spans="3:5" x14ac:dyDescent="0.35">
      <c r="C1980">
        <f t="shared" si="31"/>
        <v>2017</v>
      </c>
      <c r="D1980" s="1">
        <v>43056</v>
      </c>
      <c r="E1980">
        <v>64.992099999999994</v>
      </c>
    </row>
    <row r="1981" spans="3:5" x14ac:dyDescent="0.35">
      <c r="C1981">
        <f t="shared" si="31"/>
        <v>2017</v>
      </c>
      <c r="D1981" s="1">
        <v>43059</v>
      </c>
      <c r="E1981">
        <v>64.786199999999994</v>
      </c>
    </row>
    <row r="1982" spans="3:5" x14ac:dyDescent="0.35">
      <c r="C1982">
        <f t="shared" si="31"/>
        <v>2017</v>
      </c>
      <c r="D1982" s="1">
        <v>43060</v>
      </c>
      <c r="E1982">
        <v>66.778000000000006</v>
      </c>
    </row>
    <row r="1983" spans="3:5" x14ac:dyDescent="0.35">
      <c r="C1983">
        <f t="shared" si="31"/>
        <v>2017</v>
      </c>
      <c r="D1983" s="1">
        <v>43061</v>
      </c>
      <c r="E1983">
        <v>67.494</v>
      </c>
    </row>
    <row r="1984" spans="3:5" x14ac:dyDescent="0.35">
      <c r="C1984">
        <f t="shared" si="31"/>
        <v>2017</v>
      </c>
      <c r="D1984" s="1">
        <v>43063</v>
      </c>
      <c r="E1984">
        <v>70.214299999999994</v>
      </c>
    </row>
    <row r="1985" spans="3:5" x14ac:dyDescent="0.35">
      <c r="C1985">
        <f t="shared" si="31"/>
        <v>2017</v>
      </c>
      <c r="D1985" s="1">
        <v>43066</v>
      </c>
      <c r="E1985">
        <v>72.047600000000003</v>
      </c>
    </row>
    <row r="1986" spans="3:5" x14ac:dyDescent="0.35">
      <c r="C1986">
        <f t="shared" si="31"/>
        <v>2017</v>
      </c>
      <c r="D1986" s="1">
        <v>43067</v>
      </c>
      <c r="E1986">
        <v>68.778000000000006</v>
      </c>
    </row>
    <row r="1987" spans="3:5" x14ac:dyDescent="0.35">
      <c r="C1987">
        <f t="shared" ref="C1987:C2050" si="32">YEAR(D1987)</f>
        <v>2017</v>
      </c>
      <c r="D1987" s="1">
        <v>43068</v>
      </c>
      <c r="E1987">
        <v>72.819199999999995</v>
      </c>
    </row>
    <row r="1988" spans="3:5" x14ac:dyDescent="0.35">
      <c r="C1988">
        <f t="shared" si="32"/>
        <v>2017</v>
      </c>
      <c r="D1988" s="1">
        <v>43069</v>
      </c>
      <c r="E1988">
        <v>75.707899999999995</v>
      </c>
    </row>
    <row r="1989" spans="3:5" x14ac:dyDescent="0.35">
      <c r="C1989">
        <f t="shared" si="32"/>
        <v>2017</v>
      </c>
      <c r="D1989" s="1">
        <v>43070</v>
      </c>
      <c r="E1989">
        <v>77.629199999999997</v>
      </c>
    </row>
    <row r="1990" spans="3:5" x14ac:dyDescent="0.35">
      <c r="C1990">
        <f t="shared" si="32"/>
        <v>2017</v>
      </c>
      <c r="D1990" s="1">
        <v>43073</v>
      </c>
      <c r="E1990">
        <v>79.113600000000005</v>
      </c>
    </row>
    <row r="1991" spans="3:5" x14ac:dyDescent="0.35">
      <c r="C1991">
        <f t="shared" si="32"/>
        <v>2017</v>
      </c>
      <c r="D1991" s="1">
        <v>43074</v>
      </c>
      <c r="E1991">
        <v>81.439899999999994</v>
      </c>
    </row>
    <row r="1992" spans="3:5" x14ac:dyDescent="0.35">
      <c r="C1992">
        <f t="shared" si="32"/>
        <v>2017</v>
      </c>
      <c r="D1992" s="1">
        <v>43075</v>
      </c>
      <c r="E1992">
        <v>81.621099999999998</v>
      </c>
    </row>
    <row r="1993" spans="3:5" x14ac:dyDescent="0.35">
      <c r="C1993">
        <f t="shared" si="32"/>
        <v>2017</v>
      </c>
      <c r="D1993" s="1">
        <v>43076</v>
      </c>
      <c r="E1993">
        <v>86.034899999999993</v>
      </c>
    </row>
    <row r="1994" spans="3:5" x14ac:dyDescent="0.35">
      <c r="C1994">
        <f t="shared" si="32"/>
        <v>2017</v>
      </c>
      <c r="D1994" s="1">
        <v>43077</v>
      </c>
      <c r="E1994">
        <v>87.828299999999999</v>
      </c>
    </row>
    <row r="1995" spans="3:5" x14ac:dyDescent="0.35">
      <c r="C1995">
        <f t="shared" si="32"/>
        <v>2017</v>
      </c>
      <c r="D1995" s="1">
        <v>43080</v>
      </c>
      <c r="E1995">
        <v>87.466800000000006</v>
      </c>
    </row>
    <row r="1996" spans="3:5" x14ac:dyDescent="0.35">
      <c r="C1996">
        <f t="shared" si="32"/>
        <v>2017</v>
      </c>
      <c r="D1996" s="1">
        <v>43081</v>
      </c>
      <c r="E1996">
        <v>91.118799999999993</v>
      </c>
    </row>
    <row r="1997" spans="3:5" x14ac:dyDescent="0.35">
      <c r="C1997">
        <f t="shared" si="32"/>
        <v>2017</v>
      </c>
      <c r="D1997" s="1">
        <v>43082</v>
      </c>
      <c r="E1997">
        <v>88.6434</v>
      </c>
    </row>
    <row r="1998" spans="3:5" x14ac:dyDescent="0.35">
      <c r="C1998">
        <f t="shared" si="32"/>
        <v>2017</v>
      </c>
      <c r="D1998" s="1">
        <v>43083</v>
      </c>
      <c r="E1998">
        <v>93.753900000000002</v>
      </c>
    </row>
    <row r="1999" spans="3:5" x14ac:dyDescent="0.35">
      <c r="C1999">
        <f t="shared" si="32"/>
        <v>2017</v>
      </c>
      <c r="D1999" s="1">
        <v>43084</v>
      </c>
      <c r="E1999">
        <v>91.038600000000002</v>
      </c>
    </row>
    <row r="2000" spans="3:5" x14ac:dyDescent="0.35">
      <c r="C2000">
        <f t="shared" si="32"/>
        <v>2017</v>
      </c>
      <c r="D2000" s="1">
        <v>43087</v>
      </c>
      <c r="E2000">
        <v>93.497399999999999</v>
      </c>
    </row>
    <row r="2001" spans="3:5" x14ac:dyDescent="0.35">
      <c r="C2001">
        <f t="shared" si="32"/>
        <v>2017</v>
      </c>
      <c r="D2001" s="1">
        <v>43088</v>
      </c>
      <c r="E2001">
        <v>95.947599999999994</v>
      </c>
    </row>
    <row r="2002" spans="3:5" x14ac:dyDescent="0.35">
      <c r="C2002">
        <f t="shared" si="32"/>
        <v>2017</v>
      </c>
      <c r="D2002" s="1">
        <v>43089</v>
      </c>
      <c r="E2002">
        <v>97.134500000000003</v>
      </c>
    </row>
    <row r="2003" spans="3:5" x14ac:dyDescent="0.35">
      <c r="C2003">
        <f t="shared" si="32"/>
        <v>2017</v>
      </c>
      <c r="D2003" s="1">
        <v>43090</v>
      </c>
      <c r="E2003">
        <v>99.157600000000002</v>
      </c>
    </row>
    <row r="2004" spans="3:5" x14ac:dyDescent="0.35">
      <c r="C2004">
        <f t="shared" si="32"/>
        <v>2017</v>
      </c>
      <c r="D2004" s="1">
        <v>43091</v>
      </c>
      <c r="E2004">
        <v>96.779899999999998</v>
      </c>
    </row>
    <row r="2005" spans="3:5" x14ac:dyDescent="0.35">
      <c r="C2005">
        <f t="shared" si="32"/>
        <v>2017</v>
      </c>
      <c r="D2005" s="1">
        <v>43095</v>
      </c>
      <c r="E2005">
        <v>96.216099999999997</v>
      </c>
    </row>
    <row r="2006" spans="3:5" x14ac:dyDescent="0.35">
      <c r="C2006">
        <f t="shared" si="32"/>
        <v>2017</v>
      </c>
      <c r="D2006" s="1">
        <v>43096</v>
      </c>
      <c r="E2006">
        <v>97.634200000000007</v>
      </c>
    </row>
    <row r="2007" spans="3:5" x14ac:dyDescent="0.35">
      <c r="C2007">
        <f t="shared" si="32"/>
        <v>2017</v>
      </c>
      <c r="D2007" s="1">
        <v>43097</v>
      </c>
      <c r="E2007">
        <v>99.04</v>
      </c>
    </row>
    <row r="2008" spans="3:5" x14ac:dyDescent="0.35">
      <c r="C2008">
        <f t="shared" si="32"/>
        <v>2017</v>
      </c>
      <c r="D2008" s="1">
        <v>43098</v>
      </c>
      <c r="E2008">
        <v>98.914100000000005</v>
      </c>
    </row>
    <row r="2009" spans="3:5" x14ac:dyDescent="0.35">
      <c r="C2009">
        <f t="shared" si="32"/>
        <v>2018</v>
      </c>
      <c r="D2009" s="1">
        <v>43102</v>
      </c>
      <c r="E2009">
        <v>100.42319999999999</v>
      </c>
    </row>
    <row r="2010" spans="3:5" x14ac:dyDescent="0.35">
      <c r="C2010">
        <f t="shared" si="32"/>
        <v>2018</v>
      </c>
      <c r="D2010" s="1">
        <v>43103</v>
      </c>
      <c r="E2010">
        <v>101.66419999999999</v>
      </c>
    </row>
    <row r="2011" spans="3:5" x14ac:dyDescent="0.35">
      <c r="C2011">
        <f t="shared" si="32"/>
        <v>2018</v>
      </c>
      <c r="D2011" s="1">
        <v>43104</v>
      </c>
      <c r="E2011">
        <v>101.5765</v>
      </c>
    </row>
    <row r="2012" spans="3:5" x14ac:dyDescent="0.35">
      <c r="C2012">
        <f t="shared" si="32"/>
        <v>2018</v>
      </c>
      <c r="D2012" s="1">
        <v>43105</v>
      </c>
      <c r="E2012">
        <v>102.57940000000001</v>
      </c>
    </row>
    <row r="2013" spans="3:5" x14ac:dyDescent="0.35">
      <c r="C2013">
        <f t="shared" si="32"/>
        <v>2018</v>
      </c>
      <c r="D2013" s="1">
        <v>43108</v>
      </c>
      <c r="E2013">
        <v>102.952</v>
      </c>
    </row>
    <row r="2014" spans="3:5" x14ac:dyDescent="0.35">
      <c r="C2014">
        <f t="shared" si="32"/>
        <v>2018</v>
      </c>
      <c r="D2014" s="1">
        <v>43109</v>
      </c>
      <c r="E2014">
        <v>101.9709</v>
      </c>
    </row>
    <row r="2015" spans="3:5" x14ac:dyDescent="0.35">
      <c r="C2015">
        <f t="shared" si="32"/>
        <v>2018</v>
      </c>
      <c r="D2015" s="1">
        <v>43110</v>
      </c>
      <c r="E2015">
        <v>95.543700000000001</v>
      </c>
    </row>
    <row r="2016" spans="3:5" x14ac:dyDescent="0.35">
      <c r="C2016">
        <f t="shared" si="32"/>
        <v>2018</v>
      </c>
      <c r="D2016" s="1">
        <v>43111</v>
      </c>
      <c r="E2016">
        <v>97.094499999999996</v>
      </c>
    </row>
    <row r="2017" spans="3:5" x14ac:dyDescent="0.35">
      <c r="C2017">
        <f t="shared" si="32"/>
        <v>2018</v>
      </c>
      <c r="D2017" s="1">
        <v>43112</v>
      </c>
      <c r="E2017">
        <v>95.814300000000003</v>
      </c>
    </row>
    <row r="2018" spans="3:5" x14ac:dyDescent="0.35">
      <c r="C2018">
        <f t="shared" si="32"/>
        <v>2018</v>
      </c>
      <c r="D2018" s="1">
        <v>43116</v>
      </c>
      <c r="E2018">
        <v>95.005600000000001</v>
      </c>
    </row>
    <row r="2019" spans="3:5" x14ac:dyDescent="0.35">
      <c r="C2019">
        <f t="shared" si="32"/>
        <v>2018</v>
      </c>
      <c r="D2019" s="1">
        <v>43117</v>
      </c>
      <c r="E2019">
        <v>94.547499999999999</v>
      </c>
    </row>
    <row r="2020" spans="3:5" x14ac:dyDescent="0.35">
      <c r="C2020">
        <f t="shared" si="32"/>
        <v>2018</v>
      </c>
      <c r="D2020" s="1">
        <v>43118</v>
      </c>
      <c r="E2020">
        <v>94.437200000000004</v>
      </c>
    </row>
    <row r="2021" spans="3:5" x14ac:dyDescent="0.35">
      <c r="C2021">
        <f t="shared" si="32"/>
        <v>2018</v>
      </c>
      <c r="D2021" s="1">
        <v>43119</v>
      </c>
      <c r="E2021">
        <v>92.9649</v>
      </c>
    </row>
    <row r="2022" spans="3:5" x14ac:dyDescent="0.35">
      <c r="C2022">
        <f t="shared" si="32"/>
        <v>2018</v>
      </c>
      <c r="D2022" s="1">
        <v>43122</v>
      </c>
      <c r="E2022">
        <v>94.196799999999996</v>
      </c>
    </row>
    <row r="2023" spans="3:5" x14ac:dyDescent="0.35">
      <c r="C2023">
        <f t="shared" si="32"/>
        <v>2018</v>
      </c>
      <c r="D2023" s="1">
        <v>43123</v>
      </c>
      <c r="E2023">
        <v>96.314499999999995</v>
      </c>
    </row>
    <row r="2024" spans="3:5" x14ac:dyDescent="0.35">
      <c r="C2024">
        <f t="shared" si="32"/>
        <v>2018</v>
      </c>
      <c r="D2024" s="1">
        <v>43124</v>
      </c>
      <c r="E2024">
        <v>94.418999999999997</v>
      </c>
    </row>
    <row r="2025" spans="3:5" x14ac:dyDescent="0.35">
      <c r="C2025">
        <f t="shared" si="32"/>
        <v>2018</v>
      </c>
      <c r="D2025" s="1">
        <v>43125</v>
      </c>
      <c r="E2025">
        <v>92.491200000000006</v>
      </c>
    </row>
    <row r="2026" spans="3:5" x14ac:dyDescent="0.35">
      <c r="C2026">
        <f t="shared" si="32"/>
        <v>2018</v>
      </c>
      <c r="D2026" s="1">
        <v>43126</v>
      </c>
      <c r="E2026">
        <v>94.322000000000003</v>
      </c>
    </row>
    <row r="2027" spans="3:5" x14ac:dyDescent="0.35">
      <c r="C2027">
        <f t="shared" si="32"/>
        <v>2018</v>
      </c>
      <c r="D2027" s="1">
        <v>43130</v>
      </c>
      <c r="E2027">
        <v>96.576400000000007</v>
      </c>
    </row>
    <row r="2028" spans="3:5" x14ac:dyDescent="0.35">
      <c r="C2028">
        <f t="shared" si="32"/>
        <v>2018</v>
      </c>
      <c r="D2028" s="1">
        <v>43131</v>
      </c>
      <c r="E2028">
        <v>101.3879</v>
      </c>
    </row>
    <row r="2029" spans="3:5" x14ac:dyDescent="0.35">
      <c r="C2029">
        <f t="shared" si="32"/>
        <v>2018</v>
      </c>
      <c r="D2029" s="1">
        <v>43132</v>
      </c>
      <c r="E2029">
        <v>103.3582</v>
      </c>
    </row>
    <row r="2030" spans="3:5" x14ac:dyDescent="0.35">
      <c r="C2030">
        <f t="shared" si="32"/>
        <v>2018</v>
      </c>
      <c r="D2030" s="1">
        <v>43133</v>
      </c>
      <c r="E2030">
        <v>103.8733</v>
      </c>
    </row>
    <row r="2031" spans="3:5" x14ac:dyDescent="0.35">
      <c r="C2031">
        <f t="shared" si="32"/>
        <v>2018</v>
      </c>
      <c r="D2031" s="1">
        <v>43136</v>
      </c>
      <c r="E2031">
        <v>107.0819</v>
      </c>
    </row>
    <row r="2032" spans="3:5" x14ac:dyDescent="0.35">
      <c r="C2032">
        <f t="shared" si="32"/>
        <v>2018</v>
      </c>
      <c r="D2032" s="1">
        <v>43137</v>
      </c>
      <c r="E2032">
        <v>106.10339999999999</v>
      </c>
    </row>
    <row r="2033" spans="3:5" x14ac:dyDescent="0.35">
      <c r="C2033">
        <f t="shared" si="32"/>
        <v>2018</v>
      </c>
      <c r="D2033" s="1">
        <v>43138</v>
      </c>
      <c r="E2033">
        <v>104.9425</v>
      </c>
    </row>
    <row r="2034" spans="3:5" x14ac:dyDescent="0.35">
      <c r="C2034">
        <f t="shared" si="32"/>
        <v>2018</v>
      </c>
      <c r="D2034" s="1">
        <v>43139</v>
      </c>
      <c r="E2034">
        <v>100.31359999999999</v>
      </c>
    </row>
    <row r="2035" spans="3:5" x14ac:dyDescent="0.35">
      <c r="C2035">
        <f t="shared" si="32"/>
        <v>2018</v>
      </c>
      <c r="D2035" s="1">
        <v>43140</v>
      </c>
      <c r="E2035">
        <v>104.7838</v>
      </c>
    </row>
    <row r="2036" spans="3:5" x14ac:dyDescent="0.35">
      <c r="C2036">
        <f t="shared" si="32"/>
        <v>2018</v>
      </c>
      <c r="D2036" s="1">
        <v>43143</v>
      </c>
      <c r="E2036">
        <v>105.7268</v>
      </c>
    </row>
    <row r="2037" spans="3:5" x14ac:dyDescent="0.35">
      <c r="C2037">
        <f t="shared" si="32"/>
        <v>2018</v>
      </c>
      <c r="D2037" s="1">
        <v>43144</v>
      </c>
      <c r="E2037">
        <v>104.2195</v>
      </c>
    </row>
    <row r="2038" spans="3:5" x14ac:dyDescent="0.35">
      <c r="C2038">
        <f t="shared" si="32"/>
        <v>2018</v>
      </c>
      <c r="D2038" s="1">
        <v>43145</v>
      </c>
      <c r="E2038">
        <v>99.569199999999995</v>
      </c>
    </row>
    <row r="2039" spans="3:5" x14ac:dyDescent="0.35">
      <c r="C2039">
        <f t="shared" si="32"/>
        <v>2018</v>
      </c>
      <c r="D2039" s="1">
        <v>43146</v>
      </c>
      <c r="E2039">
        <v>104.8028</v>
      </c>
    </row>
    <row r="2040" spans="3:5" x14ac:dyDescent="0.35">
      <c r="C2040">
        <f t="shared" si="32"/>
        <v>2018</v>
      </c>
      <c r="D2040" s="1">
        <v>43147</v>
      </c>
      <c r="E2040">
        <v>105.688</v>
      </c>
    </row>
    <row r="2041" spans="3:5" x14ac:dyDescent="0.35">
      <c r="C2041">
        <f t="shared" si="32"/>
        <v>2018</v>
      </c>
      <c r="D2041" s="1">
        <v>43151</v>
      </c>
      <c r="E2041">
        <v>104.0129</v>
      </c>
    </row>
    <row r="2042" spans="3:5" x14ac:dyDescent="0.35">
      <c r="C2042">
        <f t="shared" si="32"/>
        <v>2018</v>
      </c>
      <c r="D2042" s="1">
        <v>43152</v>
      </c>
      <c r="E2042">
        <v>108.68519999999999</v>
      </c>
    </row>
    <row r="2043" spans="3:5" x14ac:dyDescent="0.35">
      <c r="C2043">
        <f t="shared" si="32"/>
        <v>2018</v>
      </c>
      <c r="D2043" s="1">
        <v>43153</v>
      </c>
      <c r="E2043">
        <v>109.05289999999999</v>
      </c>
    </row>
    <row r="2044" spans="3:5" x14ac:dyDescent="0.35">
      <c r="C2044">
        <f t="shared" si="32"/>
        <v>2018</v>
      </c>
      <c r="D2044" s="1">
        <v>43154</v>
      </c>
      <c r="E2044">
        <v>113.11409999999999</v>
      </c>
    </row>
    <row r="2045" spans="3:5" x14ac:dyDescent="0.35">
      <c r="C2045">
        <f t="shared" si="32"/>
        <v>2018</v>
      </c>
      <c r="D2045" s="1">
        <v>43157</v>
      </c>
      <c r="E2045">
        <v>116.7505</v>
      </c>
    </row>
    <row r="2046" spans="3:5" x14ac:dyDescent="0.35">
      <c r="C2046">
        <f t="shared" si="32"/>
        <v>2018</v>
      </c>
      <c r="D2046" s="1">
        <v>43158</v>
      </c>
      <c r="E2046">
        <v>116.4362</v>
      </c>
    </row>
    <row r="2047" spans="3:5" x14ac:dyDescent="0.35">
      <c r="C2047">
        <f t="shared" si="32"/>
        <v>2018</v>
      </c>
      <c r="D2047" s="1">
        <v>43159</v>
      </c>
      <c r="E2047">
        <v>117.8103</v>
      </c>
    </row>
    <row r="2048" spans="3:5" x14ac:dyDescent="0.35">
      <c r="C2048">
        <f t="shared" si="32"/>
        <v>2018</v>
      </c>
      <c r="D2048" s="1">
        <v>43160</v>
      </c>
      <c r="E2048">
        <v>122.5986</v>
      </c>
    </row>
    <row r="2049" spans="3:5" x14ac:dyDescent="0.35">
      <c r="C2049">
        <f t="shared" si="32"/>
        <v>2018</v>
      </c>
      <c r="D2049" s="1">
        <v>43161</v>
      </c>
      <c r="E2049">
        <v>115.4397</v>
      </c>
    </row>
    <row r="2050" spans="3:5" x14ac:dyDescent="0.35">
      <c r="C2050">
        <f t="shared" si="32"/>
        <v>2018</v>
      </c>
      <c r="D2050" s="1">
        <v>43164</v>
      </c>
      <c r="E2050">
        <v>116.00109999999999</v>
      </c>
    </row>
    <row r="2051" spans="3:5" x14ac:dyDescent="0.35">
      <c r="C2051">
        <f t="shared" ref="C2051:C2114" si="33">YEAR(D2051)</f>
        <v>2018</v>
      </c>
      <c r="D2051" s="1">
        <v>43165</v>
      </c>
      <c r="E2051">
        <v>105.6407</v>
      </c>
    </row>
    <row r="2052" spans="3:5" x14ac:dyDescent="0.35">
      <c r="C2052">
        <f t="shared" si="33"/>
        <v>2018</v>
      </c>
      <c r="D2052" s="1">
        <v>43166</v>
      </c>
      <c r="E2052">
        <v>107.25539999999999</v>
      </c>
    </row>
    <row r="2053" spans="3:5" x14ac:dyDescent="0.35">
      <c r="C2053">
        <f t="shared" si="33"/>
        <v>2018</v>
      </c>
      <c r="D2053" s="1">
        <v>43167</v>
      </c>
      <c r="E2053">
        <v>104.7531</v>
      </c>
    </row>
    <row r="2054" spans="3:5" x14ac:dyDescent="0.35">
      <c r="C2054">
        <f t="shared" si="33"/>
        <v>2018</v>
      </c>
      <c r="D2054" s="1">
        <v>43168</v>
      </c>
      <c r="E2054">
        <v>102.9156</v>
      </c>
    </row>
    <row r="2055" spans="3:5" x14ac:dyDescent="0.35">
      <c r="C2055">
        <f t="shared" si="33"/>
        <v>2018</v>
      </c>
      <c r="D2055" s="1">
        <v>43171</v>
      </c>
      <c r="E2055">
        <v>108.4081</v>
      </c>
    </row>
    <row r="2056" spans="3:5" x14ac:dyDescent="0.35">
      <c r="C2056">
        <f t="shared" si="33"/>
        <v>2018</v>
      </c>
      <c r="D2056" s="1">
        <v>43172</v>
      </c>
      <c r="E2056">
        <v>109.7619</v>
      </c>
    </row>
    <row r="2057" spans="3:5" x14ac:dyDescent="0.35">
      <c r="C2057">
        <f t="shared" si="33"/>
        <v>2018</v>
      </c>
      <c r="D2057" s="1">
        <v>43173</v>
      </c>
      <c r="E2057">
        <v>111.7841</v>
      </c>
    </row>
    <row r="2058" spans="3:5" x14ac:dyDescent="0.35">
      <c r="C2058">
        <f t="shared" si="33"/>
        <v>2018</v>
      </c>
      <c r="D2058" s="1">
        <v>43174</v>
      </c>
      <c r="E2058">
        <v>110.3626</v>
      </c>
    </row>
    <row r="2059" spans="3:5" x14ac:dyDescent="0.35">
      <c r="C2059">
        <f t="shared" si="33"/>
        <v>2018</v>
      </c>
      <c r="D2059" s="1">
        <v>43175</v>
      </c>
      <c r="E2059">
        <v>111.4843</v>
      </c>
    </row>
    <row r="2060" spans="3:5" x14ac:dyDescent="0.35">
      <c r="C2060">
        <f t="shared" si="33"/>
        <v>2018</v>
      </c>
      <c r="D2060" s="1">
        <v>43178</v>
      </c>
      <c r="E2060">
        <v>107.9058</v>
      </c>
    </row>
    <row r="2061" spans="3:5" x14ac:dyDescent="0.35">
      <c r="C2061">
        <f t="shared" si="33"/>
        <v>2018</v>
      </c>
      <c r="D2061" s="1">
        <v>43179</v>
      </c>
      <c r="E2061">
        <v>113.4636</v>
      </c>
    </row>
    <row r="2062" spans="3:5" x14ac:dyDescent="0.35">
      <c r="C2062">
        <f t="shared" si="33"/>
        <v>2018</v>
      </c>
      <c r="D2062" s="1">
        <v>43180</v>
      </c>
      <c r="E2062">
        <v>113.3772</v>
      </c>
    </row>
    <row r="2063" spans="3:5" x14ac:dyDescent="0.35">
      <c r="C2063">
        <f t="shared" si="33"/>
        <v>2018</v>
      </c>
      <c r="D2063" s="1">
        <v>43181</v>
      </c>
      <c r="E2063">
        <v>112.8883</v>
      </c>
    </row>
    <row r="2064" spans="3:5" x14ac:dyDescent="0.35">
      <c r="C2064">
        <f t="shared" si="33"/>
        <v>2018</v>
      </c>
      <c r="D2064" s="1">
        <v>43182</v>
      </c>
      <c r="E2064">
        <v>109.05459999999999</v>
      </c>
    </row>
    <row r="2065" spans="3:5" x14ac:dyDescent="0.35">
      <c r="C2065">
        <f t="shared" si="33"/>
        <v>2018</v>
      </c>
      <c r="D2065" s="1">
        <v>43185</v>
      </c>
      <c r="E2065">
        <v>110.8036</v>
      </c>
    </row>
    <row r="2066" spans="3:5" x14ac:dyDescent="0.35">
      <c r="C2066">
        <f t="shared" si="33"/>
        <v>2018</v>
      </c>
      <c r="D2066" s="1">
        <v>43186</v>
      </c>
      <c r="E2066">
        <v>111.0479</v>
      </c>
    </row>
    <row r="2067" spans="3:5" x14ac:dyDescent="0.35">
      <c r="C2067">
        <f t="shared" si="33"/>
        <v>2018</v>
      </c>
      <c r="D2067" s="1">
        <v>43187</v>
      </c>
      <c r="E2067">
        <v>109.32089999999999</v>
      </c>
    </row>
    <row r="2068" spans="3:5" x14ac:dyDescent="0.35">
      <c r="C2068">
        <f t="shared" si="33"/>
        <v>2018</v>
      </c>
      <c r="D2068" s="1">
        <v>43188</v>
      </c>
      <c r="E2068">
        <v>113.66200000000001</v>
      </c>
    </row>
    <row r="2069" spans="3:5" x14ac:dyDescent="0.35">
      <c r="C2069">
        <f t="shared" si="33"/>
        <v>2018</v>
      </c>
      <c r="D2069" s="1">
        <v>43192</v>
      </c>
      <c r="E2069">
        <v>111.71720000000001</v>
      </c>
    </row>
    <row r="2070" spans="3:5" x14ac:dyDescent="0.35">
      <c r="C2070">
        <f t="shared" si="33"/>
        <v>2018</v>
      </c>
      <c r="D2070" s="1">
        <v>43193</v>
      </c>
      <c r="E2070">
        <v>113.9533</v>
      </c>
    </row>
    <row r="2071" spans="3:5" x14ac:dyDescent="0.35">
      <c r="C2071">
        <f t="shared" si="33"/>
        <v>2018</v>
      </c>
      <c r="D2071" s="1">
        <v>43194</v>
      </c>
      <c r="E2071">
        <v>112.9397</v>
      </c>
    </row>
    <row r="2072" spans="3:5" x14ac:dyDescent="0.35">
      <c r="C2072">
        <f t="shared" si="33"/>
        <v>2018</v>
      </c>
      <c r="D2072" s="1">
        <v>43195</v>
      </c>
      <c r="E2072">
        <v>114.3472</v>
      </c>
    </row>
    <row r="2073" spans="3:5" x14ac:dyDescent="0.35">
      <c r="C2073">
        <f t="shared" si="33"/>
        <v>2018</v>
      </c>
      <c r="D2073" s="1">
        <v>43196</v>
      </c>
      <c r="E2073">
        <v>113.6588</v>
      </c>
    </row>
    <row r="2074" spans="3:5" x14ac:dyDescent="0.35">
      <c r="C2074">
        <f t="shared" si="33"/>
        <v>2018</v>
      </c>
      <c r="D2074" s="1">
        <v>43199</v>
      </c>
      <c r="E2074">
        <v>113.2419</v>
      </c>
    </row>
    <row r="2075" spans="3:5" x14ac:dyDescent="0.35">
      <c r="C2075">
        <f t="shared" si="33"/>
        <v>2018</v>
      </c>
      <c r="D2075" s="1">
        <v>43200</v>
      </c>
      <c r="E2075">
        <v>109.416</v>
      </c>
    </row>
    <row r="2076" spans="3:5" x14ac:dyDescent="0.35">
      <c r="C2076">
        <f t="shared" si="33"/>
        <v>2018</v>
      </c>
      <c r="D2076" s="1">
        <v>43201</v>
      </c>
      <c r="E2076">
        <v>104.00190000000001</v>
      </c>
    </row>
    <row r="2077" spans="3:5" x14ac:dyDescent="0.35">
      <c r="C2077">
        <f t="shared" si="33"/>
        <v>2018</v>
      </c>
      <c r="D2077" s="1">
        <v>43202</v>
      </c>
      <c r="E2077">
        <v>104.3883</v>
      </c>
    </row>
    <row r="2078" spans="3:5" x14ac:dyDescent="0.35">
      <c r="C2078">
        <f t="shared" si="33"/>
        <v>2018</v>
      </c>
      <c r="D2078" s="1">
        <v>43203</v>
      </c>
      <c r="E2078">
        <v>103.1061</v>
      </c>
    </row>
    <row r="2079" spans="3:5" x14ac:dyDescent="0.35">
      <c r="C2079">
        <f t="shared" si="33"/>
        <v>2018</v>
      </c>
      <c r="D2079" s="1">
        <v>43206</v>
      </c>
      <c r="E2079">
        <v>108.0543</v>
      </c>
    </row>
    <row r="2080" spans="3:5" x14ac:dyDescent="0.35">
      <c r="C2080">
        <f t="shared" si="33"/>
        <v>2018</v>
      </c>
      <c r="D2080" s="1">
        <v>43207</v>
      </c>
      <c r="E2080">
        <v>102.7741</v>
      </c>
    </row>
    <row r="2081" spans="3:5" x14ac:dyDescent="0.35">
      <c r="C2081">
        <f t="shared" si="33"/>
        <v>2018</v>
      </c>
      <c r="D2081" s="1">
        <v>43208</v>
      </c>
      <c r="E2081">
        <v>107.023</v>
      </c>
    </row>
    <row r="2082" spans="3:5" x14ac:dyDescent="0.35">
      <c r="C2082">
        <f t="shared" si="33"/>
        <v>2018</v>
      </c>
      <c r="D2082" s="1">
        <v>43209</v>
      </c>
      <c r="E2082">
        <v>108.6016</v>
      </c>
    </row>
    <row r="2083" spans="3:5" x14ac:dyDescent="0.35">
      <c r="C2083">
        <f t="shared" si="33"/>
        <v>2018</v>
      </c>
      <c r="D2083" s="1">
        <v>43210</v>
      </c>
      <c r="E2083">
        <v>104.9044</v>
      </c>
    </row>
    <row r="2084" spans="3:5" x14ac:dyDescent="0.35">
      <c r="C2084">
        <f t="shared" si="33"/>
        <v>2018</v>
      </c>
      <c r="D2084" s="1">
        <v>43213</v>
      </c>
      <c r="E2084">
        <v>105.1812</v>
      </c>
    </row>
    <row r="2085" spans="3:5" x14ac:dyDescent="0.35">
      <c r="C2085">
        <f t="shared" si="33"/>
        <v>2018</v>
      </c>
      <c r="D2085" s="1">
        <v>43214</v>
      </c>
      <c r="E2085">
        <v>99.867999999999995</v>
      </c>
    </row>
    <row r="2086" spans="3:5" x14ac:dyDescent="0.35">
      <c r="C2086">
        <f t="shared" si="33"/>
        <v>2018</v>
      </c>
      <c r="D2086" s="1">
        <v>43215</v>
      </c>
      <c r="E2086">
        <v>99.318100000000001</v>
      </c>
    </row>
    <row r="2087" spans="3:5" x14ac:dyDescent="0.35">
      <c r="C2087">
        <f t="shared" si="33"/>
        <v>2018</v>
      </c>
      <c r="D2087" s="1">
        <v>43216</v>
      </c>
      <c r="E2087">
        <v>98.950800000000001</v>
      </c>
    </row>
    <row r="2088" spans="3:5" x14ac:dyDescent="0.35">
      <c r="C2088">
        <f t="shared" si="33"/>
        <v>2018</v>
      </c>
      <c r="D2088" s="1">
        <v>43217</v>
      </c>
      <c r="E2088">
        <v>100.8167</v>
      </c>
    </row>
    <row r="2089" spans="3:5" x14ac:dyDescent="0.35">
      <c r="C2089">
        <f t="shared" si="33"/>
        <v>2018</v>
      </c>
      <c r="D2089" s="1">
        <v>43220</v>
      </c>
      <c r="E2089">
        <v>97.402699999999996</v>
      </c>
    </row>
    <row r="2090" spans="3:5" x14ac:dyDescent="0.35">
      <c r="C2090">
        <f t="shared" si="33"/>
        <v>2018</v>
      </c>
      <c r="D2090" s="1">
        <v>43221</v>
      </c>
      <c r="E2090">
        <v>98.208100000000002</v>
      </c>
    </row>
    <row r="2091" spans="3:5" x14ac:dyDescent="0.35">
      <c r="C2091">
        <f t="shared" si="33"/>
        <v>2018</v>
      </c>
      <c r="D2091" s="1">
        <v>43222</v>
      </c>
      <c r="E2091">
        <v>99.138199999999998</v>
      </c>
    </row>
    <row r="2092" spans="3:5" x14ac:dyDescent="0.35">
      <c r="C2092">
        <f t="shared" si="33"/>
        <v>2018</v>
      </c>
      <c r="D2092" s="1">
        <v>43223</v>
      </c>
      <c r="E2092">
        <v>95.030299999999997</v>
      </c>
    </row>
    <row r="2093" spans="3:5" x14ac:dyDescent="0.35">
      <c r="C2093">
        <f t="shared" si="33"/>
        <v>2018</v>
      </c>
      <c r="D2093" s="1">
        <v>43224</v>
      </c>
      <c r="E2093">
        <v>92.6297</v>
      </c>
    </row>
    <row r="2094" spans="3:5" x14ac:dyDescent="0.35">
      <c r="C2094">
        <f t="shared" si="33"/>
        <v>2018</v>
      </c>
      <c r="D2094" s="1">
        <v>43227</v>
      </c>
      <c r="E2094">
        <v>92.763999999999996</v>
      </c>
    </row>
    <row r="2095" spans="3:5" x14ac:dyDescent="0.35">
      <c r="C2095">
        <f t="shared" si="33"/>
        <v>2018</v>
      </c>
      <c r="D2095" s="1">
        <v>43228</v>
      </c>
      <c r="E2095">
        <v>89.073300000000003</v>
      </c>
    </row>
    <row r="2096" spans="3:5" x14ac:dyDescent="0.35">
      <c r="C2096">
        <f t="shared" si="33"/>
        <v>2018</v>
      </c>
      <c r="D2096" s="1">
        <v>43229</v>
      </c>
      <c r="E2096">
        <v>89.924599999999998</v>
      </c>
    </row>
    <row r="2097" spans="3:5" x14ac:dyDescent="0.35">
      <c r="C2097">
        <f t="shared" si="33"/>
        <v>2018</v>
      </c>
      <c r="D2097" s="1">
        <v>43230</v>
      </c>
      <c r="E2097">
        <v>90.746399999999994</v>
      </c>
    </row>
    <row r="2098" spans="3:5" x14ac:dyDescent="0.35">
      <c r="C2098">
        <f t="shared" si="33"/>
        <v>2018</v>
      </c>
      <c r="D2098" s="1">
        <v>43231</v>
      </c>
      <c r="E2098">
        <v>90.860500000000002</v>
      </c>
    </row>
    <row r="2099" spans="3:5" x14ac:dyDescent="0.35">
      <c r="C2099">
        <f t="shared" si="33"/>
        <v>2018</v>
      </c>
      <c r="D2099" s="1">
        <v>43234</v>
      </c>
      <c r="E2099">
        <v>91.837699999999998</v>
      </c>
    </row>
    <row r="2100" spans="3:5" x14ac:dyDescent="0.35">
      <c r="C2100">
        <f t="shared" si="33"/>
        <v>2018</v>
      </c>
      <c r="D2100" s="1">
        <v>43235</v>
      </c>
      <c r="E2100">
        <v>92.626999999999995</v>
      </c>
    </row>
    <row r="2101" spans="3:5" x14ac:dyDescent="0.35">
      <c r="C2101">
        <f t="shared" si="33"/>
        <v>2018</v>
      </c>
      <c r="D2101" s="1">
        <v>43236</v>
      </c>
      <c r="E2101">
        <v>89.473500000000001</v>
      </c>
    </row>
    <row r="2102" spans="3:5" x14ac:dyDescent="0.35">
      <c r="C2102">
        <f t="shared" si="33"/>
        <v>2018</v>
      </c>
      <c r="D2102" s="1">
        <v>43237</v>
      </c>
      <c r="E2102">
        <v>88.535200000000003</v>
      </c>
    </row>
    <row r="2103" spans="3:5" x14ac:dyDescent="0.35">
      <c r="C2103">
        <f t="shared" si="33"/>
        <v>2018</v>
      </c>
      <c r="D2103" s="1">
        <v>43238</v>
      </c>
      <c r="E2103">
        <v>88.080200000000005</v>
      </c>
    </row>
    <row r="2104" spans="3:5" x14ac:dyDescent="0.35">
      <c r="C2104">
        <f t="shared" si="33"/>
        <v>2018</v>
      </c>
      <c r="D2104" s="1">
        <v>43241</v>
      </c>
      <c r="E2104">
        <v>90.619600000000005</v>
      </c>
    </row>
    <row r="2105" spans="3:5" x14ac:dyDescent="0.35">
      <c r="C2105">
        <f t="shared" si="33"/>
        <v>2018</v>
      </c>
      <c r="D2105" s="1">
        <v>43242</v>
      </c>
      <c r="E2105">
        <v>88.050200000000004</v>
      </c>
    </row>
    <row r="2106" spans="3:5" x14ac:dyDescent="0.35">
      <c r="C2106">
        <f t="shared" si="33"/>
        <v>2018</v>
      </c>
      <c r="D2106" s="1">
        <v>43243</v>
      </c>
      <c r="E2106">
        <v>84.686099999999996</v>
      </c>
    </row>
    <row r="2107" spans="3:5" x14ac:dyDescent="0.35">
      <c r="C2107">
        <f t="shared" si="33"/>
        <v>2018</v>
      </c>
      <c r="D2107" s="1">
        <v>43244</v>
      </c>
      <c r="E2107">
        <v>81.714299999999994</v>
      </c>
    </row>
    <row r="2108" spans="3:5" x14ac:dyDescent="0.35">
      <c r="C2108">
        <f t="shared" si="33"/>
        <v>2018</v>
      </c>
      <c r="D2108" s="1">
        <v>43245</v>
      </c>
      <c r="E2108">
        <v>83.295599999999993</v>
      </c>
    </row>
    <row r="2109" spans="3:5" x14ac:dyDescent="0.35">
      <c r="C2109">
        <f t="shared" si="33"/>
        <v>2018</v>
      </c>
      <c r="D2109" s="1">
        <v>43249</v>
      </c>
      <c r="E2109">
        <v>91.412700000000001</v>
      </c>
    </row>
    <row r="2110" spans="3:5" x14ac:dyDescent="0.35">
      <c r="C2110">
        <f t="shared" si="33"/>
        <v>2018</v>
      </c>
      <c r="D2110" s="1">
        <v>43250</v>
      </c>
      <c r="E2110">
        <v>90.872600000000006</v>
      </c>
    </row>
    <row r="2111" spans="3:5" x14ac:dyDescent="0.35">
      <c r="C2111">
        <f t="shared" si="33"/>
        <v>2018</v>
      </c>
      <c r="D2111" s="1">
        <v>43251</v>
      </c>
      <c r="E2111">
        <v>89.087000000000003</v>
      </c>
    </row>
    <row r="2112" spans="3:5" x14ac:dyDescent="0.35">
      <c r="C2112">
        <f t="shared" si="33"/>
        <v>2018</v>
      </c>
      <c r="D2112" s="1">
        <v>43252</v>
      </c>
      <c r="E2112">
        <v>87.855500000000006</v>
      </c>
    </row>
    <row r="2113" spans="3:5" x14ac:dyDescent="0.35">
      <c r="C2113">
        <f t="shared" si="33"/>
        <v>2018</v>
      </c>
      <c r="D2113" s="1">
        <v>43255</v>
      </c>
      <c r="E2113">
        <v>84.431600000000003</v>
      </c>
    </row>
    <row r="2114" spans="3:5" x14ac:dyDescent="0.35">
      <c r="C2114">
        <f t="shared" si="33"/>
        <v>2018</v>
      </c>
      <c r="D2114" s="1">
        <v>43256</v>
      </c>
      <c r="E2114">
        <v>83.653199999999998</v>
      </c>
    </row>
    <row r="2115" spans="3:5" x14ac:dyDescent="0.35">
      <c r="C2115">
        <f t="shared" ref="C2115:C2178" si="34">YEAR(D2115)</f>
        <v>2018</v>
      </c>
      <c r="D2115" s="1">
        <v>43257</v>
      </c>
      <c r="E2115">
        <v>79.741299999999995</v>
      </c>
    </row>
    <row r="2116" spans="3:5" x14ac:dyDescent="0.35">
      <c r="C2116">
        <f t="shared" si="34"/>
        <v>2018</v>
      </c>
      <c r="D2116" s="1">
        <v>43258</v>
      </c>
      <c r="E2116">
        <v>79.622299999999996</v>
      </c>
    </row>
    <row r="2117" spans="3:5" x14ac:dyDescent="0.35">
      <c r="C2117">
        <f t="shared" si="34"/>
        <v>2018</v>
      </c>
      <c r="D2117" s="1">
        <v>43259</v>
      </c>
      <c r="E2117">
        <v>72.091499999999996</v>
      </c>
    </row>
    <row r="2118" spans="3:5" x14ac:dyDescent="0.35">
      <c r="C2118">
        <f t="shared" si="34"/>
        <v>2018</v>
      </c>
      <c r="D2118" s="1">
        <v>43262</v>
      </c>
      <c r="E2118">
        <v>75.438699999999997</v>
      </c>
    </row>
    <row r="2119" spans="3:5" x14ac:dyDescent="0.35">
      <c r="C2119">
        <f t="shared" si="34"/>
        <v>2018</v>
      </c>
      <c r="D2119" s="1">
        <v>43263</v>
      </c>
      <c r="E2119">
        <v>70.332999999999998</v>
      </c>
    </row>
    <row r="2120" spans="3:5" x14ac:dyDescent="0.35">
      <c r="C2120">
        <f t="shared" si="34"/>
        <v>2018</v>
      </c>
      <c r="D2120" s="1">
        <v>43264</v>
      </c>
      <c r="E2120">
        <v>67.030299999999997</v>
      </c>
    </row>
    <row r="2121" spans="3:5" x14ac:dyDescent="0.35">
      <c r="C2121">
        <f t="shared" si="34"/>
        <v>2018</v>
      </c>
      <c r="D2121" s="1">
        <v>43265</v>
      </c>
      <c r="E2121">
        <v>65.784800000000004</v>
      </c>
    </row>
    <row r="2122" spans="3:5" x14ac:dyDescent="0.35">
      <c r="C2122">
        <f t="shared" si="34"/>
        <v>2018</v>
      </c>
      <c r="D2122" s="1">
        <v>43266</v>
      </c>
      <c r="E2122">
        <v>66.211799999999997</v>
      </c>
    </row>
    <row r="2123" spans="3:5" x14ac:dyDescent="0.35">
      <c r="C2123">
        <f t="shared" si="34"/>
        <v>2018</v>
      </c>
      <c r="D2123" s="1">
        <v>43269</v>
      </c>
      <c r="E2123">
        <v>64.4709</v>
      </c>
    </row>
    <row r="2124" spans="3:5" x14ac:dyDescent="0.35">
      <c r="C2124">
        <f t="shared" si="34"/>
        <v>2018</v>
      </c>
      <c r="D2124" s="1">
        <v>43270</v>
      </c>
      <c r="E2124">
        <v>66.358999999999995</v>
      </c>
    </row>
    <row r="2125" spans="3:5" x14ac:dyDescent="0.35">
      <c r="C2125">
        <f t="shared" si="34"/>
        <v>2018</v>
      </c>
      <c r="D2125" s="1">
        <v>43271</v>
      </c>
      <c r="E2125">
        <v>65.249600000000001</v>
      </c>
    </row>
    <row r="2126" spans="3:5" x14ac:dyDescent="0.35">
      <c r="C2126">
        <f t="shared" si="34"/>
        <v>2018</v>
      </c>
      <c r="D2126" s="1">
        <v>43272</v>
      </c>
      <c r="E2126">
        <v>67.066699999999997</v>
      </c>
    </row>
    <row r="2127" spans="3:5" x14ac:dyDescent="0.35">
      <c r="C2127">
        <f t="shared" si="34"/>
        <v>2018</v>
      </c>
      <c r="D2127" s="1">
        <v>43273</v>
      </c>
      <c r="E2127">
        <v>66.599299999999999</v>
      </c>
    </row>
    <row r="2128" spans="3:5" x14ac:dyDescent="0.35">
      <c r="C2128">
        <f t="shared" si="34"/>
        <v>2018</v>
      </c>
      <c r="D2128" s="1">
        <v>43276</v>
      </c>
      <c r="E2128">
        <v>67.001900000000006</v>
      </c>
    </row>
    <row r="2129" spans="3:5" x14ac:dyDescent="0.35">
      <c r="C2129">
        <f t="shared" si="34"/>
        <v>2018</v>
      </c>
      <c r="D2129" s="1">
        <v>43277</v>
      </c>
      <c r="E2129">
        <v>68.547600000000003</v>
      </c>
    </row>
    <row r="2130" spans="3:5" x14ac:dyDescent="0.35">
      <c r="C2130">
        <f t="shared" si="34"/>
        <v>2018</v>
      </c>
      <c r="D2130" s="1">
        <v>43278</v>
      </c>
      <c r="E2130">
        <v>74.094099999999997</v>
      </c>
    </row>
    <row r="2131" spans="3:5" x14ac:dyDescent="0.35">
      <c r="C2131">
        <f t="shared" si="34"/>
        <v>2018</v>
      </c>
      <c r="D2131" s="1">
        <v>43279</v>
      </c>
      <c r="E2131">
        <v>73.7881</v>
      </c>
    </row>
    <row r="2132" spans="3:5" x14ac:dyDescent="0.35">
      <c r="C2132">
        <f t="shared" si="34"/>
        <v>2018</v>
      </c>
      <c r="D2132" s="1">
        <v>43280</v>
      </c>
      <c r="E2132">
        <v>73.046599999999998</v>
      </c>
    </row>
    <row r="2133" spans="3:5" x14ac:dyDescent="0.35">
      <c r="C2133">
        <f t="shared" si="34"/>
        <v>2018</v>
      </c>
      <c r="D2133" s="1">
        <v>43283</v>
      </c>
      <c r="E2133">
        <v>76.357500000000002</v>
      </c>
    </row>
    <row r="2134" spans="3:5" x14ac:dyDescent="0.35">
      <c r="C2134">
        <f t="shared" si="34"/>
        <v>2018</v>
      </c>
      <c r="D2134" s="1">
        <v>43284</v>
      </c>
      <c r="E2134">
        <v>74.400599999999997</v>
      </c>
    </row>
    <row r="2135" spans="3:5" x14ac:dyDescent="0.35">
      <c r="C2135">
        <f t="shared" si="34"/>
        <v>2018</v>
      </c>
      <c r="D2135" s="1">
        <v>43286</v>
      </c>
      <c r="E2135">
        <v>76.0227</v>
      </c>
    </row>
    <row r="2136" spans="3:5" x14ac:dyDescent="0.35">
      <c r="C2136">
        <f t="shared" si="34"/>
        <v>2018</v>
      </c>
      <c r="D2136" s="1">
        <v>43287</v>
      </c>
      <c r="E2136">
        <v>77.501099999999994</v>
      </c>
    </row>
    <row r="2137" spans="3:5" x14ac:dyDescent="0.35">
      <c r="C2137">
        <f t="shared" si="34"/>
        <v>2018</v>
      </c>
      <c r="D2137" s="1">
        <v>43290</v>
      </c>
      <c r="E2137">
        <v>81.1524</v>
      </c>
    </row>
    <row r="2138" spans="3:5" x14ac:dyDescent="0.35">
      <c r="C2138">
        <f t="shared" si="34"/>
        <v>2018</v>
      </c>
      <c r="D2138" s="1">
        <v>43291</v>
      </c>
      <c r="E2138">
        <v>75.278099999999995</v>
      </c>
    </row>
    <row r="2139" spans="3:5" x14ac:dyDescent="0.35">
      <c r="C2139">
        <f t="shared" si="34"/>
        <v>2018</v>
      </c>
      <c r="D2139" s="1">
        <v>43292</v>
      </c>
      <c r="E2139">
        <v>71.820999999999998</v>
      </c>
    </row>
    <row r="2140" spans="3:5" x14ac:dyDescent="0.35">
      <c r="C2140">
        <f t="shared" si="34"/>
        <v>2018</v>
      </c>
      <c r="D2140" s="1">
        <v>43293</v>
      </c>
      <c r="E2140">
        <v>72.853999999999999</v>
      </c>
    </row>
    <row r="2141" spans="3:5" x14ac:dyDescent="0.35">
      <c r="C2141">
        <f t="shared" si="34"/>
        <v>2018</v>
      </c>
      <c r="D2141" s="1">
        <v>43294</v>
      </c>
      <c r="E2141">
        <v>75.724199999999996</v>
      </c>
    </row>
    <row r="2142" spans="3:5" x14ac:dyDescent="0.35">
      <c r="C2142">
        <f t="shared" si="34"/>
        <v>2018</v>
      </c>
      <c r="D2142" s="1">
        <v>43297</v>
      </c>
      <c r="E2142">
        <v>78.135000000000005</v>
      </c>
    </row>
    <row r="2143" spans="3:5" x14ac:dyDescent="0.35">
      <c r="C2143">
        <f t="shared" si="34"/>
        <v>2018</v>
      </c>
      <c r="D2143" s="1">
        <v>43298</v>
      </c>
      <c r="E2143">
        <v>83.141900000000007</v>
      </c>
    </row>
    <row r="2144" spans="3:5" x14ac:dyDescent="0.35">
      <c r="C2144">
        <f t="shared" si="34"/>
        <v>2018</v>
      </c>
      <c r="D2144" s="1">
        <v>43299</v>
      </c>
      <c r="E2144">
        <v>85.068700000000007</v>
      </c>
    </row>
    <row r="2145" spans="3:5" x14ac:dyDescent="0.35">
      <c r="C2145">
        <f t="shared" si="34"/>
        <v>2018</v>
      </c>
      <c r="D2145" s="1">
        <v>43300</v>
      </c>
      <c r="E2145">
        <v>85.308999999999997</v>
      </c>
    </row>
    <row r="2146" spans="3:5" x14ac:dyDescent="0.35">
      <c r="C2146">
        <f t="shared" si="34"/>
        <v>2018</v>
      </c>
      <c r="D2146" s="1">
        <v>43301</v>
      </c>
      <c r="E2146">
        <v>84.676400000000001</v>
      </c>
    </row>
    <row r="2147" spans="3:5" x14ac:dyDescent="0.35">
      <c r="C2147">
        <f t="shared" si="34"/>
        <v>2018</v>
      </c>
      <c r="D2147" s="1">
        <v>43304</v>
      </c>
      <c r="E2147">
        <v>88.021299999999997</v>
      </c>
    </row>
    <row r="2148" spans="3:5" x14ac:dyDescent="0.35">
      <c r="C2148">
        <f t="shared" si="34"/>
        <v>2018</v>
      </c>
      <c r="D2148" s="1">
        <v>43305</v>
      </c>
      <c r="E2148">
        <v>85.625299999999996</v>
      </c>
    </row>
    <row r="2149" spans="3:5" x14ac:dyDescent="0.35">
      <c r="C2149">
        <f t="shared" si="34"/>
        <v>2018</v>
      </c>
      <c r="D2149" s="1">
        <v>43306</v>
      </c>
      <c r="E2149">
        <v>88.437100000000001</v>
      </c>
    </row>
    <row r="2150" spans="3:5" x14ac:dyDescent="0.35">
      <c r="C2150">
        <f t="shared" si="34"/>
        <v>2018</v>
      </c>
      <c r="D2150" s="1">
        <v>43307</v>
      </c>
      <c r="E2150">
        <v>87.003200000000007</v>
      </c>
    </row>
    <row r="2151" spans="3:5" x14ac:dyDescent="0.35">
      <c r="C2151">
        <f t="shared" si="34"/>
        <v>2018</v>
      </c>
      <c r="D2151" s="1">
        <v>43308</v>
      </c>
      <c r="E2151">
        <v>87.083699999999993</v>
      </c>
    </row>
    <row r="2152" spans="3:5" x14ac:dyDescent="0.35">
      <c r="C2152">
        <f t="shared" si="34"/>
        <v>2018</v>
      </c>
      <c r="D2152" s="1">
        <v>43311</v>
      </c>
      <c r="E2152">
        <v>88.245699999999999</v>
      </c>
    </row>
    <row r="2153" spans="3:5" x14ac:dyDescent="0.35">
      <c r="C2153">
        <f t="shared" si="34"/>
        <v>2018</v>
      </c>
      <c r="D2153" s="1">
        <v>43312</v>
      </c>
      <c r="E2153">
        <v>89.9</v>
      </c>
    </row>
    <row r="2154" spans="3:5" x14ac:dyDescent="0.35">
      <c r="C2154">
        <f t="shared" si="34"/>
        <v>2018</v>
      </c>
      <c r="D2154" s="1">
        <v>43313</v>
      </c>
      <c r="E2154">
        <v>88.9041</v>
      </c>
    </row>
    <row r="2155" spans="3:5" x14ac:dyDescent="0.35">
      <c r="C2155">
        <f t="shared" si="34"/>
        <v>2018</v>
      </c>
      <c r="D2155" s="1">
        <v>43314</v>
      </c>
      <c r="E2155">
        <v>87.2196</v>
      </c>
    </row>
    <row r="2156" spans="3:5" x14ac:dyDescent="0.35">
      <c r="C2156">
        <f t="shared" si="34"/>
        <v>2018</v>
      </c>
      <c r="D2156" s="1">
        <v>43315</v>
      </c>
      <c r="E2156">
        <v>87.491200000000006</v>
      </c>
    </row>
    <row r="2157" spans="3:5" x14ac:dyDescent="0.35">
      <c r="C2157">
        <f t="shared" si="34"/>
        <v>2018</v>
      </c>
      <c r="D2157" s="1">
        <v>43318</v>
      </c>
      <c r="E2157">
        <v>85.766999999999996</v>
      </c>
    </row>
    <row r="2158" spans="3:5" x14ac:dyDescent="0.35">
      <c r="C2158">
        <f t="shared" si="34"/>
        <v>2018</v>
      </c>
      <c r="D2158" s="1">
        <v>43319</v>
      </c>
      <c r="E2158">
        <v>84.450400000000002</v>
      </c>
    </row>
    <row r="2159" spans="3:5" x14ac:dyDescent="0.35">
      <c r="C2159">
        <f t="shared" si="34"/>
        <v>2018</v>
      </c>
      <c r="D2159" s="1">
        <v>43320</v>
      </c>
      <c r="E2159">
        <v>84.571899999999999</v>
      </c>
    </row>
    <row r="2160" spans="3:5" x14ac:dyDescent="0.35">
      <c r="C2160">
        <f t="shared" si="34"/>
        <v>2018</v>
      </c>
      <c r="D2160" s="1">
        <v>43321</v>
      </c>
      <c r="E2160">
        <v>84.021000000000001</v>
      </c>
    </row>
    <row r="2161" spans="3:5" x14ac:dyDescent="0.35">
      <c r="C2161">
        <f t="shared" si="34"/>
        <v>2018</v>
      </c>
      <c r="D2161" s="1">
        <v>43322</v>
      </c>
      <c r="E2161">
        <v>78.914900000000003</v>
      </c>
    </row>
    <row r="2162" spans="3:5" x14ac:dyDescent="0.35">
      <c r="C2162">
        <f t="shared" si="34"/>
        <v>2018</v>
      </c>
      <c r="D2162" s="1">
        <v>43325</v>
      </c>
      <c r="E2162">
        <v>63.378500000000003</v>
      </c>
    </row>
    <row r="2163" spans="3:5" x14ac:dyDescent="0.35">
      <c r="C2163">
        <f t="shared" si="34"/>
        <v>2018</v>
      </c>
      <c r="D2163" s="1">
        <v>43326</v>
      </c>
      <c r="E2163">
        <v>64.379599999999996</v>
      </c>
    </row>
    <row r="2164" spans="3:5" x14ac:dyDescent="0.35">
      <c r="C2164">
        <f t="shared" si="34"/>
        <v>2018</v>
      </c>
      <c r="D2164" s="1">
        <v>43327</v>
      </c>
      <c r="E2164">
        <v>65.924199999999999</v>
      </c>
    </row>
    <row r="2165" spans="3:5" x14ac:dyDescent="0.35">
      <c r="C2165">
        <f t="shared" si="34"/>
        <v>2018</v>
      </c>
      <c r="D2165" s="1">
        <v>43328</v>
      </c>
      <c r="E2165">
        <v>69.339799999999997</v>
      </c>
    </row>
    <row r="2166" spans="3:5" x14ac:dyDescent="0.35">
      <c r="C2166">
        <f t="shared" si="34"/>
        <v>2018</v>
      </c>
      <c r="D2166" s="1">
        <v>43329</v>
      </c>
      <c r="E2166">
        <v>69.041600000000003</v>
      </c>
    </row>
    <row r="2167" spans="3:5" x14ac:dyDescent="0.35">
      <c r="C2167">
        <f t="shared" si="34"/>
        <v>2018</v>
      </c>
      <c r="D2167" s="1">
        <v>43332</v>
      </c>
      <c r="E2167">
        <v>69.794600000000003</v>
      </c>
    </row>
    <row r="2168" spans="3:5" x14ac:dyDescent="0.35">
      <c r="C2168">
        <f t="shared" si="34"/>
        <v>2018</v>
      </c>
      <c r="D2168" s="1">
        <v>43333</v>
      </c>
      <c r="E2168">
        <v>68.424499999999995</v>
      </c>
    </row>
    <row r="2169" spans="3:5" x14ac:dyDescent="0.35">
      <c r="C2169">
        <f t="shared" si="34"/>
        <v>2018</v>
      </c>
      <c r="D2169" s="1">
        <v>43334</v>
      </c>
      <c r="E2169">
        <v>68.4238</v>
      </c>
    </row>
    <row r="2170" spans="3:5" x14ac:dyDescent="0.35">
      <c r="C2170">
        <f t="shared" si="34"/>
        <v>2018</v>
      </c>
      <c r="D2170" s="1">
        <v>43335</v>
      </c>
      <c r="E2170">
        <v>69.551299999999998</v>
      </c>
    </row>
    <row r="2171" spans="3:5" x14ac:dyDescent="0.35">
      <c r="C2171">
        <f t="shared" si="34"/>
        <v>2018</v>
      </c>
      <c r="D2171" s="1">
        <v>43336</v>
      </c>
      <c r="E2171">
        <v>67.6995</v>
      </c>
    </row>
    <row r="2172" spans="3:5" x14ac:dyDescent="0.35">
      <c r="C2172">
        <f t="shared" si="34"/>
        <v>2018</v>
      </c>
      <c r="D2172" s="1">
        <v>43339</v>
      </c>
      <c r="E2172">
        <v>70.718199999999996</v>
      </c>
    </row>
    <row r="2173" spans="3:5" x14ac:dyDescent="0.35">
      <c r="C2173">
        <f t="shared" si="34"/>
        <v>2018</v>
      </c>
      <c r="D2173" s="1">
        <v>43340</v>
      </c>
      <c r="E2173">
        <v>70.2273</v>
      </c>
    </row>
    <row r="2174" spans="3:5" x14ac:dyDescent="0.35">
      <c r="C2174">
        <f t="shared" si="34"/>
        <v>2018</v>
      </c>
      <c r="D2174" s="1">
        <v>43341</v>
      </c>
      <c r="E2174">
        <v>68.367800000000003</v>
      </c>
    </row>
    <row r="2175" spans="3:5" x14ac:dyDescent="0.35">
      <c r="C2175">
        <f t="shared" si="34"/>
        <v>2018</v>
      </c>
      <c r="D2175" s="1">
        <v>43342</v>
      </c>
      <c r="E2175">
        <v>66.554199999999994</v>
      </c>
    </row>
    <row r="2176" spans="3:5" x14ac:dyDescent="0.35">
      <c r="C2176">
        <f t="shared" si="34"/>
        <v>2018</v>
      </c>
      <c r="D2176" s="1">
        <v>43343</v>
      </c>
      <c r="E2176">
        <v>62.646099999999997</v>
      </c>
    </row>
    <row r="2177" spans="3:5" x14ac:dyDescent="0.35">
      <c r="C2177">
        <f t="shared" si="34"/>
        <v>2018</v>
      </c>
      <c r="D2177" s="1">
        <v>43347</v>
      </c>
      <c r="E2177">
        <v>66.594099999999997</v>
      </c>
    </row>
    <row r="2178" spans="3:5" x14ac:dyDescent="0.35">
      <c r="C2178">
        <f t="shared" si="34"/>
        <v>2018</v>
      </c>
      <c r="D2178" s="1">
        <v>43348</v>
      </c>
      <c r="E2178">
        <v>67.357900000000001</v>
      </c>
    </row>
    <row r="2179" spans="3:5" x14ac:dyDescent="0.35">
      <c r="C2179">
        <f t="shared" ref="C2179:C2242" si="35">YEAR(D2179)</f>
        <v>2018</v>
      </c>
      <c r="D2179" s="1">
        <v>43349</v>
      </c>
      <c r="E2179">
        <v>67.706000000000003</v>
      </c>
    </row>
    <row r="2180" spans="3:5" x14ac:dyDescent="0.35">
      <c r="C2180">
        <f t="shared" si="35"/>
        <v>2018</v>
      </c>
      <c r="D2180" s="1">
        <v>43350</v>
      </c>
      <c r="E2180">
        <v>67.959599999999995</v>
      </c>
    </row>
    <row r="2181" spans="3:5" x14ac:dyDescent="0.35">
      <c r="C2181">
        <f t="shared" si="35"/>
        <v>2018</v>
      </c>
      <c r="D2181" s="1">
        <v>43353</v>
      </c>
      <c r="E2181">
        <v>69.140699999999995</v>
      </c>
    </row>
    <row r="2182" spans="3:5" x14ac:dyDescent="0.35">
      <c r="C2182">
        <f t="shared" si="35"/>
        <v>2018</v>
      </c>
      <c r="D2182" s="1">
        <v>43354</v>
      </c>
      <c r="E2182">
        <v>72.084800000000001</v>
      </c>
    </row>
    <row r="2183" spans="3:5" x14ac:dyDescent="0.35">
      <c r="C2183">
        <f t="shared" si="35"/>
        <v>2018</v>
      </c>
      <c r="D2183" s="1">
        <v>43355</v>
      </c>
      <c r="E2183">
        <v>72.226699999999994</v>
      </c>
    </row>
    <row r="2184" spans="3:5" x14ac:dyDescent="0.35">
      <c r="C2184">
        <f t="shared" si="35"/>
        <v>2018</v>
      </c>
      <c r="D2184" s="1">
        <v>43356</v>
      </c>
      <c r="E2184">
        <v>74.064300000000003</v>
      </c>
    </row>
    <row r="2185" spans="3:5" x14ac:dyDescent="0.35">
      <c r="C2185">
        <f t="shared" si="35"/>
        <v>2018</v>
      </c>
      <c r="D2185" s="1">
        <v>43357</v>
      </c>
      <c r="E2185">
        <v>75.4251</v>
      </c>
    </row>
    <row r="2186" spans="3:5" x14ac:dyDescent="0.35">
      <c r="C2186">
        <f t="shared" si="35"/>
        <v>2018</v>
      </c>
      <c r="D2186" s="1">
        <v>43360</v>
      </c>
      <c r="E2186">
        <v>74.646699999999996</v>
      </c>
    </row>
    <row r="2187" spans="3:5" x14ac:dyDescent="0.35">
      <c r="C2187">
        <f t="shared" si="35"/>
        <v>2018</v>
      </c>
      <c r="D2187" s="1">
        <v>43361</v>
      </c>
      <c r="E2187">
        <v>74.638000000000005</v>
      </c>
    </row>
    <row r="2188" spans="3:5" x14ac:dyDescent="0.35">
      <c r="C2188">
        <f t="shared" si="35"/>
        <v>2018</v>
      </c>
      <c r="D2188" s="1">
        <v>43362</v>
      </c>
      <c r="E2188">
        <v>74.438000000000002</v>
      </c>
    </row>
    <row r="2189" spans="3:5" x14ac:dyDescent="0.35">
      <c r="C2189">
        <f t="shared" si="35"/>
        <v>2018</v>
      </c>
      <c r="D2189" s="1">
        <v>43363</v>
      </c>
      <c r="E2189">
        <v>74.626099999999994</v>
      </c>
    </row>
    <row r="2190" spans="3:5" x14ac:dyDescent="0.35">
      <c r="C2190">
        <f t="shared" si="35"/>
        <v>2018</v>
      </c>
      <c r="D2190" s="1">
        <v>43364</v>
      </c>
      <c r="E2190">
        <v>77.3613</v>
      </c>
    </row>
    <row r="2191" spans="3:5" x14ac:dyDescent="0.35">
      <c r="C2191">
        <f t="shared" si="35"/>
        <v>2018</v>
      </c>
      <c r="D2191" s="1">
        <v>43367</v>
      </c>
      <c r="E2191">
        <v>79.2744</v>
      </c>
    </row>
    <row r="2192" spans="3:5" x14ac:dyDescent="0.35">
      <c r="C2192">
        <f t="shared" si="35"/>
        <v>2018</v>
      </c>
      <c r="D2192" s="1">
        <v>43368</v>
      </c>
      <c r="E2192">
        <v>79.444100000000006</v>
      </c>
    </row>
    <row r="2193" spans="3:5" x14ac:dyDescent="0.35">
      <c r="C2193">
        <f t="shared" si="35"/>
        <v>2018</v>
      </c>
      <c r="D2193" s="1">
        <v>43369</v>
      </c>
      <c r="E2193">
        <v>80.858800000000002</v>
      </c>
    </row>
    <row r="2194" spans="3:5" x14ac:dyDescent="0.35">
      <c r="C2194">
        <f t="shared" si="35"/>
        <v>2018</v>
      </c>
      <c r="D2194" s="1">
        <v>43370</v>
      </c>
      <c r="E2194">
        <v>82.444199999999995</v>
      </c>
    </row>
    <row r="2195" spans="3:5" x14ac:dyDescent="0.35">
      <c r="C2195">
        <f t="shared" si="35"/>
        <v>2018</v>
      </c>
      <c r="D2195" s="1">
        <v>43371</v>
      </c>
      <c r="E2195">
        <v>83.194299999999998</v>
      </c>
    </row>
    <row r="2196" spans="3:5" x14ac:dyDescent="0.35">
      <c r="C2196">
        <f t="shared" si="35"/>
        <v>2018</v>
      </c>
      <c r="D2196" s="1">
        <v>43374</v>
      </c>
      <c r="E2196">
        <v>80.805999999999997</v>
      </c>
    </row>
    <row r="2197" spans="3:5" x14ac:dyDescent="0.35">
      <c r="C2197">
        <f t="shared" si="35"/>
        <v>2018</v>
      </c>
      <c r="D2197" s="1">
        <v>43375</v>
      </c>
      <c r="E2197">
        <v>78.854799999999997</v>
      </c>
    </row>
    <row r="2198" spans="3:5" x14ac:dyDescent="0.35">
      <c r="C2198">
        <f t="shared" si="35"/>
        <v>2018</v>
      </c>
      <c r="D2198" s="1">
        <v>43376</v>
      </c>
      <c r="E2198">
        <v>76.987099999999998</v>
      </c>
    </row>
    <row r="2199" spans="3:5" x14ac:dyDescent="0.35">
      <c r="C2199">
        <f t="shared" si="35"/>
        <v>2018</v>
      </c>
      <c r="D2199" s="1">
        <v>43377</v>
      </c>
      <c r="E2199">
        <v>73.624700000000004</v>
      </c>
    </row>
    <row r="2200" spans="3:5" x14ac:dyDescent="0.35">
      <c r="C2200">
        <f t="shared" si="35"/>
        <v>2018</v>
      </c>
      <c r="D2200" s="1">
        <v>43378</v>
      </c>
      <c r="E2200">
        <v>73.551400000000001</v>
      </c>
    </row>
    <row r="2201" spans="3:5" x14ac:dyDescent="0.35">
      <c r="C2201">
        <f t="shared" si="35"/>
        <v>2018</v>
      </c>
      <c r="D2201" s="1">
        <v>43381</v>
      </c>
      <c r="E2201">
        <v>75.878600000000006</v>
      </c>
    </row>
    <row r="2202" spans="3:5" x14ac:dyDescent="0.35">
      <c r="C2202">
        <f t="shared" si="35"/>
        <v>2018</v>
      </c>
      <c r="D2202" s="1">
        <v>43382</v>
      </c>
      <c r="E2202">
        <v>75.583600000000004</v>
      </c>
    </row>
    <row r="2203" spans="3:5" x14ac:dyDescent="0.35">
      <c r="C2203">
        <f t="shared" si="35"/>
        <v>2018</v>
      </c>
      <c r="D2203" s="1">
        <v>43383</v>
      </c>
      <c r="E2203">
        <v>71.580399999999997</v>
      </c>
    </row>
    <row r="2204" spans="3:5" x14ac:dyDescent="0.35">
      <c r="C2204">
        <f t="shared" si="35"/>
        <v>2018</v>
      </c>
      <c r="D2204" s="1">
        <v>43384</v>
      </c>
      <c r="E2204">
        <v>68.693899999999999</v>
      </c>
    </row>
    <row r="2205" spans="3:5" x14ac:dyDescent="0.35">
      <c r="C2205">
        <f t="shared" si="35"/>
        <v>2018</v>
      </c>
      <c r="D2205" s="1">
        <v>43385</v>
      </c>
      <c r="E2205">
        <v>74.780500000000004</v>
      </c>
    </row>
    <row r="2206" spans="3:5" x14ac:dyDescent="0.35">
      <c r="C2206">
        <f t="shared" si="35"/>
        <v>2018</v>
      </c>
      <c r="D2206" s="1">
        <v>43388</v>
      </c>
      <c r="E2206">
        <v>77.940899999999999</v>
      </c>
    </row>
    <row r="2207" spans="3:5" x14ac:dyDescent="0.35">
      <c r="C2207">
        <f t="shared" si="35"/>
        <v>2018</v>
      </c>
      <c r="D2207" s="1">
        <v>43389</v>
      </c>
      <c r="E2207">
        <v>76.333399999999997</v>
      </c>
    </row>
    <row r="2208" spans="3:5" x14ac:dyDescent="0.35">
      <c r="C2208">
        <f t="shared" si="35"/>
        <v>2018</v>
      </c>
      <c r="D2208" s="1">
        <v>43390</v>
      </c>
      <c r="E2208">
        <v>73.909099999999995</v>
      </c>
    </row>
    <row r="2209" spans="3:5" x14ac:dyDescent="0.35">
      <c r="C2209">
        <f t="shared" si="35"/>
        <v>2018</v>
      </c>
      <c r="D2209" s="1">
        <v>43391</v>
      </c>
      <c r="E2209">
        <v>75.159700000000001</v>
      </c>
    </row>
    <row r="2210" spans="3:5" x14ac:dyDescent="0.35">
      <c r="C2210">
        <f t="shared" si="35"/>
        <v>2018</v>
      </c>
      <c r="D2210" s="1">
        <v>43392</v>
      </c>
      <c r="E2210">
        <v>72.744299999999996</v>
      </c>
    </row>
    <row r="2211" spans="3:5" x14ac:dyDescent="0.35">
      <c r="C2211">
        <f t="shared" si="35"/>
        <v>2018</v>
      </c>
      <c r="D2211" s="1">
        <v>43395</v>
      </c>
      <c r="E2211">
        <v>70.720100000000002</v>
      </c>
    </row>
    <row r="2212" spans="3:5" x14ac:dyDescent="0.35">
      <c r="C2212">
        <f t="shared" si="35"/>
        <v>2018</v>
      </c>
      <c r="D2212" s="1">
        <v>43396</v>
      </c>
      <c r="E2212">
        <v>68.987099999999998</v>
      </c>
    </row>
    <row r="2213" spans="3:5" x14ac:dyDescent="0.35">
      <c r="C2213">
        <f t="shared" si="35"/>
        <v>2018</v>
      </c>
      <c r="D2213" s="1">
        <v>43397</v>
      </c>
      <c r="E2213">
        <v>68.585700000000003</v>
      </c>
    </row>
    <row r="2214" spans="3:5" x14ac:dyDescent="0.35">
      <c r="C2214">
        <f t="shared" si="35"/>
        <v>2018</v>
      </c>
      <c r="D2214" s="1">
        <v>43398</v>
      </c>
      <c r="E2214">
        <v>70.669399999999996</v>
      </c>
    </row>
    <row r="2215" spans="3:5" x14ac:dyDescent="0.35">
      <c r="C2215">
        <f t="shared" si="35"/>
        <v>2018</v>
      </c>
      <c r="D2215" s="1">
        <v>43399</v>
      </c>
      <c r="E2215">
        <v>69.453500000000005</v>
      </c>
    </row>
    <row r="2216" spans="3:5" x14ac:dyDescent="0.35">
      <c r="C2216">
        <f t="shared" si="35"/>
        <v>2018</v>
      </c>
      <c r="D2216" s="1">
        <v>43402</v>
      </c>
      <c r="E2216">
        <v>70.485100000000003</v>
      </c>
    </row>
    <row r="2217" spans="3:5" x14ac:dyDescent="0.35">
      <c r="C2217">
        <f t="shared" si="35"/>
        <v>2018</v>
      </c>
      <c r="D2217" s="1">
        <v>43403</v>
      </c>
      <c r="E2217">
        <v>66.991699999999994</v>
      </c>
    </row>
    <row r="2218" spans="3:5" x14ac:dyDescent="0.35">
      <c r="C2218">
        <f t="shared" si="35"/>
        <v>2018</v>
      </c>
      <c r="D2218" s="1">
        <v>43404</v>
      </c>
      <c r="E2218">
        <v>65.582099999999997</v>
      </c>
    </row>
    <row r="2219" spans="3:5" x14ac:dyDescent="0.35">
      <c r="C2219">
        <f t="shared" si="35"/>
        <v>2018</v>
      </c>
      <c r="D2219" s="1">
        <v>43405</v>
      </c>
      <c r="E2219">
        <v>65.885900000000007</v>
      </c>
    </row>
    <row r="2220" spans="3:5" x14ac:dyDescent="0.35">
      <c r="C2220">
        <f t="shared" si="35"/>
        <v>2018</v>
      </c>
      <c r="D2220" s="1">
        <v>43406</v>
      </c>
      <c r="E2220">
        <v>69.246200000000002</v>
      </c>
    </row>
    <row r="2221" spans="3:5" x14ac:dyDescent="0.35">
      <c r="C2221">
        <f t="shared" si="35"/>
        <v>2018</v>
      </c>
      <c r="D2221" s="1">
        <v>43409</v>
      </c>
      <c r="E2221">
        <v>71.1571</v>
      </c>
    </row>
    <row r="2222" spans="3:5" x14ac:dyDescent="0.35">
      <c r="C2222">
        <f t="shared" si="35"/>
        <v>2018</v>
      </c>
      <c r="D2222" s="1">
        <v>43410</v>
      </c>
      <c r="E2222">
        <v>70.321299999999994</v>
      </c>
    </row>
    <row r="2223" spans="3:5" x14ac:dyDescent="0.35">
      <c r="C2223">
        <f t="shared" si="35"/>
        <v>2018</v>
      </c>
      <c r="D2223" s="1">
        <v>43411</v>
      </c>
      <c r="E2223">
        <v>73.761899999999997</v>
      </c>
    </row>
    <row r="2224" spans="3:5" x14ac:dyDescent="0.35">
      <c r="C2224">
        <f t="shared" si="35"/>
        <v>2018</v>
      </c>
      <c r="D2224" s="1">
        <v>43412</v>
      </c>
      <c r="E2224">
        <v>69.470399999999998</v>
      </c>
    </row>
    <row r="2225" spans="3:5" x14ac:dyDescent="0.35">
      <c r="C2225">
        <f t="shared" si="35"/>
        <v>2018</v>
      </c>
      <c r="D2225" s="1">
        <v>43413</v>
      </c>
      <c r="E2225">
        <v>71.671499999999995</v>
      </c>
    </row>
    <row r="2226" spans="3:5" x14ac:dyDescent="0.35">
      <c r="C2226">
        <f t="shared" si="35"/>
        <v>2018</v>
      </c>
      <c r="D2226" s="1">
        <v>43416</v>
      </c>
      <c r="E2226">
        <v>70.219099999999997</v>
      </c>
    </row>
    <row r="2227" spans="3:5" x14ac:dyDescent="0.35">
      <c r="C2227">
        <f t="shared" si="35"/>
        <v>2018</v>
      </c>
      <c r="D2227" s="1">
        <v>43417</v>
      </c>
      <c r="E2227">
        <v>73.518900000000002</v>
      </c>
    </row>
    <row r="2228" spans="3:5" x14ac:dyDescent="0.35">
      <c r="C2228">
        <f t="shared" si="35"/>
        <v>2018</v>
      </c>
      <c r="D2228" s="1">
        <v>43418</v>
      </c>
      <c r="E2228">
        <v>75.868200000000002</v>
      </c>
    </row>
    <row r="2229" spans="3:5" x14ac:dyDescent="0.35">
      <c r="C2229">
        <f t="shared" si="35"/>
        <v>2018</v>
      </c>
      <c r="D2229" s="1">
        <v>43419</v>
      </c>
      <c r="E2229">
        <v>76.134900000000002</v>
      </c>
    </row>
    <row r="2230" spans="3:5" x14ac:dyDescent="0.35">
      <c r="C2230">
        <f t="shared" si="35"/>
        <v>2018</v>
      </c>
      <c r="D2230" s="1">
        <v>43420</v>
      </c>
      <c r="E2230">
        <v>75.433899999999994</v>
      </c>
    </row>
    <row r="2231" spans="3:5" x14ac:dyDescent="0.35">
      <c r="C2231">
        <f t="shared" si="35"/>
        <v>2018</v>
      </c>
      <c r="D2231" s="1">
        <v>43423</v>
      </c>
      <c r="E2231">
        <v>77.942899999999995</v>
      </c>
    </row>
    <row r="2232" spans="3:5" x14ac:dyDescent="0.35">
      <c r="C2232">
        <f t="shared" si="35"/>
        <v>2018</v>
      </c>
      <c r="D2232" s="1">
        <v>43424</v>
      </c>
      <c r="E2232">
        <v>76.229699999999994</v>
      </c>
    </row>
    <row r="2233" spans="3:5" x14ac:dyDescent="0.35">
      <c r="C2233">
        <f t="shared" si="35"/>
        <v>2018</v>
      </c>
      <c r="D2233" s="1">
        <v>43425</v>
      </c>
      <c r="E2233">
        <v>77.312399999999997</v>
      </c>
    </row>
    <row r="2234" spans="3:5" x14ac:dyDescent="0.35">
      <c r="C2234">
        <f t="shared" si="35"/>
        <v>2018</v>
      </c>
      <c r="D2234" s="1">
        <v>43427</v>
      </c>
      <c r="E2234">
        <v>81.154600000000002</v>
      </c>
    </row>
    <row r="2235" spans="3:5" x14ac:dyDescent="0.35">
      <c r="C2235">
        <f t="shared" si="35"/>
        <v>2018</v>
      </c>
      <c r="D2235" s="1">
        <v>43430</v>
      </c>
      <c r="E2235">
        <v>82.038399999999996</v>
      </c>
    </row>
    <row r="2236" spans="3:5" x14ac:dyDescent="0.35">
      <c r="C2236">
        <f t="shared" si="35"/>
        <v>2018</v>
      </c>
      <c r="D2236" s="1">
        <v>43431</v>
      </c>
      <c r="E2236">
        <v>83.578500000000005</v>
      </c>
    </row>
    <row r="2237" spans="3:5" x14ac:dyDescent="0.35">
      <c r="C2237">
        <f t="shared" si="35"/>
        <v>2018</v>
      </c>
      <c r="D2237" s="1">
        <v>43432</v>
      </c>
      <c r="E2237">
        <v>83.384600000000006</v>
      </c>
    </row>
    <row r="2238" spans="3:5" x14ac:dyDescent="0.35">
      <c r="C2238">
        <f t="shared" si="35"/>
        <v>2018</v>
      </c>
      <c r="D2238" s="1">
        <v>43433</v>
      </c>
      <c r="E2238">
        <v>82.571600000000004</v>
      </c>
    </row>
    <row r="2239" spans="3:5" x14ac:dyDescent="0.35">
      <c r="C2239">
        <f t="shared" si="35"/>
        <v>2018</v>
      </c>
      <c r="D2239" s="1">
        <v>43434</v>
      </c>
      <c r="E2239">
        <v>84.061099999999996</v>
      </c>
    </row>
    <row r="2240" spans="3:5" x14ac:dyDescent="0.35">
      <c r="C2240">
        <f t="shared" si="35"/>
        <v>2018</v>
      </c>
      <c r="D2240" s="1">
        <v>43437</v>
      </c>
      <c r="E2240">
        <v>79.358999999999995</v>
      </c>
    </row>
    <row r="2241" spans="3:5" x14ac:dyDescent="0.35">
      <c r="C2241">
        <f t="shared" si="35"/>
        <v>2018</v>
      </c>
      <c r="D2241" s="1">
        <v>43438</v>
      </c>
      <c r="E2241">
        <v>76.174499999999995</v>
      </c>
    </row>
    <row r="2242" spans="3:5" x14ac:dyDescent="0.35">
      <c r="C2242">
        <f t="shared" si="35"/>
        <v>2018</v>
      </c>
      <c r="D2242" s="1">
        <v>43440</v>
      </c>
      <c r="E2242">
        <v>77.251900000000006</v>
      </c>
    </row>
    <row r="2243" spans="3:5" x14ac:dyDescent="0.35">
      <c r="C2243">
        <f t="shared" ref="C2243:C2306" si="36">YEAR(D2243)</f>
        <v>2018</v>
      </c>
      <c r="D2243" s="1">
        <v>43441</v>
      </c>
      <c r="E2243">
        <v>75.522300000000001</v>
      </c>
    </row>
    <row r="2244" spans="3:5" x14ac:dyDescent="0.35">
      <c r="C2244">
        <f t="shared" si="36"/>
        <v>2018</v>
      </c>
      <c r="D2244" s="1">
        <v>43444</v>
      </c>
      <c r="E2244">
        <v>75.744500000000002</v>
      </c>
    </row>
    <row r="2245" spans="3:5" x14ac:dyDescent="0.35">
      <c r="C2245">
        <f t="shared" si="36"/>
        <v>2018</v>
      </c>
      <c r="D2245" s="1">
        <v>43445</v>
      </c>
      <c r="E2245">
        <v>75.253299999999996</v>
      </c>
    </row>
    <row r="2246" spans="3:5" x14ac:dyDescent="0.35">
      <c r="C2246">
        <f t="shared" si="36"/>
        <v>2018</v>
      </c>
      <c r="D2246" s="1">
        <v>43446</v>
      </c>
      <c r="E2246">
        <v>71.111199999999997</v>
      </c>
    </row>
    <row r="2247" spans="3:5" x14ac:dyDescent="0.35">
      <c r="C2247">
        <f t="shared" si="36"/>
        <v>2018</v>
      </c>
      <c r="D2247" s="1">
        <v>43447</v>
      </c>
      <c r="E2247">
        <v>71.760099999999994</v>
      </c>
    </row>
    <row r="2248" spans="3:5" x14ac:dyDescent="0.35">
      <c r="C2248">
        <f t="shared" si="36"/>
        <v>2018</v>
      </c>
      <c r="D2248" s="1">
        <v>43448</v>
      </c>
      <c r="E2248">
        <v>70.137299999999996</v>
      </c>
    </row>
    <row r="2249" spans="3:5" x14ac:dyDescent="0.35">
      <c r="C2249">
        <f t="shared" si="36"/>
        <v>2018</v>
      </c>
      <c r="D2249" s="1">
        <v>43451</v>
      </c>
      <c r="E2249">
        <v>68.5184</v>
      </c>
    </row>
    <row r="2250" spans="3:5" x14ac:dyDescent="0.35">
      <c r="C2250">
        <f t="shared" si="36"/>
        <v>2018</v>
      </c>
      <c r="D2250" s="1">
        <v>43452</v>
      </c>
      <c r="E2250">
        <v>71.503299999999996</v>
      </c>
    </row>
    <row r="2251" spans="3:5" x14ac:dyDescent="0.35">
      <c r="C2251">
        <f t="shared" si="36"/>
        <v>2018</v>
      </c>
      <c r="D2251" s="1">
        <v>43453</v>
      </c>
      <c r="E2251">
        <v>75.415899999999993</v>
      </c>
    </row>
    <row r="2252" spans="3:5" x14ac:dyDescent="0.35">
      <c r="C2252">
        <f t="shared" si="36"/>
        <v>2018</v>
      </c>
      <c r="D2252" s="1">
        <v>43454</v>
      </c>
      <c r="E2252">
        <v>75.921400000000006</v>
      </c>
    </row>
    <row r="2253" spans="3:5" x14ac:dyDescent="0.35">
      <c r="C2253">
        <f t="shared" si="36"/>
        <v>2018</v>
      </c>
      <c r="D2253" s="1">
        <v>43455</v>
      </c>
      <c r="E2253">
        <v>77.190299999999993</v>
      </c>
    </row>
    <row r="2254" spans="3:5" x14ac:dyDescent="0.35">
      <c r="C2254">
        <f t="shared" si="36"/>
        <v>2018</v>
      </c>
      <c r="D2254" s="1">
        <v>43458</v>
      </c>
      <c r="E2254">
        <v>74.712900000000005</v>
      </c>
    </row>
    <row r="2255" spans="3:5" x14ac:dyDescent="0.35">
      <c r="C2255">
        <f t="shared" si="36"/>
        <v>2018</v>
      </c>
      <c r="D2255" s="1">
        <v>43460</v>
      </c>
      <c r="E2255">
        <v>74.943399999999997</v>
      </c>
    </row>
    <row r="2256" spans="3:5" x14ac:dyDescent="0.35">
      <c r="C2256">
        <f t="shared" si="36"/>
        <v>2018</v>
      </c>
      <c r="D2256" s="1">
        <v>43461</v>
      </c>
      <c r="E2256">
        <v>74.934600000000003</v>
      </c>
    </row>
    <row r="2257" spans="3:5" x14ac:dyDescent="0.35">
      <c r="C2257">
        <f t="shared" si="36"/>
        <v>2018</v>
      </c>
      <c r="D2257" s="1">
        <v>43462</v>
      </c>
      <c r="E2257">
        <v>73.408900000000003</v>
      </c>
    </row>
    <row r="2258" spans="3:5" x14ac:dyDescent="0.35">
      <c r="C2258">
        <f t="shared" si="36"/>
        <v>2018</v>
      </c>
      <c r="D2258" s="1">
        <v>43465</v>
      </c>
      <c r="E2258">
        <v>74.2744</v>
      </c>
    </row>
    <row r="2259" spans="3:5" x14ac:dyDescent="0.35">
      <c r="C2259">
        <f t="shared" si="36"/>
        <v>2019</v>
      </c>
      <c r="D2259" s="1">
        <v>43467</v>
      </c>
      <c r="E2259">
        <v>71.987499999999997</v>
      </c>
    </row>
    <row r="2260" spans="3:5" x14ac:dyDescent="0.35">
      <c r="C2260">
        <f t="shared" si="36"/>
        <v>2019</v>
      </c>
      <c r="D2260" s="1">
        <v>43468</v>
      </c>
      <c r="E2260">
        <v>66.138999999999996</v>
      </c>
    </row>
    <row r="2261" spans="3:5" x14ac:dyDescent="0.35">
      <c r="C2261">
        <f t="shared" si="36"/>
        <v>2019</v>
      </c>
      <c r="D2261" s="1">
        <v>43469</v>
      </c>
      <c r="E2261">
        <v>66.866900000000001</v>
      </c>
    </row>
    <row r="2262" spans="3:5" x14ac:dyDescent="0.35">
      <c r="C2262">
        <f t="shared" si="36"/>
        <v>2019</v>
      </c>
      <c r="D2262" s="1">
        <v>43472</v>
      </c>
      <c r="E2262">
        <v>68.334599999999995</v>
      </c>
    </row>
    <row r="2263" spans="3:5" x14ac:dyDescent="0.35">
      <c r="C2263">
        <f t="shared" si="36"/>
        <v>2019</v>
      </c>
      <c r="D2263" s="1">
        <v>43473</v>
      </c>
      <c r="E2263">
        <v>67.938400000000001</v>
      </c>
    </row>
    <row r="2264" spans="3:5" x14ac:dyDescent="0.35">
      <c r="C2264">
        <f t="shared" si="36"/>
        <v>2019</v>
      </c>
      <c r="D2264" s="1">
        <v>43474</v>
      </c>
      <c r="E2264">
        <v>65.871600000000001</v>
      </c>
    </row>
    <row r="2265" spans="3:5" x14ac:dyDescent="0.35">
      <c r="C2265">
        <f t="shared" si="36"/>
        <v>2019</v>
      </c>
      <c r="D2265" s="1">
        <v>43475</v>
      </c>
      <c r="E2265">
        <v>66.146600000000007</v>
      </c>
    </row>
    <row r="2266" spans="3:5" x14ac:dyDescent="0.35">
      <c r="C2266">
        <f t="shared" si="36"/>
        <v>2019</v>
      </c>
      <c r="D2266" s="1">
        <v>43476</v>
      </c>
      <c r="E2266">
        <v>67.091700000000003</v>
      </c>
    </row>
    <row r="2267" spans="3:5" x14ac:dyDescent="0.35">
      <c r="C2267">
        <f t="shared" si="36"/>
        <v>2019</v>
      </c>
      <c r="D2267" s="1">
        <v>43479</v>
      </c>
      <c r="E2267">
        <v>66.122399999999999</v>
      </c>
    </row>
    <row r="2268" spans="3:5" x14ac:dyDescent="0.35">
      <c r="C2268">
        <f t="shared" si="36"/>
        <v>2019</v>
      </c>
      <c r="D2268" s="1">
        <v>43480</v>
      </c>
      <c r="E2268">
        <v>64.655500000000004</v>
      </c>
    </row>
    <row r="2269" spans="3:5" x14ac:dyDescent="0.35">
      <c r="C2269">
        <f t="shared" si="36"/>
        <v>2019</v>
      </c>
      <c r="D2269" s="1">
        <v>43481</v>
      </c>
      <c r="E2269">
        <v>63.711799999999997</v>
      </c>
    </row>
    <row r="2270" spans="3:5" x14ac:dyDescent="0.35">
      <c r="C2270">
        <f t="shared" si="36"/>
        <v>2019</v>
      </c>
      <c r="D2270" s="1">
        <v>43482</v>
      </c>
      <c r="E2270">
        <v>64.208699999999993</v>
      </c>
    </row>
    <row r="2271" spans="3:5" x14ac:dyDescent="0.35">
      <c r="C2271">
        <f t="shared" si="36"/>
        <v>2019</v>
      </c>
      <c r="D2271" s="1">
        <v>43483</v>
      </c>
      <c r="E2271">
        <v>65.441299999999998</v>
      </c>
    </row>
    <row r="2272" spans="3:5" x14ac:dyDescent="0.35">
      <c r="C2272">
        <f t="shared" si="36"/>
        <v>2019</v>
      </c>
      <c r="D2272" s="1">
        <v>43487</v>
      </c>
      <c r="E2272">
        <v>65.573700000000002</v>
      </c>
    </row>
    <row r="2273" spans="3:5" x14ac:dyDescent="0.35">
      <c r="C2273">
        <f t="shared" si="36"/>
        <v>2019</v>
      </c>
      <c r="D2273" s="1">
        <v>43488</v>
      </c>
      <c r="E2273">
        <v>66.555199999999999</v>
      </c>
    </row>
    <row r="2274" spans="3:5" x14ac:dyDescent="0.35">
      <c r="C2274">
        <f t="shared" si="36"/>
        <v>2019</v>
      </c>
      <c r="D2274" s="1">
        <v>43489</v>
      </c>
      <c r="E2274">
        <v>67.732900000000001</v>
      </c>
    </row>
    <row r="2275" spans="3:5" x14ac:dyDescent="0.35">
      <c r="C2275">
        <f t="shared" si="36"/>
        <v>2019</v>
      </c>
      <c r="D2275" s="1">
        <v>43490</v>
      </c>
      <c r="E2275">
        <v>66.840100000000007</v>
      </c>
    </row>
    <row r="2276" spans="3:5" x14ac:dyDescent="0.35">
      <c r="C2276">
        <f t="shared" si="36"/>
        <v>2019</v>
      </c>
      <c r="D2276" s="1">
        <v>43493</v>
      </c>
      <c r="E2276">
        <v>68.260599999999997</v>
      </c>
    </row>
    <row r="2277" spans="3:5" x14ac:dyDescent="0.35">
      <c r="C2277">
        <f t="shared" si="36"/>
        <v>2019</v>
      </c>
      <c r="D2277" s="1">
        <v>43494</v>
      </c>
      <c r="E2277">
        <v>67.849199999999996</v>
      </c>
    </row>
    <row r="2278" spans="3:5" x14ac:dyDescent="0.35">
      <c r="C2278">
        <f t="shared" si="36"/>
        <v>2019</v>
      </c>
      <c r="D2278" s="1">
        <v>43495</v>
      </c>
      <c r="E2278">
        <v>70.764300000000006</v>
      </c>
    </row>
    <row r="2279" spans="3:5" x14ac:dyDescent="0.35">
      <c r="C2279">
        <f t="shared" si="36"/>
        <v>2019</v>
      </c>
      <c r="D2279" s="1">
        <v>43496</v>
      </c>
      <c r="E2279">
        <v>69.613699999999994</v>
      </c>
    </row>
    <row r="2280" spans="3:5" x14ac:dyDescent="0.35">
      <c r="C2280">
        <f t="shared" si="36"/>
        <v>2019</v>
      </c>
      <c r="D2280" s="1">
        <v>43497</v>
      </c>
      <c r="E2280">
        <v>67.069100000000006</v>
      </c>
    </row>
    <row r="2281" spans="3:5" x14ac:dyDescent="0.35">
      <c r="C2281">
        <f t="shared" si="36"/>
        <v>2019</v>
      </c>
      <c r="D2281" s="1">
        <v>43500</v>
      </c>
      <c r="E2281">
        <v>67.8369</v>
      </c>
    </row>
    <row r="2282" spans="3:5" x14ac:dyDescent="0.35">
      <c r="C2282">
        <f t="shared" si="36"/>
        <v>2019</v>
      </c>
      <c r="D2282" s="1">
        <v>43501</v>
      </c>
      <c r="E2282">
        <v>65.857900000000001</v>
      </c>
    </row>
    <row r="2283" spans="3:5" x14ac:dyDescent="0.35">
      <c r="C2283">
        <f t="shared" si="36"/>
        <v>2019</v>
      </c>
      <c r="D2283" s="1">
        <v>43502</v>
      </c>
      <c r="E2283">
        <v>67.915899999999993</v>
      </c>
    </row>
    <row r="2284" spans="3:5" x14ac:dyDescent="0.35">
      <c r="C2284">
        <f t="shared" si="36"/>
        <v>2019</v>
      </c>
      <c r="D2284" s="1">
        <v>43503</v>
      </c>
      <c r="E2284">
        <v>66.815399999999997</v>
      </c>
    </row>
    <row r="2285" spans="3:5" x14ac:dyDescent="0.35">
      <c r="C2285">
        <f t="shared" si="36"/>
        <v>2019</v>
      </c>
      <c r="D2285" s="1">
        <v>43504</v>
      </c>
      <c r="E2285">
        <v>66.071899999999999</v>
      </c>
    </row>
    <row r="2286" spans="3:5" x14ac:dyDescent="0.35">
      <c r="C2286">
        <f t="shared" si="36"/>
        <v>2019</v>
      </c>
      <c r="D2286" s="1">
        <v>43507</v>
      </c>
      <c r="E2286">
        <v>68.979900000000001</v>
      </c>
    </row>
    <row r="2287" spans="3:5" x14ac:dyDescent="0.35">
      <c r="C2287">
        <f t="shared" si="36"/>
        <v>2019</v>
      </c>
      <c r="D2287" s="1">
        <v>43508</v>
      </c>
      <c r="E2287">
        <v>65.107299999999995</v>
      </c>
    </row>
    <row r="2288" spans="3:5" x14ac:dyDescent="0.35">
      <c r="C2288">
        <f t="shared" si="36"/>
        <v>2019</v>
      </c>
      <c r="D2288" s="1">
        <v>43509</v>
      </c>
      <c r="E2288">
        <v>62.308100000000003</v>
      </c>
    </row>
    <row r="2289" spans="3:5" x14ac:dyDescent="0.35">
      <c r="C2289">
        <f t="shared" si="36"/>
        <v>2019</v>
      </c>
      <c r="D2289" s="1">
        <v>43510</v>
      </c>
      <c r="E2289">
        <v>63.639099999999999</v>
      </c>
    </row>
    <row r="2290" spans="3:5" x14ac:dyDescent="0.35">
      <c r="C2290">
        <f t="shared" si="36"/>
        <v>2019</v>
      </c>
      <c r="D2290" s="1">
        <v>43511</v>
      </c>
      <c r="E2290">
        <v>61.364699999999999</v>
      </c>
    </row>
    <row r="2291" spans="3:5" x14ac:dyDescent="0.35">
      <c r="C2291">
        <f t="shared" si="36"/>
        <v>2019</v>
      </c>
      <c r="D2291" s="1">
        <v>43515</v>
      </c>
      <c r="E2291">
        <v>58.385899999999999</v>
      </c>
    </row>
    <row r="2292" spans="3:5" x14ac:dyDescent="0.35">
      <c r="C2292">
        <f t="shared" si="36"/>
        <v>2019</v>
      </c>
      <c r="D2292" s="1">
        <v>43516</v>
      </c>
      <c r="E2292">
        <v>58.866799999999998</v>
      </c>
    </row>
    <row r="2293" spans="3:5" x14ac:dyDescent="0.35">
      <c r="C2293">
        <f t="shared" si="36"/>
        <v>2019</v>
      </c>
      <c r="D2293" s="1">
        <v>43517</v>
      </c>
      <c r="E2293">
        <v>60.219799999999999</v>
      </c>
    </row>
    <row r="2294" spans="3:5" x14ac:dyDescent="0.35">
      <c r="C2294">
        <f t="shared" si="36"/>
        <v>2019</v>
      </c>
      <c r="D2294" s="1">
        <v>43518</v>
      </c>
      <c r="E2294">
        <v>62.209200000000003</v>
      </c>
    </row>
    <row r="2295" spans="3:5" x14ac:dyDescent="0.35">
      <c r="C2295">
        <f t="shared" si="36"/>
        <v>2019</v>
      </c>
      <c r="D2295" s="1">
        <v>43521</v>
      </c>
      <c r="E2295">
        <v>61.783700000000003</v>
      </c>
    </row>
    <row r="2296" spans="3:5" x14ac:dyDescent="0.35">
      <c r="C2296">
        <f t="shared" si="36"/>
        <v>2019</v>
      </c>
      <c r="D2296" s="1">
        <v>43522</v>
      </c>
      <c r="E2296">
        <v>63.6081</v>
      </c>
    </row>
    <row r="2297" spans="3:5" x14ac:dyDescent="0.35">
      <c r="C2297">
        <f t="shared" si="36"/>
        <v>2019</v>
      </c>
      <c r="D2297" s="1">
        <v>43523</v>
      </c>
      <c r="E2297">
        <v>62.217500000000001</v>
      </c>
    </row>
    <row r="2298" spans="3:5" x14ac:dyDescent="0.35">
      <c r="C2298">
        <f t="shared" si="36"/>
        <v>2019</v>
      </c>
      <c r="D2298" s="1">
        <v>43524</v>
      </c>
      <c r="E2298">
        <v>63.232100000000003</v>
      </c>
    </row>
    <row r="2299" spans="3:5" x14ac:dyDescent="0.35">
      <c r="C2299">
        <f t="shared" si="36"/>
        <v>2019</v>
      </c>
      <c r="D2299" s="1">
        <v>43525</v>
      </c>
      <c r="E2299">
        <v>62.88</v>
      </c>
    </row>
    <row r="2300" spans="3:5" x14ac:dyDescent="0.35">
      <c r="C2300">
        <f t="shared" si="36"/>
        <v>2019</v>
      </c>
      <c r="D2300" s="1">
        <v>43528</v>
      </c>
      <c r="E2300">
        <v>62.644799999999996</v>
      </c>
    </row>
    <row r="2301" spans="3:5" x14ac:dyDescent="0.35">
      <c r="C2301">
        <f t="shared" si="36"/>
        <v>2019</v>
      </c>
      <c r="D2301" s="1">
        <v>43529</v>
      </c>
      <c r="E2301">
        <v>64.334599999999995</v>
      </c>
    </row>
    <row r="2302" spans="3:5" x14ac:dyDescent="0.35">
      <c r="C2302">
        <f t="shared" si="36"/>
        <v>2019</v>
      </c>
      <c r="D2302" s="1">
        <v>43530</v>
      </c>
      <c r="E2302">
        <v>63.588900000000002</v>
      </c>
    </row>
    <row r="2303" spans="3:5" x14ac:dyDescent="0.35">
      <c r="C2303">
        <f t="shared" si="36"/>
        <v>2019</v>
      </c>
      <c r="D2303" s="1">
        <v>43531</v>
      </c>
      <c r="E2303">
        <v>61.1569</v>
      </c>
    </row>
    <row r="2304" spans="3:5" x14ac:dyDescent="0.35">
      <c r="C2304">
        <f t="shared" si="36"/>
        <v>2019</v>
      </c>
      <c r="D2304" s="1">
        <v>43532</v>
      </c>
      <c r="E2304">
        <v>57.846699999999998</v>
      </c>
    </row>
    <row r="2305" spans="3:5" x14ac:dyDescent="0.35">
      <c r="C2305">
        <f t="shared" si="36"/>
        <v>2019</v>
      </c>
      <c r="D2305" s="1">
        <v>43535</v>
      </c>
      <c r="E2305">
        <v>57.932499999999997</v>
      </c>
    </row>
    <row r="2306" spans="3:5" x14ac:dyDescent="0.35">
      <c r="C2306">
        <f t="shared" si="36"/>
        <v>2019</v>
      </c>
      <c r="D2306" s="1">
        <v>43536</v>
      </c>
      <c r="E2306">
        <v>57.473399999999998</v>
      </c>
    </row>
    <row r="2307" spans="3:5" x14ac:dyDescent="0.35">
      <c r="C2307">
        <f t="shared" ref="C2307:C2370" si="37">YEAR(D2307)</f>
        <v>2019</v>
      </c>
      <c r="D2307" s="1">
        <v>43537</v>
      </c>
      <c r="E2307">
        <v>55.937600000000003</v>
      </c>
    </row>
    <row r="2308" spans="3:5" x14ac:dyDescent="0.35">
      <c r="C2308">
        <f t="shared" si="37"/>
        <v>2019</v>
      </c>
      <c r="D2308" s="1">
        <v>43538</v>
      </c>
      <c r="E2308">
        <v>57.385899999999999</v>
      </c>
    </row>
    <row r="2309" spans="3:5" x14ac:dyDescent="0.35">
      <c r="C2309">
        <f t="shared" si="37"/>
        <v>2019</v>
      </c>
      <c r="D2309" s="1">
        <v>43539</v>
      </c>
      <c r="E2309">
        <v>56.736600000000003</v>
      </c>
    </row>
    <row r="2310" spans="3:5" x14ac:dyDescent="0.35">
      <c r="C2310">
        <f t="shared" si="37"/>
        <v>2019</v>
      </c>
      <c r="D2310" s="1">
        <v>43542</v>
      </c>
      <c r="E2310">
        <v>60.950200000000002</v>
      </c>
    </row>
    <row r="2311" spans="3:5" x14ac:dyDescent="0.35">
      <c r="C2311">
        <f t="shared" si="37"/>
        <v>2019</v>
      </c>
      <c r="D2311" s="1">
        <v>43543</v>
      </c>
      <c r="E2311">
        <v>62.068600000000004</v>
      </c>
    </row>
    <row r="2312" spans="3:5" x14ac:dyDescent="0.35">
      <c r="C2312">
        <f t="shared" si="37"/>
        <v>2019</v>
      </c>
      <c r="D2312" s="1">
        <v>43544</v>
      </c>
      <c r="E2312">
        <v>62.117600000000003</v>
      </c>
    </row>
    <row r="2313" spans="3:5" x14ac:dyDescent="0.35">
      <c r="C2313">
        <f t="shared" si="37"/>
        <v>2019</v>
      </c>
      <c r="D2313" s="1">
        <v>43545</v>
      </c>
      <c r="E2313">
        <v>61.642099999999999</v>
      </c>
    </row>
    <row r="2314" spans="3:5" x14ac:dyDescent="0.35">
      <c r="C2314">
        <f t="shared" si="37"/>
        <v>2019</v>
      </c>
      <c r="D2314" s="1">
        <v>43546</v>
      </c>
      <c r="E2314">
        <v>58.891800000000003</v>
      </c>
    </row>
    <row r="2315" spans="3:5" x14ac:dyDescent="0.35">
      <c r="C2315">
        <f t="shared" si="37"/>
        <v>2019</v>
      </c>
      <c r="D2315" s="1">
        <v>43549</v>
      </c>
      <c r="E2315">
        <v>57.985999999999997</v>
      </c>
    </row>
    <row r="2316" spans="3:5" x14ac:dyDescent="0.35">
      <c r="C2316">
        <f t="shared" si="37"/>
        <v>2019</v>
      </c>
      <c r="D2316" s="1">
        <v>43550</v>
      </c>
      <c r="E2316">
        <v>57.506999999999998</v>
      </c>
    </row>
    <row r="2317" spans="3:5" x14ac:dyDescent="0.35">
      <c r="C2317">
        <f t="shared" si="37"/>
        <v>2019</v>
      </c>
      <c r="D2317" s="1">
        <v>43551</v>
      </c>
      <c r="E2317">
        <v>56.381700000000002</v>
      </c>
    </row>
    <row r="2318" spans="3:5" x14ac:dyDescent="0.35">
      <c r="C2318">
        <f t="shared" si="37"/>
        <v>2019</v>
      </c>
      <c r="D2318" s="1">
        <v>43552</v>
      </c>
      <c r="E2318">
        <v>56.2789</v>
      </c>
    </row>
    <row r="2319" spans="3:5" x14ac:dyDescent="0.35">
      <c r="C2319">
        <f t="shared" si="37"/>
        <v>2019</v>
      </c>
      <c r="D2319" s="1">
        <v>43553</v>
      </c>
      <c r="E2319">
        <v>55.737699999999997</v>
      </c>
    </row>
    <row r="2320" spans="3:5" x14ac:dyDescent="0.35">
      <c r="C2320">
        <f t="shared" si="37"/>
        <v>2019</v>
      </c>
      <c r="D2320" s="1">
        <v>43556</v>
      </c>
      <c r="E2320">
        <v>55.650199999999998</v>
      </c>
    </row>
    <row r="2321" spans="3:5" x14ac:dyDescent="0.35">
      <c r="C2321">
        <f t="shared" si="37"/>
        <v>2019</v>
      </c>
      <c r="D2321" s="1">
        <v>43557</v>
      </c>
      <c r="E2321">
        <v>57.180799999999998</v>
      </c>
    </row>
    <row r="2322" spans="3:5" x14ac:dyDescent="0.35">
      <c r="C2322">
        <f t="shared" si="37"/>
        <v>2019</v>
      </c>
      <c r="D2322" s="1">
        <v>43558</v>
      </c>
      <c r="E2322">
        <v>56.937800000000003</v>
      </c>
    </row>
    <row r="2323" spans="3:5" x14ac:dyDescent="0.35">
      <c r="C2323">
        <f t="shared" si="37"/>
        <v>2019</v>
      </c>
      <c r="D2323" s="1">
        <v>43559</v>
      </c>
      <c r="E2323">
        <v>60.939599999999999</v>
      </c>
    </row>
    <row r="2324" spans="3:5" x14ac:dyDescent="0.35">
      <c r="C2324">
        <f t="shared" si="37"/>
        <v>2019</v>
      </c>
      <c r="D2324" s="1">
        <v>43560</v>
      </c>
      <c r="E2324">
        <v>62.179400000000001</v>
      </c>
    </row>
    <row r="2325" spans="3:5" x14ac:dyDescent="0.35">
      <c r="C2325">
        <f t="shared" si="37"/>
        <v>2019</v>
      </c>
      <c r="D2325" s="1">
        <v>43563</v>
      </c>
      <c r="E2325">
        <v>60.393700000000003</v>
      </c>
    </row>
    <row r="2326" spans="3:5" x14ac:dyDescent="0.35">
      <c r="C2326">
        <f t="shared" si="37"/>
        <v>2019</v>
      </c>
      <c r="D2326" s="1">
        <v>43564</v>
      </c>
      <c r="E2326">
        <v>60.121299999999998</v>
      </c>
    </row>
    <row r="2327" spans="3:5" x14ac:dyDescent="0.35">
      <c r="C2327">
        <f t="shared" si="37"/>
        <v>2019</v>
      </c>
      <c r="D2327" s="1">
        <v>43565</v>
      </c>
      <c r="E2327">
        <v>59.4619</v>
      </c>
    </row>
    <row r="2328" spans="3:5" x14ac:dyDescent="0.35">
      <c r="C2328">
        <f t="shared" si="37"/>
        <v>2019</v>
      </c>
      <c r="D2328" s="1">
        <v>43566</v>
      </c>
      <c r="E2328">
        <v>60.145000000000003</v>
      </c>
    </row>
    <row r="2329" spans="3:5" x14ac:dyDescent="0.35">
      <c r="C2329">
        <f t="shared" si="37"/>
        <v>2019</v>
      </c>
      <c r="D2329" s="1">
        <v>43567</v>
      </c>
      <c r="E2329">
        <v>58.4833</v>
      </c>
    </row>
    <row r="2330" spans="3:5" x14ac:dyDescent="0.35">
      <c r="C2330">
        <f t="shared" si="37"/>
        <v>2019</v>
      </c>
      <c r="D2330" s="1">
        <v>43570</v>
      </c>
      <c r="E2330">
        <v>58.253900000000002</v>
      </c>
    </row>
    <row r="2331" spans="3:5" x14ac:dyDescent="0.35">
      <c r="C2331">
        <f t="shared" si="37"/>
        <v>2019</v>
      </c>
      <c r="D2331" s="1">
        <v>43571</v>
      </c>
      <c r="E2331">
        <v>60.510599999999997</v>
      </c>
    </row>
    <row r="2332" spans="3:5" x14ac:dyDescent="0.35">
      <c r="C2332">
        <f t="shared" si="37"/>
        <v>2019</v>
      </c>
      <c r="D2332" s="1">
        <v>43572</v>
      </c>
      <c r="E2332">
        <v>60.7423</v>
      </c>
    </row>
    <row r="2333" spans="3:5" x14ac:dyDescent="0.35">
      <c r="C2333">
        <f t="shared" si="37"/>
        <v>2019</v>
      </c>
      <c r="D2333" s="1">
        <v>43573</v>
      </c>
      <c r="E2333">
        <v>60.851399999999998</v>
      </c>
    </row>
    <row r="2334" spans="3:5" x14ac:dyDescent="0.35">
      <c r="C2334">
        <f t="shared" si="37"/>
        <v>2019</v>
      </c>
      <c r="D2334" s="1">
        <v>43577</v>
      </c>
      <c r="E2334">
        <v>58.486899999999999</v>
      </c>
    </row>
    <row r="2335" spans="3:5" x14ac:dyDescent="0.35">
      <c r="C2335">
        <f t="shared" si="37"/>
        <v>2019</v>
      </c>
      <c r="D2335" s="1">
        <v>43578</v>
      </c>
      <c r="E2335">
        <v>58.662300000000002</v>
      </c>
    </row>
    <row r="2336" spans="3:5" x14ac:dyDescent="0.35">
      <c r="C2336">
        <f t="shared" si="37"/>
        <v>2019</v>
      </c>
      <c r="D2336" s="1">
        <v>43579</v>
      </c>
      <c r="E2336">
        <v>58.7271</v>
      </c>
    </row>
    <row r="2337" spans="3:5" x14ac:dyDescent="0.35">
      <c r="C2337">
        <f t="shared" si="37"/>
        <v>2019</v>
      </c>
      <c r="D2337" s="1">
        <v>43580</v>
      </c>
      <c r="E2337">
        <v>56.915399999999998</v>
      </c>
    </row>
    <row r="2338" spans="3:5" x14ac:dyDescent="0.35">
      <c r="C2338">
        <f t="shared" si="37"/>
        <v>2019</v>
      </c>
      <c r="D2338" s="1">
        <v>43581</v>
      </c>
      <c r="E2338">
        <v>56.6325</v>
      </c>
    </row>
    <row r="2339" spans="3:5" x14ac:dyDescent="0.35">
      <c r="C2339">
        <f t="shared" si="37"/>
        <v>2019</v>
      </c>
      <c r="D2339" s="1">
        <v>43584</v>
      </c>
      <c r="E2339">
        <v>58.148499999999999</v>
      </c>
    </row>
    <row r="2340" spans="3:5" x14ac:dyDescent="0.35">
      <c r="C2340">
        <f t="shared" si="37"/>
        <v>2019</v>
      </c>
      <c r="D2340" s="1">
        <v>43585</v>
      </c>
      <c r="E2340">
        <v>58.324800000000003</v>
      </c>
    </row>
    <row r="2341" spans="3:5" x14ac:dyDescent="0.35">
      <c r="C2341">
        <f t="shared" si="37"/>
        <v>2019</v>
      </c>
      <c r="D2341" s="1">
        <v>43586</v>
      </c>
      <c r="E2341">
        <v>58.230899999999998</v>
      </c>
    </row>
    <row r="2342" spans="3:5" x14ac:dyDescent="0.35">
      <c r="C2342">
        <f t="shared" si="37"/>
        <v>2019</v>
      </c>
      <c r="D2342" s="1">
        <v>43587</v>
      </c>
      <c r="E2342">
        <v>57.727800000000002</v>
      </c>
    </row>
    <row r="2343" spans="3:5" x14ac:dyDescent="0.35">
      <c r="C2343">
        <f t="shared" si="37"/>
        <v>2019</v>
      </c>
      <c r="D2343" s="1">
        <v>43588</v>
      </c>
      <c r="E2343">
        <v>56.743200000000002</v>
      </c>
    </row>
    <row r="2344" spans="3:5" x14ac:dyDescent="0.35">
      <c r="C2344">
        <f t="shared" si="37"/>
        <v>2019</v>
      </c>
      <c r="D2344" s="1">
        <v>43591</v>
      </c>
      <c r="E2344">
        <v>55.904299999999999</v>
      </c>
    </row>
    <row r="2345" spans="3:5" x14ac:dyDescent="0.35">
      <c r="C2345">
        <f t="shared" si="37"/>
        <v>2019</v>
      </c>
      <c r="D2345" s="1">
        <v>43592</v>
      </c>
      <c r="E2345">
        <v>53.838200000000001</v>
      </c>
    </row>
    <row r="2346" spans="3:5" x14ac:dyDescent="0.35">
      <c r="C2346">
        <f t="shared" si="37"/>
        <v>2019</v>
      </c>
      <c r="D2346" s="1">
        <v>43593</v>
      </c>
      <c r="E2346">
        <v>51.172699999999999</v>
      </c>
    </row>
    <row r="2347" spans="3:5" x14ac:dyDescent="0.35">
      <c r="C2347">
        <f t="shared" si="37"/>
        <v>2019</v>
      </c>
      <c r="D2347" s="1">
        <v>43594</v>
      </c>
      <c r="E2347">
        <v>49.049599999999998</v>
      </c>
    </row>
    <row r="2348" spans="3:5" x14ac:dyDescent="0.35">
      <c r="C2348">
        <f t="shared" si="37"/>
        <v>2019</v>
      </c>
      <c r="D2348" s="1">
        <v>43595</v>
      </c>
      <c r="E2348">
        <v>47.639899999999997</v>
      </c>
    </row>
    <row r="2349" spans="3:5" x14ac:dyDescent="0.35">
      <c r="C2349">
        <f t="shared" si="37"/>
        <v>2019</v>
      </c>
      <c r="D2349" s="1">
        <v>43598</v>
      </c>
      <c r="E2349">
        <v>49.145400000000002</v>
      </c>
    </row>
    <row r="2350" spans="3:5" x14ac:dyDescent="0.35">
      <c r="C2350">
        <f t="shared" si="37"/>
        <v>2019</v>
      </c>
      <c r="D2350" s="1">
        <v>43599</v>
      </c>
      <c r="E2350">
        <v>49.307899999999997</v>
      </c>
    </row>
    <row r="2351" spans="3:5" x14ac:dyDescent="0.35">
      <c r="C2351">
        <f t="shared" si="37"/>
        <v>2019</v>
      </c>
      <c r="D2351" s="1">
        <v>43600</v>
      </c>
      <c r="E2351">
        <v>48.14</v>
      </c>
    </row>
    <row r="2352" spans="3:5" x14ac:dyDescent="0.35">
      <c r="C2352">
        <f t="shared" si="37"/>
        <v>2019</v>
      </c>
      <c r="D2352" s="1">
        <v>43601</v>
      </c>
      <c r="E2352">
        <v>49.260899999999999</v>
      </c>
    </row>
    <row r="2353" spans="3:5" x14ac:dyDescent="0.35">
      <c r="C2353">
        <f t="shared" si="37"/>
        <v>2019</v>
      </c>
      <c r="D2353" s="1">
        <v>43602</v>
      </c>
      <c r="E2353">
        <v>48.447800000000001</v>
      </c>
    </row>
    <row r="2354" spans="3:5" x14ac:dyDescent="0.35">
      <c r="C2354">
        <f t="shared" si="37"/>
        <v>2019</v>
      </c>
      <c r="D2354" s="1">
        <v>43605</v>
      </c>
      <c r="E2354">
        <v>48.620699999999999</v>
      </c>
    </row>
    <row r="2355" spans="3:5" x14ac:dyDescent="0.35">
      <c r="C2355">
        <f t="shared" si="37"/>
        <v>2019</v>
      </c>
      <c r="D2355" s="1">
        <v>43606</v>
      </c>
      <c r="E2355">
        <v>47.480499999999999</v>
      </c>
    </row>
    <row r="2356" spans="3:5" x14ac:dyDescent="0.35">
      <c r="C2356">
        <f t="shared" si="37"/>
        <v>2019</v>
      </c>
      <c r="D2356" s="1">
        <v>43608</v>
      </c>
      <c r="E2356">
        <v>46.707500000000003</v>
      </c>
    </row>
    <row r="2357" spans="3:5" x14ac:dyDescent="0.35">
      <c r="C2357">
        <f t="shared" si="37"/>
        <v>2019</v>
      </c>
      <c r="D2357" s="1">
        <v>43609</v>
      </c>
      <c r="E2357">
        <v>47.397300000000001</v>
      </c>
    </row>
    <row r="2358" spans="3:5" x14ac:dyDescent="0.35">
      <c r="C2358">
        <f t="shared" si="37"/>
        <v>2019</v>
      </c>
      <c r="D2358" s="1">
        <v>43613</v>
      </c>
      <c r="E2358">
        <v>48.646500000000003</v>
      </c>
    </row>
    <row r="2359" spans="3:5" x14ac:dyDescent="0.35">
      <c r="C2359">
        <f t="shared" si="37"/>
        <v>2019</v>
      </c>
      <c r="D2359" s="1">
        <v>43614</v>
      </c>
      <c r="E2359">
        <v>48.982300000000002</v>
      </c>
    </row>
    <row r="2360" spans="3:5" x14ac:dyDescent="0.35">
      <c r="C2360">
        <f t="shared" si="37"/>
        <v>2019</v>
      </c>
      <c r="D2360" s="1">
        <v>43615</v>
      </c>
      <c r="E2360">
        <v>49.804400000000001</v>
      </c>
    </row>
    <row r="2361" spans="3:5" x14ac:dyDescent="0.35">
      <c r="C2361">
        <f t="shared" si="37"/>
        <v>2019</v>
      </c>
      <c r="D2361" s="1">
        <v>43616</v>
      </c>
      <c r="E2361">
        <v>50.277799999999999</v>
      </c>
    </row>
    <row r="2362" spans="3:5" x14ac:dyDescent="0.35">
      <c r="C2362">
        <f t="shared" si="37"/>
        <v>2019</v>
      </c>
      <c r="D2362" s="1">
        <v>43619</v>
      </c>
      <c r="E2362">
        <v>49.884599999999999</v>
      </c>
    </row>
    <row r="2363" spans="3:5" x14ac:dyDescent="0.35">
      <c r="C2363">
        <f t="shared" si="37"/>
        <v>2019</v>
      </c>
      <c r="D2363" s="1">
        <v>43620</v>
      </c>
      <c r="E2363">
        <v>50.107799999999997</v>
      </c>
    </row>
    <row r="2364" spans="3:5" x14ac:dyDescent="0.35">
      <c r="C2364">
        <f t="shared" si="37"/>
        <v>2019</v>
      </c>
      <c r="D2364" s="1">
        <v>43621</v>
      </c>
      <c r="E2364">
        <v>50.443199999999997</v>
      </c>
    </row>
    <row r="2365" spans="3:5" x14ac:dyDescent="0.35">
      <c r="C2365">
        <f t="shared" si="37"/>
        <v>2019</v>
      </c>
      <c r="D2365" s="1">
        <v>43622</v>
      </c>
      <c r="E2365">
        <v>50.590499999999999</v>
      </c>
    </row>
    <row r="2366" spans="3:5" x14ac:dyDescent="0.35">
      <c r="C2366">
        <f t="shared" si="37"/>
        <v>2019</v>
      </c>
      <c r="D2366" s="1">
        <v>43623</v>
      </c>
      <c r="E2366">
        <v>52.096600000000002</v>
      </c>
    </row>
    <row r="2367" spans="3:5" x14ac:dyDescent="0.35">
      <c r="C2367">
        <f t="shared" si="37"/>
        <v>2019</v>
      </c>
      <c r="D2367" s="1">
        <v>43626</v>
      </c>
      <c r="E2367">
        <v>53.255099999999999</v>
      </c>
    </row>
    <row r="2368" spans="3:5" x14ac:dyDescent="0.35">
      <c r="C2368">
        <f t="shared" si="37"/>
        <v>2019</v>
      </c>
      <c r="D2368" s="1">
        <v>43627</v>
      </c>
      <c r="E2368">
        <v>52.354900000000001</v>
      </c>
    </row>
    <row r="2369" spans="3:5" x14ac:dyDescent="0.35">
      <c r="C2369">
        <f t="shared" si="37"/>
        <v>2019</v>
      </c>
      <c r="D2369" s="1">
        <v>43628</v>
      </c>
      <c r="E2369">
        <v>52.1006</v>
      </c>
    </row>
    <row r="2370" spans="3:5" x14ac:dyDescent="0.35">
      <c r="C2370">
        <f t="shared" si="37"/>
        <v>2019</v>
      </c>
      <c r="D2370" s="1">
        <v>43629</v>
      </c>
      <c r="E2370">
        <v>50.623800000000003</v>
      </c>
    </row>
    <row r="2371" spans="3:5" x14ac:dyDescent="0.35">
      <c r="C2371">
        <f t="shared" ref="C2371:C2434" si="38">YEAR(D2371)</f>
        <v>2019</v>
      </c>
      <c r="D2371" s="1">
        <v>43630</v>
      </c>
      <c r="E2371">
        <v>50.204599999999999</v>
      </c>
    </row>
    <row r="2372" spans="3:5" x14ac:dyDescent="0.35">
      <c r="C2372">
        <f t="shared" si="38"/>
        <v>2019</v>
      </c>
      <c r="D2372" s="1">
        <v>43633</v>
      </c>
      <c r="E2372">
        <v>51.173200000000001</v>
      </c>
    </row>
    <row r="2373" spans="3:5" x14ac:dyDescent="0.35">
      <c r="C2373">
        <f t="shared" si="38"/>
        <v>2019</v>
      </c>
      <c r="D2373" s="1">
        <v>43634</v>
      </c>
      <c r="E2373">
        <v>51.980800000000002</v>
      </c>
    </row>
    <row r="2374" spans="3:5" x14ac:dyDescent="0.35">
      <c r="C2374">
        <f t="shared" si="38"/>
        <v>2019</v>
      </c>
      <c r="D2374" s="1">
        <v>43635</v>
      </c>
      <c r="E2374">
        <v>51.456299999999999</v>
      </c>
    </row>
    <row r="2375" spans="3:5" x14ac:dyDescent="0.35">
      <c r="C2375">
        <f t="shared" si="38"/>
        <v>2019</v>
      </c>
      <c r="D2375" s="1">
        <v>43636</v>
      </c>
      <c r="E2375">
        <v>50.202599999999997</v>
      </c>
    </row>
    <row r="2376" spans="3:5" x14ac:dyDescent="0.35">
      <c r="C2376">
        <f t="shared" si="38"/>
        <v>2019</v>
      </c>
      <c r="D2376" s="1">
        <v>43637</v>
      </c>
      <c r="E2376">
        <v>49.468899999999998</v>
      </c>
    </row>
    <row r="2377" spans="3:5" x14ac:dyDescent="0.35">
      <c r="C2377">
        <f t="shared" si="38"/>
        <v>2019</v>
      </c>
      <c r="D2377" s="1">
        <v>43640</v>
      </c>
      <c r="E2377">
        <v>49.177500000000002</v>
      </c>
    </row>
    <row r="2378" spans="3:5" x14ac:dyDescent="0.35">
      <c r="C2378">
        <f t="shared" si="38"/>
        <v>2019</v>
      </c>
      <c r="D2378" s="1">
        <v>43641</v>
      </c>
      <c r="E2378">
        <v>48.331499999999998</v>
      </c>
    </row>
    <row r="2379" spans="3:5" x14ac:dyDescent="0.35">
      <c r="C2379">
        <f t="shared" si="38"/>
        <v>2019</v>
      </c>
      <c r="D2379" s="1">
        <v>43642</v>
      </c>
      <c r="E2379">
        <v>47.464700000000001</v>
      </c>
    </row>
    <row r="2380" spans="3:5" x14ac:dyDescent="0.35">
      <c r="C2380">
        <f t="shared" si="38"/>
        <v>2019</v>
      </c>
      <c r="D2380" s="1">
        <v>43643</v>
      </c>
      <c r="E2380">
        <v>48.332900000000002</v>
      </c>
    </row>
    <row r="2381" spans="3:5" x14ac:dyDescent="0.35">
      <c r="C2381">
        <f t="shared" si="38"/>
        <v>2019</v>
      </c>
      <c r="D2381" s="1">
        <v>43644</v>
      </c>
      <c r="E2381">
        <v>49.274700000000003</v>
      </c>
    </row>
    <row r="2382" spans="3:5" x14ac:dyDescent="0.35">
      <c r="C2382">
        <f t="shared" si="38"/>
        <v>2019</v>
      </c>
      <c r="D2382" s="1">
        <v>43647</v>
      </c>
      <c r="E2382">
        <v>51.562100000000001</v>
      </c>
    </row>
    <row r="2383" spans="3:5" x14ac:dyDescent="0.35">
      <c r="C2383">
        <f t="shared" si="38"/>
        <v>2019</v>
      </c>
      <c r="D2383" s="1">
        <v>43648</v>
      </c>
      <c r="E2383">
        <v>52.854500000000002</v>
      </c>
    </row>
    <row r="2384" spans="3:5" x14ac:dyDescent="0.35">
      <c r="C2384">
        <f t="shared" si="38"/>
        <v>2019</v>
      </c>
      <c r="D2384" s="1">
        <v>43649</v>
      </c>
      <c r="E2384">
        <v>51.2286</v>
      </c>
    </row>
    <row r="2385" spans="3:5" x14ac:dyDescent="0.35">
      <c r="C2385">
        <f t="shared" si="38"/>
        <v>2019</v>
      </c>
      <c r="D2385" s="1">
        <v>43651</v>
      </c>
      <c r="E2385">
        <v>53.092500000000001</v>
      </c>
    </row>
    <row r="2386" spans="3:5" x14ac:dyDescent="0.35">
      <c r="C2386">
        <f t="shared" si="38"/>
        <v>2019</v>
      </c>
      <c r="D2386" s="1">
        <v>43654</v>
      </c>
      <c r="E2386">
        <v>50.093800000000002</v>
      </c>
    </row>
    <row r="2387" spans="3:5" x14ac:dyDescent="0.35">
      <c r="C2387">
        <f t="shared" si="38"/>
        <v>2019</v>
      </c>
      <c r="D2387" s="1">
        <v>43655</v>
      </c>
      <c r="E2387">
        <v>47.616799999999998</v>
      </c>
    </row>
    <row r="2388" spans="3:5" x14ac:dyDescent="0.35">
      <c r="C2388">
        <f t="shared" si="38"/>
        <v>2019</v>
      </c>
      <c r="D2388" s="1">
        <v>43656</v>
      </c>
      <c r="E2388">
        <v>47.614600000000003</v>
      </c>
    </row>
    <row r="2389" spans="3:5" x14ac:dyDescent="0.35">
      <c r="C2389">
        <f t="shared" si="38"/>
        <v>2019</v>
      </c>
      <c r="D2389" s="1">
        <v>43657</v>
      </c>
      <c r="E2389">
        <v>47.842700000000001</v>
      </c>
    </row>
    <row r="2390" spans="3:5" x14ac:dyDescent="0.35">
      <c r="C2390">
        <f t="shared" si="38"/>
        <v>2019</v>
      </c>
      <c r="D2390" s="1">
        <v>43658</v>
      </c>
      <c r="E2390">
        <v>46.310200000000002</v>
      </c>
    </row>
    <row r="2391" spans="3:5" x14ac:dyDescent="0.35">
      <c r="C2391">
        <f t="shared" si="38"/>
        <v>2019</v>
      </c>
      <c r="D2391" s="1">
        <v>43661</v>
      </c>
      <c r="E2391">
        <v>45.963000000000001</v>
      </c>
    </row>
    <row r="2392" spans="3:5" x14ac:dyDescent="0.35">
      <c r="C2392">
        <f t="shared" si="38"/>
        <v>2019</v>
      </c>
      <c r="D2392" s="1">
        <v>43662</v>
      </c>
      <c r="E2392">
        <v>47.956400000000002</v>
      </c>
    </row>
    <row r="2393" spans="3:5" x14ac:dyDescent="0.35">
      <c r="C2393">
        <f t="shared" si="38"/>
        <v>2019</v>
      </c>
      <c r="D2393" s="1">
        <v>43663</v>
      </c>
      <c r="E2393">
        <v>48.675899999999999</v>
      </c>
    </row>
    <row r="2394" spans="3:5" x14ac:dyDescent="0.35">
      <c r="C2394">
        <f t="shared" si="38"/>
        <v>2019</v>
      </c>
      <c r="D2394" s="1">
        <v>43664</v>
      </c>
      <c r="E2394">
        <v>50.121600000000001</v>
      </c>
    </row>
    <row r="2395" spans="3:5" x14ac:dyDescent="0.35">
      <c r="C2395">
        <f t="shared" si="38"/>
        <v>2019</v>
      </c>
      <c r="D2395" s="1">
        <v>43665</v>
      </c>
      <c r="E2395">
        <v>50.307400000000001</v>
      </c>
    </row>
    <row r="2396" spans="3:5" x14ac:dyDescent="0.35">
      <c r="C2396">
        <f t="shared" si="38"/>
        <v>2019</v>
      </c>
      <c r="D2396" s="1">
        <v>43668</v>
      </c>
      <c r="E2396">
        <v>49.212200000000003</v>
      </c>
    </row>
    <row r="2397" spans="3:5" x14ac:dyDescent="0.35">
      <c r="C2397">
        <f t="shared" si="38"/>
        <v>2019</v>
      </c>
      <c r="D2397" s="1">
        <v>43669</v>
      </c>
      <c r="E2397">
        <v>50.4146</v>
      </c>
    </row>
    <row r="2398" spans="3:5" x14ac:dyDescent="0.35">
      <c r="C2398">
        <f t="shared" si="38"/>
        <v>2019</v>
      </c>
      <c r="D2398" s="1">
        <v>43670</v>
      </c>
      <c r="E2398">
        <v>49.512999999999998</v>
      </c>
    </row>
    <row r="2399" spans="3:5" x14ac:dyDescent="0.35">
      <c r="C2399">
        <f t="shared" si="38"/>
        <v>2019</v>
      </c>
      <c r="D2399" s="1">
        <v>43671</v>
      </c>
      <c r="E2399">
        <v>48.7438</v>
      </c>
    </row>
    <row r="2400" spans="3:5" x14ac:dyDescent="0.35">
      <c r="C2400">
        <f t="shared" si="38"/>
        <v>2019</v>
      </c>
      <c r="D2400" s="1">
        <v>43672</v>
      </c>
      <c r="E2400">
        <v>49.101199999999999</v>
      </c>
    </row>
    <row r="2401" spans="3:5" x14ac:dyDescent="0.35">
      <c r="C2401">
        <f t="shared" si="38"/>
        <v>2019</v>
      </c>
      <c r="D2401" s="1">
        <v>43675</v>
      </c>
      <c r="E2401">
        <v>49.465400000000002</v>
      </c>
    </row>
    <row r="2402" spans="3:5" x14ac:dyDescent="0.35">
      <c r="C2402">
        <f t="shared" si="38"/>
        <v>2019</v>
      </c>
      <c r="D2402" s="1">
        <v>43676</v>
      </c>
      <c r="E2402">
        <v>49.342599999999997</v>
      </c>
    </row>
    <row r="2403" spans="3:5" x14ac:dyDescent="0.35">
      <c r="C2403">
        <f t="shared" si="38"/>
        <v>2019</v>
      </c>
      <c r="D2403" s="1">
        <v>43677</v>
      </c>
      <c r="E2403">
        <v>48.936199999999999</v>
      </c>
    </row>
    <row r="2404" spans="3:5" x14ac:dyDescent="0.35">
      <c r="C2404">
        <f t="shared" si="38"/>
        <v>2019</v>
      </c>
      <c r="D2404" s="1">
        <v>43678</v>
      </c>
      <c r="E2404">
        <v>48.762999999999998</v>
      </c>
    </row>
    <row r="2405" spans="3:5" x14ac:dyDescent="0.35">
      <c r="C2405">
        <f t="shared" si="38"/>
        <v>2019</v>
      </c>
      <c r="D2405" s="1">
        <v>43679</v>
      </c>
      <c r="E2405">
        <v>47.262099999999997</v>
      </c>
    </row>
    <row r="2406" spans="3:5" x14ac:dyDescent="0.35">
      <c r="C2406">
        <f t="shared" si="38"/>
        <v>2019</v>
      </c>
      <c r="D2406" s="1">
        <v>43682</v>
      </c>
      <c r="E2406">
        <v>47.808599999999998</v>
      </c>
    </row>
    <row r="2407" spans="3:5" x14ac:dyDescent="0.35">
      <c r="C2407">
        <f t="shared" si="38"/>
        <v>2019</v>
      </c>
      <c r="D2407" s="1">
        <v>43683</v>
      </c>
      <c r="E2407">
        <v>46.781799999999997</v>
      </c>
    </row>
    <row r="2408" spans="3:5" x14ac:dyDescent="0.35">
      <c r="C2408">
        <f t="shared" si="38"/>
        <v>2019</v>
      </c>
      <c r="D2408" s="1">
        <v>43684</v>
      </c>
      <c r="E2408">
        <v>44.804299999999998</v>
      </c>
    </row>
    <row r="2409" spans="3:5" x14ac:dyDescent="0.35">
      <c r="C2409">
        <f t="shared" si="38"/>
        <v>2019</v>
      </c>
      <c r="D2409" s="1">
        <v>43685</v>
      </c>
      <c r="E2409">
        <v>45.524900000000002</v>
      </c>
    </row>
    <row r="2410" spans="3:5" x14ac:dyDescent="0.35">
      <c r="C2410">
        <f t="shared" si="38"/>
        <v>2019</v>
      </c>
      <c r="D2410" s="1">
        <v>43686</v>
      </c>
      <c r="E2410">
        <v>46.039900000000003</v>
      </c>
    </row>
    <row r="2411" spans="3:5" x14ac:dyDescent="0.35">
      <c r="C2411">
        <f t="shared" si="38"/>
        <v>2019</v>
      </c>
      <c r="D2411" s="1">
        <v>43689</v>
      </c>
      <c r="E2411">
        <v>45.7502</v>
      </c>
    </row>
    <row r="2412" spans="3:5" x14ac:dyDescent="0.35">
      <c r="C2412">
        <f t="shared" si="38"/>
        <v>2019</v>
      </c>
      <c r="D2412" s="1">
        <v>43690</v>
      </c>
      <c r="E2412">
        <v>45.218600000000002</v>
      </c>
    </row>
    <row r="2413" spans="3:5" x14ac:dyDescent="0.35">
      <c r="C2413">
        <f t="shared" si="38"/>
        <v>2019</v>
      </c>
      <c r="D2413" s="1">
        <v>43691</v>
      </c>
      <c r="E2413">
        <v>44.817599999999999</v>
      </c>
    </row>
    <row r="2414" spans="3:5" x14ac:dyDescent="0.35">
      <c r="C2414">
        <f t="shared" si="38"/>
        <v>2019</v>
      </c>
      <c r="D2414" s="1">
        <v>43692</v>
      </c>
      <c r="E2414">
        <v>42.9651</v>
      </c>
    </row>
    <row r="2415" spans="3:5" x14ac:dyDescent="0.35">
      <c r="C2415">
        <f t="shared" si="38"/>
        <v>2019</v>
      </c>
      <c r="D2415" s="1">
        <v>43693</v>
      </c>
      <c r="E2415">
        <v>42.169199999999996</v>
      </c>
    </row>
    <row r="2416" spans="3:5" x14ac:dyDescent="0.35">
      <c r="C2416">
        <f t="shared" si="38"/>
        <v>2019</v>
      </c>
      <c r="D2416" s="1">
        <v>43696</v>
      </c>
      <c r="E2416">
        <v>41.525599999999997</v>
      </c>
    </row>
    <row r="2417" spans="3:5" x14ac:dyDescent="0.35">
      <c r="C2417">
        <f t="shared" si="38"/>
        <v>2019</v>
      </c>
      <c r="D2417" s="1">
        <v>43697</v>
      </c>
      <c r="E2417">
        <v>41.021799999999999</v>
      </c>
    </row>
    <row r="2418" spans="3:5" x14ac:dyDescent="0.35">
      <c r="C2418">
        <f t="shared" si="38"/>
        <v>2019</v>
      </c>
      <c r="D2418" s="1">
        <v>43698</v>
      </c>
      <c r="E2418">
        <v>40.140700000000002</v>
      </c>
    </row>
    <row r="2419" spans="3:5" x14ac:dyDescent="0.35">
      <c r="C2419">
        <f t="shared" si="38"/>
        <v>2019</v>
      </c>
      <c r="D2419" s="1">
        <v>43699</v>
      </c>
      <c r="E2419">
        <v>40.820399999999999</v>
      </c>
    </row>
    <row r="2420" spans="3:5" x14ac:dyDescent="0.35">
      <c r="C2420">
        <f t="shared" si="38"/>
        <v>2019</v>
      </c>
      <c r="D2420" s="1">
        <v>43700</v>
      </c>
      <c r="E2420">
        <v>39.561199999999999</v>
      </c>
    </row>
    <row r="2421" spans="3:5" x14ac:dyDescent="0.35">
      <c r="C2421">
        <f t="shared" si="38"/>
        <v>2019</v>
      </c>
      <c r="D2421" s="1">
        <v>43703</v>
      </c>
      <c r="E2421">
        <v>40.489600000000003</v>
      </c>
    </row>
    <row r="2422" spans="3:5" x14ac:dyDescent="0.35">
      <c r="C2422">
        <f t="shared" si="38"/>
        <v>2019</v>
      </c>
      <c r="D2422" s="1">
        <v>43704</v>
      </c>
      <c r="E2422">
        <v>40.031999999999996</v>
      </c>
    </row>
    <row r="2423" spans="3:5" x14ac:dyDescent="0.35">
      <c r="C2423">
        <f t="shared" si="38"/>
        <v>2019</v>
      </c>
      <c r="D2423" s="1">
        <v>43705</v>
      </c>
      <c r="E2423">
        <v>39.371699999999997</v>
      </c>
    </row>
    <row r="2424" spans="3:5" x14ac:dyDescent="0.35">
      <c r="C2424">
        <f t="shared" si="38"/>
        <v>2019</v>
      </c>
      <c r="D2424" s="1">
        <v>43706</v>
      </c>
      <c r="E2424">
        <v>39.5441</v>
      </c>
    </row>
    <row r="2425" spans="3:5" x14ac:dyDescent="0.35">
      <c r="C2425">
        <f t="shared" si="38"/>
        <v>2019</v>
      </c>
      <c r="D2425" s="1">
        <v>43707</v>
      </c>
      <c r="E2425">
        <v>39.667200000000001</v>
      </c>
    </row>
    <row r="2426" spans="3:5" x14ac:dyDescent="0.35">
      <c r="C2426">
        <f t="shared" si="38"/>
        <v>2019</v>
      </c>
      <c r="D2426" s="1">
        <v>43711</v>
      </c>
      <c r="E2426">
        <v>39.913600000000002</v>
      </c>
    </row>
    <row r="2427" spans="3:5" x14ac:dyDescent="0.35">
      <c r="C2427">
        <f t="shared" si="38"/>
        <v>2019</v>
      </c>
      <c r="D2427" s="1">
        <v>43712</v>
      </c>
      <c r="E2427">
        <v>40.212899999999998</v>
      </c>
    </row>
    <row r="2428" spans="3:5" x14ac:dyDescent="0.35">
      <c r="C2428">
        <f t="shared" si="38"/>
        <v>2019</v>
      </c>
      <c r="D2428" s="1">
        <v>43713</v>
      </c>
      <c r="E2428">
        <v>43.064</v>
      </c>
    </row>
    <row r="2429" spans="3:5" x14ac:dyDescent="0.35">
      <c r="C2429">
        <f t="shared" si="38"/>
        <v>2019</v>
      </c>
      <c r="D2429" s="1">
        <v>43714</v>
      </c>
      <c r="E2429">
        <v>42.380499999999998</v>
      </c>
    </row>
    <row r="2430" spans="3:5" x14ac:dyDescent="0.35">
      <c r="C2430">
        <f t="shared" si="38"/>
        <v>2019</v>
      </c>
      <c r="D2430" s="1">
        <v>43717</v>
      </c>
      <c r="E2430">
        <v>42.971600000000002</v>
      </c>
    </row>
    <row r="2431" spans="3:5" x14ac:dyDescent="0.35">
      <c r="C2431">
        <f t="shared" si="38"/>
        <v>2019</v>
      </c>
      <c r="D2431" s="1">
        <v>43718</v>
      </c>
      <c r="E2431">
        <v>44.219299999999997</v>
      </c>
    </row>
    <row r="2432" spans="3:5" x14ac:dyDescent="0.35">
      <c r="C2432">
        <f t="shared" si="38"/>
        <v>2019</v>
      </c>
      <c r="D2432" s="1">
        <v>43719</v>
      </c>
      <c r="E2432">
        <v>44.0306</v>
      </c>
    </row>
    <row r="2433" spans="3:5" x14ac:dyDescent="0.35">
      <c r="C2433">
        <f t="shared" si="38"/>
        <v>2019</v>
      </c>
      <c r="D2433" s="1">
        <v>43720</v>
      </c>
      <c r="E2433">
        <v>43.333799999999997</v>
      </c>
    </row>
    <row r="2434" spans="3:5" x14ac:dyDescent="0.35">
      <c r="C2434">
        <f t="shared" si="38"/>
        <v>2019</v>
      </c>
      <c r="D2434" s="1">
        <v>43721</v>
      </c>
      <c r="E2434">
        <v>45.517699999999998</v>
      </c>
    </row>
    <row r="2435" spans="3:5" x14ac:dyDescent="0.35">
      <c r="C2435">
        <f t="shared" ref="C2435:C2498" si="39">YEAR(D2435)</f>
        <v>2019</v>
      </c>
      <c r="D2435" s="1">
        <v>43724</v>
      </c>
      <c r="E2435">
        <v>42.810699999999997</v>
      </c>
    </row>
    <row r="2436" spans="3:5" x14ac:dyDescent="0.35">
      <c r="C2436">
        <f t="shared" si="39"/>
        <v>2019</v>
      </c>
      <c r="D2436" s="1">
        <v>43725</v>
      </c>
      <c r="E2436">
        <v>42.747100000000003</v>
      </c>
    </row>
    <row r="2437" spans="3:5" x14ac:dyDescent="0.35">
      <c r="C2437">
        <f t="shared" si="39"/>
        <v>2019</v>
      </c>
      <c r="D2437" s="1">
        <v>43726</v>
      </c>
      <c r="E2437">
        <v>42.554699999999997</v>
      </c>
    </row>
    <row r="2438" spans="3:5" x14ac:dyDescent="0.35">
      <c r="C2438">
        <f t="shared" si="39"/>
        <v>2019</v>
      </c>
      <c r="D2438" s="1">
        <v>43727</v>
      </c>
      <c r="E2438">
        <v>41.914700000000003</v>
      </c>
    </row>
    <row r="2439" spans="3:5" x14ac:dyDescent="0.35">
      <c r="C2439">
        <f t="shared" si="39"/>
        <v>2019</v>
      </c>
      <c r="D2439" s="1">
        <v>43728</v>
      </c>
      <c r="E2439">
        <v>41.145600000000002</v>
      </c>
    </row>
    <row r="2440" spans="3:5" x14ac:dyDescent="0.35">
      <c r="C2440">
        <f t="shared" si="39"/>
        <v>2019</v>
      </c>
      <c r="D2440" s="1">
        <v>43731</v>
      </c>
      <c r="E2440">
        <v>40.536799999999999</v>
      </c>
    </row>
    <row r="2441" spans="3:5" x14ac:dyDescent="0.35">
      <c r="C2441">
        <f t="shared" si="39"/>
        <v>2019</v>
      </c>
      <c r="D2441" s="1">
        <v>43732</v>
      </c>
      <c r="E2441">
        <v>41.353499999999997</v>
      </c>
    </row>
    <row r="2442" spans="3:5" x14ac:dyDescent="0.35">
      <c r="C2442">
        <f t="shared" si="39"/>
        <v>2019</v>
      </c>
      <c r="D2442" s="1">
        <v>43733</v>
      </c>
      <c r="E2442">
        <v>42.610500000000002</v>
      </c>
    </row>
    <row r="2443" spans="3:5" x14ac:dyDescent="0.35">
      <c r="C2443">
        <f t="shared" si="39"/>
        <v>2019</v>
      </c>
      <c r="D2443" s="1">
        <v>43734</v>
      </c>
      <c r="E2443">
        <v>42.1205</v>
      </c>
    </row>
    <row r="2444" spans="3:5" x14ac:dyDescent="0.35">
      <c r="C2444">
        <f t="shared" si="39"/>
        <v>2019</v>
      </c>
      <c r="D2444" s="1">
        <v>43735</v>
      </c>
      <c r="E2444">
        <v>44.351500000000001</v>
      </c>
    </row>
    <row r="2445" spans="3:5" x14ac:dyDescent="0.35">
      <c r="C2445">
        <f t="shared" si="39"/>
        <v>2019</v>
      </c>
      <c r="D2445" s="1">
        <v>43738</v>
      </c>
      <c r="E2445">
        <v>46.427900000000001</v>
      </c>
    </row>
    <row r="2446" spans="3:5" x14ac:dyDescent="0.35">
      <c r="C2446">
        <f t="shared" si="39"/>
        <v>2019</v>
      </c>
      <c r="D2446" s="1">
        <v>43739</v>
      </c>
      <c r="E2446">
        <v>43.808399999999999</v>
      </c>
    </row>
    <row r="2447" spans="3:5" x14ac:dyDescent="0.35">
      <c r="C2447">
        <f t="shared" si="39"/>
        <v>2019</v>
      </c>
      <c r="D2447" s="1">
        <v>43740</v>
      </c>
      <c r="E2447">
        <v>42.946899999999999</v>
      </c>
    </row>
    <row r="2448" spans="3:5" x14ac:dyDescent="0.35">
      <c r="C2448">
        <f t="shared" si="39"/>
        <v>2019</v>
      </c>
      <c r="D2448" s="1">
        <v>43741</v>
      </c>
      <c r="E2448">
        <v>42.523099999999999</v>
      </c>
    </row>
    <row r="2449" spans="3:5" x14ac:dyDescent="0.35">
      <c r="C2449">
        <f t="shared" si="39"/>
        <v>2019</v>
      </c>
      <c r="D2449" s="1">
        <v>43742</v>
      </c>
      <c r="E2449">
        <v>43.045699999999997</v>
      </c>
    </row>
    <row r="2450" spans="3:5" x14ac:dyDescent="0.35">
      <c r="C2450">
        <f t="shared" si="39"/>
        <v>2019</v>
      </c>
      <c r="D2450" s="1">
        <v>43745</v>
      </c>
      <c r="E2450">
        <v>43.633000000000003</v>
      </c>
    </row>
    <row r="2451" spans="3:5" x14ac:dyDescent="0.35">
      <c r="C2451">
        <f t="shared" si="39"/>
        <v>2019</v>
      </c>
      <c r="D2451" s="1">
        <v>43746</v>
      </c>
      <c r="E2451">
        <v>42.224800000000002</v>
      </c>
    </row>
    <row r="2452" spans="3:5" x14ac:dyDescent="0.35">
      <c r="C2452">
        <f t="shared" si="39"/>
        <v>2019</v>
      </c>
      <c r="D2452" s="1">
        <v>43747</v>
      </c>
      <c r="E2452">
        <v>41.311799999999998</v>
      </c>
    </row>
    <row r="2453" spans="3:5" x14ac:dyDescent="0.35">
      <c r="C2453">
        <f t="shared" si="39"/>
        <v>2019</v>
      </c>
      <c r="D2453" s="1">
        <v>43748</v>
      </c>
      <c r="E2453">
        <v>41.0745</v>
      </c>
    </row>
    <row r="2454" spans="3:5" x14ac:dyDescent="0.35">
      <c r="C2454">
        <f t="shared" si="39"/>
        <v>2019</v>
      </c>
      <c r="D2454" s="1">
        <v>43749</v>
      </c>
      <c r="E2454">
        <v>41.792200000000001</v>
      </c>
    </row>
    <row r="2455" spans="3:5" x14ac:dyDescent="0.35">
      <c r="C2455">
        <f t="shared" si="39"/>
        <v>2019</v>
      </c>
      <c r="D2455" s="1">
        <v>43752</v>
      </c>
      <c r="E2455">
        <v>38.558700000000002</v>
      </c>
    </row>
    <row r="2456" spans="3:5" x14ac:dyDescent="0.35">
      <c r="C2456">
        <f t="shared" si="39"/>
        <v>2019</v>
      </c>
      <c r="D2456" s="1">
        <v>43753</v>
      </c>
      <c r="E2456">
        <v>39.170900000000003</v>
      </c>
    </row>
    <row r="2457" spans="3:5" x14ac:dyDescent="0.35">
      <c r="C2457">
        <f t="shared" si="39"/>
        <v>2019</v>
      </c>
      <c r="D2457" s="1">
        <v>43754</v>
      </c>
      <c r="E2457">
        <v>37.769100000000002</v>
      </c>
    </row>
    <row r="2458" spans="3:5" x14ac:dyDescent="0.35">
      <c r="C2458">
        <f t="shared" si="39"/>
        <v>2019</v>
      </c>
      <c r="D2458" s="1">
        <v>43755</v>
      </c>
      <c r="E2458">
        <v>39.318399999999997</v>
      </c>
    </row>
    <row r="2459" spans="3:5" x14ac:dyDescent="0.35">
      <c r="C2459">
        <f t="shared" si="39"/>
        <v>2019</v>
      </c>
      <c r="D2459" s="1">
        <v>43756</v>
      </c>
      <c r="E2459">
        <v>41.460999999999999</v>
      </c>
    </row>
    <row r="2460" spans="3:5" x14ac:dyDescent="0.35">
      <c r="C2460">
        <f t="shared" si="39"/>
        <v>2019</v>
      </c>
      <c r="D2460" s="1">
        <v>43759</v>
      </c>
      <c r="E2460">
        <v>41.5077</v>
      </c>
    </row>
    <row r="2461" spans="3:5" x14ac:dyDescent="0.35">
      <c r="C2461">
        <f t="shared" si="39"/>
        <v>2019</v>
      </c>
      <c r="D2461" s="1">
        <v>43760</v>
      </c>
      <c r="E2461">
        <v>41.4208</v>
      </c>
    </row>
    <row r="2462" spans="3:5" x14ac:dyDescent="0.35">
      <c r="C2462">
        <f t="shared" si="39"/>
        <v>2019</v>
      </c>
      <c r="D2462" s="1">
        <v>43761</v>
      </c>
      <c r="E2462">
        <v>42.835099999999997</v>
      </c>
    </row>
    <row r="2463" spans="3:5" x14ac:dyDescent="0.35">
      <c r="C2463">
        <f t="shared" si="39"/>
        <v>2019</v>
      </c>
      <c r="D2463" s="1">
        <v>43762</v>
      </c>
      <c r="E2463">
        <v>42.7986</v>
      </c>
    </row>
    <row r="2464" spans="3:5" x14ac:dyDescent="0.35">
      <c r="C2464">
        <f t="shared" si="39"/>
        <v>2019</v>
      </c>
      <c r="D2464" s="1">
        <v>43763</v>
      </c>
      <c r="E2464">
        <v>42.844200000000001</v>
      </c>
    </row>
    <row r="2465" spans="3:5" x14ac:dyDescent="0.35">
      <c r="C2465">
        <f t="shared" si="39"/>
        <v>2019</v>
      </c>
      <c r="D2465" s="1">
        <v>43766</v>
      </c>
      <c r="E2465">
        <v>42.8202</v>
      </c>
    </row>
    <row r="2466" spans="3:5" x14ac:dyDescent="0.35">
      <c r="C2466">
        <f t="shared" si="39"/>
        <v>2019</v>
      </c>
      <c r="D2466" s="1">
        <v>43768</v>
      </c>
      <c r="E2466">
        <v>42.160800000000002</v>
      </c>
    </row>
    <row r="2467" spans="3:5" x14ac:dyDescent="0.35">
      <c r="C2467">
        <f t="shared" si="39"/>
        <v>2019</v>
      </c>
      <c r="D2467" s="1">
        <v>43769</v>
      </c>
      <c r="E2467">
        <v>41.945500000000003</v>
      </c>
    </row>
    <row r="2468" spans="3:5" x14ac:dyDescent="0.35">
      <c r="C2468">
        <f t="shared" si="39"/>
        <v>2019</v>
      </c>
      <c r="D2468" s="1">
        <v>43770</v>
      </c>
      <c r="E2468">
        <v>41.823399999999999</v>
      </c>
    </row>
    <row r="2469" spans="3:5" x14ac:dyDescent="0.35">
      <c r="C2469">
        <f t="shared" si="39"/>
        <v>2019</v>
      </c>
      <c r="D2469" s="1">
        <v>43773</v>
      </c>
      <c r="E2469">
        <v>42.750100000000003</v>
      </c>
    </row>
    <row r="2470" spans="3:5" x14ac:dyDescent="0.35">
      <c r="C2470">
        <f t="shared" si="39"/>
        <v>2019</v>
      </c>
      <c r="D2470" s="1">
        <v>43774</v>
      </c>
      <c r="E2470">
        <v>43.486899999999999</v>
      </c>
    </row>
    <row r="2471" spans="3:5" x14ac:dyDescent="0.35">
      <c r="C2471">
        <f t="shared" si="39"/>
        <v>2019</v>
      </c>
      <c r="D2471" s="1">
        <v>43775</v>
      </c>
      <c r="E2471">
        <v>43.354900000000001</v>
      </c>
    </row>
    <row r="2472" spans="3:5" x14ac:dyDescent="0.35">
      <c r="C2472">
        <f t="shared" si="39"/>
        <v>2019</v>
      </c>
      <c r="D2472" s="1">
        <v>43776</v>
      </c>
      <c r="E2472">
        <v>46.731400000000001</v>
      </c>
    </row>
    <row r="2473" spans="3:5" x14ac:dyDescent="0.35">
      <c r="C2473">
        <f t="shared" si="39"/>
        <v>2019</v>
      </c>
      <c r="D2473" s="1">
        <v>43777</v>
      </c>
      <c r="E2473">
        <v>47.2151</v>
      </c>
    </row>
    <row r="2474" spans="3:5" x14ac:dyDescent="0.35">
      <c r="C2474">
        <f t="shared" si="39"/>
        <v>2019</v>
      </c>
      <c r="D2474" s="1">
        <v>43780</v>
      </c>
      <c r="E2474">
        <v>48.070700000000002</v>
      </c>
    </row>
    <row r="2475" spans="3:5" x14ac:dyDescent="0.35">
      <c r="C2475">
        <f t="shared" si="39"/>
        <v>2019</v>
      </c>
      <c r="D2475" s="1">
        <v>43781</v>
      </c>
      <c r="E2475">
        <v>49.531999999999996</v>
      </c>
    </row>
    <row r="2476" spans="3:5" x14ac:dyDescent="0.35">
      <c r="C2476">
        <f t="shared" si="39"/>
        <v>2019</v>
      </c>
      <c r="D2476" s="1">
        <v>43782</v>
      </c>
      <c r="E2476">
        <v>50.656500000000001</v>
      </c>
    </row>
    <row r="2477" spans="3:5" x14ac:dyDescent="0.35">
      <c r="C2477">
        <f t="shared" si="39"/>
        <v>2019</v>
      </c>
      <c r="D2477" s="1">
        <v>43783</v>
      </c>
      <c r="E2477">
        <v>49.917499999999997</v>
      </c>
    </row>
    <row r="2478" spans="3:5" x14ac:dyDescent="0.35">
      <c r="C2478">
        <f t="shared" si="39"/>
        <v>2019</v>
      </c>
      <c r="D2478" s="1">
        <v>43784</v>
      </c>
      <c r="E2478">
        <v>50.4375</v>
      </c>
    </row>
    <row r="2479" spans="3:5" x14ac:dyDescent="0.35">
      <c r="C2479">
        <f t="shared" si="39"/>
        <v>2019</v>
      </c>
      <c r="D2479" s="1">
        <v>43787</v>
      </c>
      <c r="E2479">
        <v>52.382300000000001</v>
      </c>
    </row>
    <row r="2480" spans="3:5" x14ac:dyDescent="0.35">
      <c r="C2480">
        <f t="shared" si="39"/>
        <v>2019</v>
      </c>
      <c r="D2480" s="1">
        <v>43788</v>
      </c>
      <c r="E2480">
        <v>52.098100000000002</v>
      </c>
    </row>
    <row r="2481" spans="3:5" x14ac:dyDescent="0.35">
      <c r="C2481">
        <f t="shared" si="39"/>
        <v>2019</v>
      </c>
      <c r="D2481" s="1">
        <v>43789</v>
      </c>
      <c r="E2481">
        <v>51.683700000000002</v>
      </c>
    </row>
    <row r="2482" spans="3:5" x14ac:dyDescent="0.35">
      <c r="C2482">
        <f t="shared" si="39"/>
        <v>2019</v>
      </c>
      <c r="D2482" s="1">
        <v>43790</v>
      </c>
      <c r="E2482">
        <v>51.327199999999998</v>
      </c>
    </row>
    <row r="2483" spans="3:5" x14ac:dyDescent="0.35">
      <c r="C2483">
        <f t="shared" si="39"/>
        <v>2019</v>
      </c>
      <c r="D2483" s="1">
        <v>43791</v>
      </c>
      <c r="E2483">
        <v>50.897399999999998</v>
      </c>
    </row>
    <row r="2484" spans="3:5" x14ac:dyDescent="0.35">
      <c r="C2484">
        <f t="shared" si="39"/>
        <v>2019</v>
      </c>
      <c r="D2484" s="1">
        <v>43794</v>
      </c>
      <c r="E2484">
        <v>50.254199999999997</v>
      </c>
    </row>
    <row r="2485" spans="3:5" x14ac:dyDescent="0.35">
      <c r="C2485">
        <f t="shared" si="39"/>
        <v>2019</v>
      </c>
      <c r="D2485" s="1">
        <v>43795</v>
      </c>
      <c r="E2485">
        <v>50.950200000000002</v>
      </c>
    </row>
    <row r="2486" spans="3:5" x14ac:dyDescent="0.35">
      <c r="C2486">
        <f t="shared" si="39"/>
        <v>2019</v>
      </c>
      <c r="D2486" s="1">
        <v>43796</v>
      </c>
      <c r="E2486">
        <v>50.460799999999999</v>
      </c>
    </row>
    <row r="2487" spans="3:5" x14ac:dyDescent="0.35">
      <c r="C2487">
        <f t="shared" si="39"/>
        <v>2019</v>
      </c>
      <c r="D2487" s="1">
        <v>43798</v>
      </c>
      <c r="E2487">
        <v>50.310099999999998</v>
      </c>
    </row>
    <row r="2488" spans="3:5" x14ac:dyDescent="0.35">
      <c r="C2488">
        <f t="shared" si="39"/>
        <v>2019</v>
      </c>
      <c r="D2488" s="1">
        <v>43801</v>
      </c>
      <c r="E2488">
        <v>51.44</v>
      </c>
    </row>
    <row r="2489" spans="3:5" x14ac:dyDescent="0.35">
      <c r="C2489">
        <f t="shared" si="39"/>
        <v>2019</v>
      </c>
      <c r="D2489" s="1">
        <v>43802</v>
      </c>
      <c r="E2489">
        <v>49.889000000000003</v>
      </c>
    </row>
    <row r="2490" spans="3:5" x14ac:dyDescent="0.35">
      <c r="C2490">
        <f t="shared" si="39"/>
        <v>2019</v>
      </c>
      <c r="D2490" s="1">
        <v>43803</v>
      </c>
      <c r="E2490">
        <v>50.489100000000001</v>
      </c>
    </row>
    <row r="2491" spans="3:5" x14ac:dyDescent="0.35">
      <c r="C2491">
        <f t="shared" si="39"/>
        <v>2019</v>
      </c>
      <c r="D2491" s="1">
        <v>43804</v>
      </c>
      <c r="E2491">
        <v>50.545299999999997</v>
      </c>
    </row>
    <row r="2492" spans="3:5" x14ac:dyDescent="0.35">
      <c r="C2492">
        <f t="shared" si="39"/>
        <v>2019</v>
      </c>
      <c r="D2492" s="1">
        <v>43805</v>
      </c>
      <c r="E2492">
        <v>50.868200000000002</v>
      </c>
    </row>
    <row r="2493" spans="3:5" x14ac:dyDescent="0.35">
      <c r="C2493">
        <f t="shared" si="39"/>
        <v>2019</v>
      </c>
      <c r="D2493" s="1">
        <v>43808</v>
      </c>
      <c r="E2493">
        <v>50.825699999999998</v>
      </c>
    </row>
    <row r="2494" spans="3:5" x14ac:dyDescent="0.35">
      <c r="C2494">
        <f t="shared" si="39"/>
        <v>2019</v>
      </c>
      <c r="D2494" s="1">
        <v>43809</v>
      </c>
      <c r="E2494">
        <v>50.141599999999997</v>
      </c>
    </row>
    <row r="2495" spans="3:5" x14ac:dyDescent="0.35">
      <c r="C2495">
        <f t="shared" si="39"/>
        <v>2019</v>
      </c>
      <c r="D2495" s="1">
        <v>43810</v>
      </c>
      <c r="E2495">
        <v>49.628700000000002</v>
      </c>
    </row>
    <row r="2496" spans="3:5" x14ac:dyDescent="0.35">
      <c r="C2496">
        <f t="shared" si="39"/>
        <v>2019</v>
      </c>
      <c r="D2496" s="1">
        <v>43811</v>
      </c>
      <c r="E2496">
        <v>51.336300000000001</v>
      </c>
    </row>
    <row r="2497" spans="3:5" x14ac:dyDescent="0.35">
      <c r="C2497">
        <f t="shared" si="39"/>
        <v>2019</v>
      </c>
      <c r="D2497" s="1">
        <v>43812</v>
      </c>
      <c r="E2497">
        <v>50.468699999999998</v>
      </c>
    </row>
    <row r="2498" spans="3:5" x14ac:dyDescent="0.35">
      <c r="C2498">
        <f t="shared" si="39"/>
        <v>2019</v>
      </c>
      <c r="D2498" s="1">
        <v>43815</v>
      </c>
      <c r="E2498">
        <v>50.8018</v>
      </c>
    </row>
    <row r="2499" spans="3:5" x14ac:dyDescent="0.35">
      <c r="C2499">
        <f t="shared" ref="C2499:C2562" si="40">YEAR(D2499)</f>
        <v>2019</v>
      </c>
      <c r="D2499" s="1">
        <v>43816</v>
      </c>
      <c r="E2499">
        <v>50.134900000000002</v>
      </c>
    </row>
    <row r="2500" spans="3:5" x14ac:dyDescent="0.35">
      <c r="C2500">
        <f t="shared" si="40"/>
        <v>2019</v>
      </c>
      <c r="D2500" s="1">
        <v>43817</v>
      </c>
      <c r="E2500">
        <v>49.3125</v>
      </c>
    </row>
    <row r="2501" spans="3:5" x14ac:dyDescent="0.35">
      <c r="C2501">
        <f t="shared" si="40"/>
        <v>2019</v>
      </c>
      <c r="D2501" s="1">
        <v>43818</v>
      </c>
      <c r="E2501">
        <v>48.889099999999999</v>
      </c>
    </row>
    <row r="2502" spans="3:5" x14ac:dyDescent="0.35">
      <c r="C2502">
        <f t="shared" si="40"/>
        <v>2019</v>
      </c>
      <c r="D2502" s="1">
        <v>43819</v>
      </c>
      <c r="E2502">
        <v>48.892899999999997</v>
      </c>
    </row>
    <row r="2503" spans="3:5" x14ac:dyDescent="0.35">
      <c r="C2503">
        <f t="shared" si="40"/>
        <v>2019</v>
      </c>
      <c r="D2503" s="1">
        <v>43822</v>
      </c>
      <c r="E2503">
        <v>48.670499999999997</v>
      </c>
    </row>
    <row r="2504" spans="3:5" x14ac:dyDescent="0.35">
      <c r="C2504">
        <f t="shared" si="40"/>
        <v>2019</v>
      </c>
      <c r="D2504" s="1">
        <v>43823</v>
      </c>
      <c r="E2504">
        <v>48.807200000000002</v>
      </c>
    </row>
    <row r="2505" spans="3:5" x14ac:dyDescent="0.35">
      <c r="C2505">
        <f t="shared" si="40"/>
        <v>2019</v>
      </c>
      <c r="D2505" s="1">
        <v>43825</v>
      </c>
      <c r="E2505">
        <v>48.475900000000003</v>
      </c>
    </row>
    <row r="2506" spans="3:5" x14ac:dyDescent="0.35">
      <c r="C2506">
        <f t="shared" si="40"/>
        <v>2019</v>
      </c>
      <c r="D2506" s="1">
        <v>43826</v>
      </c>
      <c r="E2506">
        <v>48.350700000000003</v>
      </c>
    </row>
    <row r="2507" spans="3:5" x14ac:dyDescent="0.35">
      <c r="C2507">
        <f t="shared" si="40"/>
        <v>2019</v>
      </c>
      <c r="D2507" s="1">
        <v>43829</v>
      </c>
      <c r="E2507">
        <v>49.368200000000002</v>
      </c>
    </row>
    <row r="2508" spans="3:5" x14ac:dyDescent="0.35">
      <c r="C2508">
        <f t="shared" si="40"/>
        <v>2019</v>
      </c>
      <c r="D2508" s="1">
        <v>43830</v>
      </c>
      <c r="E2508">
        <v>49.769500000000001</v>
      </c>
    </row>
    <row r="2509" spans="3:5" x14ac:dyDescent="0.35">
      <c r="C2509">
        <f t="shared" si="40"/>
        <v>2020</v>
      </c>
      <c r="D2509" s="1">
        <v>43832</v>
      </c>
      <c r="E2509">
        <v>50.883400000000002</v>
      </c>
    </row>
    <row r="2510" spans="3:5" x14ac:dyDescent="0.35">
      <c r="C2510">
        <f t="shared" si="40"/>
        <v>2020</v>
      </c>
      <c r="D2510" s="1">
        <v>43833</v>
      </c>
      <c r="E2510">
        <v>48.1053</v>
      </c>
    </row>
    <row r="2511" spans="3:5" x14ac:dyDescent="0.35">
      <c r="C2511">
        <f t="shared" si="40"/>
        <v>2020</v>
      </c>
      <c r="D2511" s="1">
        <v>43836</v>
      </c>
      <c r="E2511">
        <v>45.156100000000002</v>
      </c>
    </row>
    <row r="2512" spans="3:5" x14ac:dyDescent="0.35">
      <c r="C2512">
        <f t="shared" si="40"/>
        <v>2020</v>
      </c>
      <c r="D2512" s="1">
        <v>43837</v>
      </c>
      <c r="E2512">
        <v>44.887900000000002</v>
      </c>
    </row>
    <row r="2513" spans="3:5" x14ac:dyDescent="0.35">
      <c r="C2513">
        <f t="shared" si="40"/>
        <v>2020</v>
      </c>
      <c r="D2513" s="1">
        <v>43838</v>
      </c>
      <c r="E2513">
        <v>45.128500000000003</v>
      </c>
    </row>
    <row r="2514" spans="3:5" x14ac:dyDescent="0.35">
      <c r="C2514">
        <f t="shared" si="40"/>
        <v>2020</v>
      </c>
      <c r="D2514" s="1">
        <v>43839</v>
      </c>
      <c r="E2514">
        <v>48.374299999999998</v>
      </c>
    </row>
    <row r="2515" spans="3:5" x14ac:dyDescent="0.35">
      <c r="C2515">
        <f t="shared" si="40"/>
        <v>2020</v>
      </c>
      <c r="D2515" s="1">
        <v>43840</v>
      </c>
      <c r="E2515">
        <v>48.895000000000003</v>
      </c>
    </row>
    <row r="2516" spans="3:5" x14ac:dyDescent="0.35">
      <c r="C2516">
        <f t="shared" si="40"/>
        <v>2020</v>
      </c>
      <c r="D2516" s="1">
        <v>43843</v>
      </c>
      <c r="E2516">
        <v>50.703200000000002</v>
      </c>
    </row>
    <row r="2517" spans="3:5" x14ac:dyDescent="0.35">
      <c r="C2517">
        <f t="shared" si="40"/>
        <v>2020</v>
      </c>
      <c r="D2517" s="1">
        <v>43844</v>
      </c>
      <c r="E2517">
        <v>50.951300000000003</v>
      </c>
    </row>
    <row r="2518" spans="3:5" x14ac:dyDescent="0.35">
      <c r="C2518">
        <f t="shared" si="40"/>
        <v>2020</v>
      </c>
      <c r="D2518" s="1">
        <v>43845</v>
      </c>
      <c r="E2518">
        <v>50.106699999999996</v>
      </c>
    </row>
    <row r="2519" spans="3:5" x14ac:dyDescent="0.35">
      <c r="C2519">
        <f t="shared" si="40"/>
        <v>2020</v>
      </c>
      <c r="D2519" s="1">
        <v>43846</v>
      </c>
      <c r="E2519">
        <v>51.401000000000003</v>
      </c>
    </row>
    <row r="2520" spans="3:5" x14ac:dyDescent="0.35">
      <c r="C2520">
        <f t="shared" si="40"/>
        <v>2020</v>
      </c>
      <c r="D2520" s="1">
        <v>43847</v>
      </c>
      <c r="E2520">
        <v>51.186399999999999</v>
      </c>
    </row>
    <row r="2521" spans="3:5" x14ac:dyDescent="0.35">
      <c r="C2521">
        <f t="shared" si="40"/>
        <v>2020</v>
      </c>
      <c r="D2521" s="1">
        <v>43851</v>
      </c>
      <c r="E2521">
        <v>50.207599999999999</v>
      </c>
    </row>
    <row r="2522" spans="3:5" x14ac:dyDescent="0.35">
      <c r="C2522">
        <f t="shared" si="40"/>
        <v>2020</v>
      </c>
      <c r="D2522" s="1">
        <v>43852</v>
      </c>
      <c r="E2522">
        <v>49.750799999999998</v>
      </c>
    </row>
    <row r="2523" spans="3:5" x14ac:dyDescent="0.35">
      <c r="C2523">
        <f t="shared" si="40"/>
        <v>2020</v>
      </c>
      <c r="D2523" s="1">
        <v>43853</v>
      </c>
      <c r="E2523">
        <v>47.888199999999998</v>
      </c>
    </row>
    <row r="2524" spans="3:5" x14ac:dyDescent="0.35">
      <c r="C2524">
        <f t="shared" si="40"/>
        <v>2020</v>
      </c>
      <c r="D2524" s="1">
        <v>43854</v>
      </c>
      <c r="E2524">
        <v>48.548299999999998</v>
      </c>
    </row>
    <row r="2525" spans="3:5" x14ac:dyDescent="0.35">
      <c r="C2525">
        <f t="shared" si="40"/>
        <v>2020</v>
      </c>
      <c r="D2525" s="1">
        <v>43857</v>
      </c>
      <c r="E2525">
        <v>46.786000000000001</v>
      </c>
    </row>
    <row r="2526" spans="3:5" x14ac:dyDescent="0.35">
      <c r="C2526">
        <f t="shared" si="40"/>
        <v>2020</v>
      </c>
      <c r="D2526" s="1">
        <v>43858</v>
      </c>
      <c r="E2526">
        <v>47.228400000000001</v>
      </c>
    </row>
    <row r="2527" spans="3:5" x14ac:dyDescent="0.35">
      <c r="C2527">
        <f t="shared" si="40"/>
        <v>2020</v>
      </c>
      <c r="D2527" s="1">
        <v>43859</v>
      </c>
      <c r="E2527">
        <v>47.057899999999997</v>
      </c>
    </row>
    <row r="2528" spans="3:5" x14ac:dyDescent="0.35">
      <c r="C2528">
        <f t="shared" si="40"/>
        <v>2020</v>
      </c>
      <c r="D2528" s="1">
        <v>43860</v>
      </c>
      <c r="E2528">
        <v>45.472900000000003</v>
      </c>
    </row>
    <row r="2529" spans="3:5" x14ac:dyDescent="0.35">
      <c r="C2529">
        <f t="shared" si="40"/>
        <v>2020</v>
      </c>
      <c r="D2529" s="1">
        <v>43861</v>
      </c>
      <c r="E2529">
        <v>45.060899999999997</v>
      </c>
    </row>
    <row r="2530" spans="3:5" x14ac:dyDescent="0.35">
      <c r="C2530">
        <f t="shared" si="40"/>
        <v>2020</v>
      </c>
      <c r="D2530" s="1">
        <v>43864</v>
      </c>
      <c r="E2530">
        <v>45.646099999999997</v>
      </c>
    </row>
    <row r="2531" spans="3:5" x14ac:dyDescent="0.35">
      <c r="C2531">
        <f t="shared" si="40"/>
        <v>2020</v>
      </c>
      <c r="D2531" s="1">
        <v>43865</v>
      </c>
      <c r="E2531">
        <v>48.078600000000002</v>
      </c>
    </row>
    <row r="2532" spans="3:5" x14ac:dyDescent="0.35">
      <c r="C2532">
        <f t="shared" si="40"/>
        <v>2020</v>
      </c>
      <c r="D2532" s="1">
        <v>43866</v>
      </c>
      <c r="E2532">
        <v>48.799100000000003</v>
      </c>
    </row>
    <row r="2533" spans="3:5" x14ac:dyDescent="0.35">
      <c r="C2533">
        <f t="shared" si="40"/>
        <v>2020</v>
      </c>
      <c r="D2533" s="1">
        <v>43867</v>
      </c>
      <c r="E2533">
        <v>48.944400000000002</v>
      </c>
    </row>
    <row r="2534" spans="3:5" x14ac:dyDescent="0.35">
      <c r="C2534">
        <f t="shared" si="40"/>
        <v>2020</v>
      </c>
      <c r="D2534" s="1">
        <v>43868</v>
      </c>
      <c r="E2534">
        <v>47.885599999999997</v>
      </c>
    </row>
    <row r="2535" spans="3:5" x14ac:dyDescent="0.35">
      <c r="C2535">
        <f t="shared" si="40"/>
        <v>2020</v>
      </c>
      <c r="D2535" s="1">
        <v>43871</v>
      </c>
      <c r="E2535">
        <v>46.254600000000003</v>
      </c>
    </row>
    <row r="2536" spans="3:5" x14ac:dyDescent="0.35">
      <c r="C2536">
        <f t="shared" si="40"/>
        <v>2020</v>
      </c>
      <c r="D2536" s="1">
        <v>43872</v>
      </c>
      <c r="E2536">
        <v>47.2712</v>
      </c>
    </row>
    <row r="2537" spans="3:5" x14ac:dyDescent="0.35">
      <c r="C2537">
        <f t="shared" si="40"/>
        <v>2020</v>
      </c>
      <c r="D2537" s="1">
        <v>43873</v>
      </c>
      <c r="E2537">
        <v>48.884300000000003</v>
      </c>
    </row>
    <row r="2538" spans="3:5" x14ac:dyDescent="0.35">
      <c r="C2538">
        <f t="shared" si="40"/>
        <v>2020</v>
      </c>
      <c r="D2538" s="1">
        <v>43874</v>
      </c>
      <c r="E2538">
        <v>49.039200000000001</v>
      </c>
    </row>
    <row r="2539" spans="3:5" x14ac:dyDescent="0.35">
      <c r="C2539">
        <f t="shared" si="40"/>
        <v>2020</v>
      </c>
      <c r="D2539" s="1">
        <v>43875</v>
      </c>
      <c r="E2539">
        <v>48.449599999999997</v>
      </c>
    </row>
    <row r="2540" spans="3:5" x14ac:dyDescent="0.35">
      <c r="C2540">
        <f t="shared" si="40"/>
        <v>2020</v>
      </c>
      <c r="D2540" s="1">
        <v>43879</v>
      </c>
      <c r="E2540">
        <v>48.2239</v>
      </c>
    </row>
    <row r="2541" spans="3:5" x14ac:dyDescent="0.35">
      <c r="C2541">
        <f t="shared" si="40"/>
        <v>2020</v>
      </c>
      <c r="D2541" s="1">
        <v>43880</v>
      </c>
      <c r="E2541">
        <v>47.638599999999997</v>
      </c>
    </row>
    <row r="2542" spans="3:5" x14ac:dyDescent="0.35">
      <c r="C2542">
        <f t="shared" si="40"/>
        <v>2020</v>
      </c>
      <c r="D2542" s="1">
        <v>43881</v>
      </c>
      <c r="E2542">
        <v>45.514499999999998</v>
      </c>
    </row>
    <row r="2543" spans="3:5" x14ac:dyDescent="0.35">
      <c r="C2543">
        <f t="shared" si="40"/>
        <v>2020</v>
      </c>
      <c r="D2543" s="1">
        <v>43882</v>
      </c>
      <c r="E2543">
        <v>44.907299999999999</v>
      </c>
    </row>
    <row r="2544" spans="3:5" x14ac:dyDescent="0.35">
      <c r="C2544">
        <f t="shared" si="40"/>
        <v>2020</v>
      </c>
      <c r="D2544" s="1">
        <v>43885</v>
      </c>
      <c r="E2544">
        <v>42.193800000000003</v>
      </c>
    </row>
    <row r="2545" spans="3:5" x14ac:dyDescent="0.35">
      <c r="C2545">
        <f t="shared" si="40"/>
        <v>2020</v>
      </c>
      <c r="D2545" s="1">
        <v>43886</v>
      </c>
      <c r="E2545">
        <v>41.693199999999997</v>
      </c>
    </row>
    <row r="2546" spans="3:5" x14ac:dyDescent="0.35">
      <c r="C2546">
        <f t="shared" si="40"/>
        <v>2020</v>
      </c>
      <c r="D2546" s="1">
        <v>43887</v>
      </c>
      <c r="E2546">
        <v>40.878700000000002</v>
      </c>
    </row>
    <row r="2547" spans="3:5" x14ac:dyDescent="0.35">
      <c r="C2547">
        <f t="shared" si="40"/>
        <v>2020</v>
      </c>
      <c r="D2547" s="1">
        <v>43888</v>
      </c>
      <c r="E2547">
        <v>37.776499999999999</v>
      </c>
    </row>
    <row r="2548" spans="3:5" x14ac:dyDescent="0.35">
      <c r="C2548">
        <f t="shared" si="40"/>
        <v>2020</v>
      </c>
      <c r="D2548" s="1">
        <v>43889</v>
      </c>
      <c r="E2548">
        <v>37.805999999999997</v>
      </c>
    </row>
    <row r="2549" spans="3:5" x14ac:dyDescent="0.35">
      <c r="C2549">
        <f t="shared" si="40"/>
        <v>2020</v>
      </c>
      <c r="D2549" s="1">
        <v>43892</v>
      </c>
      <c r="E2549">
        <v>37.040199999999999</v>
      </c>
    </row>
    <row r="2550" spans="3:5" x14ac:dyDescent="0.35">
      <c r="C2550">
        <f t="shared" si="40"/>
        <v>2020</v>
      </c>
      <c r="D2550" s="1">
        <v>43893</v>
      </c>
      <c r="E2550">
        <v>37.076599999999999</v>
      </c>
    </row>
    <row r="2551" spans="3:5" x14ac:dyDescent="0.35">
      <c r="C2551">
        <f t="shared" si="40"/>
        <v>2020</v>
      </c>
      <c r="D2551" s="1">
        <v>43894</v>
      </c>
      <c r="E2551">
        <v>36.465699999999998</v>
      </c>
    </row>
    <row r="2552" spans="3:5" x14ac:dyDescent="0.35">
      <c r="C2552">
        <f t="shared" si="40"/>
        <v>2020</v>
      </c>
      <c r="D2552" s="1">
        <v>43895</v>
      </c>
      <c r="E2552">
        <v>35.9499</v>
      </c>
    </row>
    <row r="2553" spans="3:5" x14ac:dyDescent="0.35">
      <c r="C2553">
        <f t="shared" si="40"/>
        <v>2020</v>
      </c>
      <c r="D2553" s="1">
        <v>43896</v>
      </c>
      <c r="E2553">
        <v>33.952399999999997</v>
      </c>
    </row>
    <row r="2554" spans="3:5" x14ac:dyDescent="0.35">
      <c r="C2554">
        <f t="shared" si="40"/>
        <v>2020</v>
      </c>
      <c r="D2554" s="1">
        <v>43899</v>
      </c>
      <c r="E2554">
        <v>31.498799999999999</v>
      </c>
    </row>
    <row r="2555" spans="3:5" x14ac:dyDescent="0.35">
      <c r="C2555">
        <f t="shared" si="40"/>
        <v>2020</v>
      </c>
      <c r="D2555" s="1">
        <v>43900</v>
      </c>
      <c r="E2555">
        <v>30.3553</v>
      </c>
    </row>
    <row r="2556" spans="3:5" x14ac:dyDescent="0.35">
      <c r="C2556">
        <f t="shared" si="40"/>
        <v>2020</v>
      </c>
      <c r="D2556" s="1">
        <v>43901</v>
      </c>
      <c r="E2556">
        <v>30.616900000000001</v>
      </c>
    </row>
    <row r="2557" spans="3:5" x14ac:dyDescent="0.35">
      <c r="C2557">
        <f t="shared" si="40"/>
        <v>2020</v>
      </c>
      <c r="D2557" s="1">
        <v>43902</v>
      </c>
      <c r="E2557">
        <v>26.7196</v>
      </c>
    </row>
    <row r="2558" spans="3:5" x14ac:dyDescent="0.35">
      <c r="C2558">
        <f t="shared" si="40"/>
        <v>2020</v>
      </c>
      <c r="D2558" s="1">
        <v>43903</v>
      </c>
      <c r="E2558">
        <v>29.565300000000001</v>
      </c>
    </row>
    <row r="2559" spans="3:5" x14ac:dyDescent="0.35">
      <c r="C2559">
        <f t="shared" si="40"/>
        <v>2020</v>
      </c>
      <c r="D2559" s="1">
        <v>43906</v>
      </c>
      <c r="E2559">
        <v>27.419599999999999</v>
      </c>
    </row>
    <row r="2560" spans="3:5" x14ac:dyDescent="0.35">
      <c r="C2560">
        <f t="shared" si="40"/>
        <v>2020</v>
      </c>
      <c r="D2560" s="1">
        <v>43907</v>
      </c>
      <c r="E2560">
        <v>25.126300000000001</v>
      </c>
    </row>
    <row r="2561" spans="3:5" x14ac:dyDescent="0.35">
      <c r="C2561">
        <f t="shared" si="40"/>
        <v>2020</v>
      </c>
      <c r="D2561" s="1">
        <v>43908</v>
      </c>
      <c r="E2561">
        <v>26.121700000000001</v>
      </c>
    </row>
    <row r="2562" spans="3:5" x14ac:dyDescent="0.35">
      <c r="C2562">
        <f t="shared" si="40"/>
        <v>2020</v>
      </c>
      <c r="D2562" s="1">
        <v>43909</v>
      </c>
      <c r="E2562">
        <v>25.775099999999998</v>
      </c>
    </row>
    <row r="2563" spans="3:5" x14ac:dyDescent="0.35">
      <c r="C2563">
        <f t="shared" ref="C2563:C2626" si="41">YEAR(D2563)</f>
        <v>2020</v>
      </c>
      <c r="D2563" s="1">
        <v>43910</v>
      </c>
      <c r="E2563">
        <v>25.568899999999999</v>
      </c>
    </row>
    <row r="2564" spans="3:5" x14ac:dyDescent="0.35">
      <c r="C2564">
        <f t="shared" si="41"/>
        <v>2020</v>
      </c>
      <c r="D2564" s="1">
        <v>43913</v>
      </c>
      <c r="E2564">
        <v>23.429500000000001</v>
      </c>
    </row>
    <row r="2565" spans="3:5" x14ac:dyDescent="0.35">
      <c r="C2565">
        <f t="shared" si="41"/>
        <v>2020</v>
      </c>
      <c r="D2565" s="1">
        <v>43914</v>
      </c>
      <c r="E2565">
        <v>23.780899999999999</v>
      </c>
    </row>
    <row r="2566" spans="3:5" x14ac:dyDescent="0.35">
      <c r="C2566">
        <f t="shared" si="41"/>
        <v>2020</v>
      </c>
      <c r="D2566" s="1">
        <v>43915</v>
      </c>
      <c r="E2566">
        <v>25.8752</v>
      </c>
    </row>
    <row r="2567" spans="3:5" x14ac:dyDescent="0.35">
      <c r="C2567">
        <f t="shared" si="41"/>
        <v>2020</v>
      </c>
      <c r="D2567" s="1">
        <v>43916</v>
      </c>
      <c r="E2567">
        <v>27.1938</v>
      </c>
    </row>
    <row r="2568" spans="3:5" x14ac:dyDescent="0.35">
      <c r="C2568">
        <f t="shared" si="41"/>
        <v>2020</v>
      </c>
      <c r="D2568" s="1">
        <v>43917</v>
      </c>
      <c r="E2568">
        <v>26.5764</v>
      </c>
    </row>
    <row r="2569" spans="3:5" x14ac:dyDescent="0.35">
      <c r="C2569">
        <f t="shared" si="41"/>
        <v>2020</v>
      </c>
      <c r="D2569" s="1">
        <v>43920</v>
      </c>
      <c r="E2569">
        <v>25.796399999999998</v>
      </c>
    </row>
    <row r="2570" spans="3:5" x14ac:dyDescent="0.35">
      <c r="C2570">
        <f t="shared" si="41"/>
        <v>2020</v>
      </c>
      <c r="D2570" s="1">
        <v>43921</v>
      </c>
      <c r="E2570">
        <v>27.078800000000001</v>
      </c>
    </row>
    <row r="2571" spans="3:5" x14ac:dyDescent="0.35">
      <c r="C2571">
        <f t="shared" si="41"/>
        <v>2020</v>
      </c>
      <c r="D2571" s="1">
        <v>43922</v>
      </c>
      <c r="E2571">
        <v>26.7624</v>
      </c>
    </row>
    <row r="2572" spans="3:5" x14ac:dyDescent="0.35">
      <c r="C2572">
        <f t="shared" si="41"/>
        <v>2020</v>
      </c>
      <c r="D2572" s="1">
        <v>43923</v>
      </c>
      <c r="E2572">
        <v>25.615200000000002</v>
      </c>
    </row>
    <row r="2573" spans="3:5" x14ac:dyDescent="0.35">
      <c r="C2573">
        <f t="shared" si="41"/>
        <v>2020</v>
      </c>
      <c r="D2573" s="1">
        <v>43924</v>
      </c>
      <c r="E2573">
        <v>25.634499999999999</v>
      </c>
    </row>
    <row r="2574" spans="3:5" x14ac:dyDescent="0.35">
      <c r="C2574">
        <f t="shared" si="41"/>
        <v>2020</v>
      </c>
      <c r="D2574" s="1">
        <v>43927</v>
      </c>
      <c r="E2574">
        <v>25.234000000000002</v>
      </c>
    </row>
    <row r="2575" spans="3:5" x14ac:dyDescent="0.35">
      <c r="C2575">
        <f t="shared" si="41"/>
        <v>2020</v>
      </c>
      <c r="D2575" s="1">
        <v>43928</v>
      </c>
      <c r="E2575">
        <v>26.316500000000001</v>
      </c>
    </row>
    <row r="2576" spans="3:5" x14ac:dyDescent="0.35">
      <c r="C2576">
        <f t="shared" si="41"/>
        <v>2020</v>
      </c>
      <c r="D2576" s="1">
        <v>43929</v>
      </c>
      <c r="E2576">
        <v>26.421099999999999</v>
      </c>
    </row>
    <row r="2577" spans="3:5" x14ac:dyDescent="0.35">
      <c r="C2577">
        <f t="shared" si="41"/>
        <v>2020</v>
      </c>
      <c r="D2577" s="1">
        <v>43930</v>
      </c>
      <c r="E2577">
        <v>25.789300000000001</v>
      </c>
    </row>
    <row r="2578" spans="3:5" x14ac:dyDescent="0.35">
      <c r="C2578">
        <f t="shared" si="41"/>
        <v>2020</v>
      </c>
      <c r="D2578" s="1">
        <v>43934</v>
      </c>
      <c r="E2578">
        <v>27.046700000000001</v>
      </c>
    </row>
    <row r="2579" spans="3:5" x14ac:dyDescent="0.35">
      <c r="C2579">
        <f t="shared" si="41"/>
        <v>2020</v>
      </c>
      <c r="D2579" s="1">
        <v>43935</v>
      </c>
      <c r="E2579">
        <v>28.596599999999999</v>
      </c>
    </row>
    <row r="2580" spans="3:5" x14ac:dyDescent="0.35">
      <c r="C2580">
        <f t="shared" si="41"/>
        <v>2020</v>
      </c>
      <c r="D2580" s="1">
        <v>43936</v>
      </c>
      <c r="E2580">
        <v>27.4221</v>
      </c>
    </row>
    <row r="2581" spans="3:5" x14ac:dyDescent="0.35">
      <c r="C2581">
        <f t="shared" si="41"/>
        <v>2020</v>
      </c>
      <c r="D2581" s="1">
        <v>43937</v>
      </c>
      <c r="E2581">
        <v>26.6587</v>
      </c>
    </row>
    <row r="2582" spans="3:5" x14ac:dyDescent="0.35">
      <c r="C2582">
        <f t="shared" si="41"/>
        <v>2020</v>
      </c>
      <c r="D2582" s="1">
        <v>43938</v>
      </c>
      <c r="E2582">
        <v>27.930599999999998</v>
      </c>
    </row>
    <row r="2583" spans="3:5" x14ac:dyDescent="0.35">
      <c r="C2583">
        <f t="shared" si="41"/>
        <v>2020</v>
      </c>
      <c r="D2583" s="1">
        <v>43941</v>
      </c>
      <c r="E2583">
        <v>28.168700000000001</v>
      </c>
    </row>
    <row r="2584" spans="3:5" x14ac:dyDescent="0.35">
      <c r="C2584">
        <f t="shared" si="41"/>
        <v>2020</v>
      </c>
      <c r="D2584" s="1">
        <v>43942</v>
      </c>
      <c r="E2584">
        <v>27.931899999999999</v>
      </c>
    </row>
    <row r="2585" spans="3:5" x14ac:dyDescent="0.35">
      <c r="C2585">
        <f t="shared" si="41"/>
        <v>2020</v>
      </c>
      <c r="D2585" s="1">
        <v>43943</v>
      </c>
      <c r="E2585">
        <v>26.802800000000001</v>
      </c>
    </row>
    <row r="2586" spans="3:5" x14ac:dyDescent="0.35">
      <c r="C2586">
        <f t="shared" si="41"/>
        <v>2020</v>
      </c>
      <c r="D2586" s="1">
        <v>43945</v>
      </c>
      <c r="E2586">
        <v>26.670500000000001</v>
      </c>
    </row>
    <row r="2587" spans="3:5" x14ac:dyDescent="0.35">
      <c r="C2587">
        <f t="shared" si="41"/>
        <v>2020</v>
      </c>
      <c r="D2587" s="1">
        <v>43948</v>
      </c>
      <c r="E2587">
        <v>28.222000000000001</v>
      </c>
    </row>
    <row r="2588" spans="3:5" x14ac:dyDescent="0.35">
      <c r="C2588">
        <f t="shared" si="41"/>
        <v>2020</v>
      </c>
      <c r="D2588" s="1">
        <v>43949</v>
      </c>
      <c r="E2588">
        <v>27.749700000000001</v>
      </c>
    </row>
    <row r="2589" spans="3:5" x14ac:dyDescent="0.35">
      <c r="C2589">
        <f t="shared" si="41"/>
        <v>2020</v>
      </c>
      <c r="D2589" s="1">
        <v>43950</v>
      </c>
      <c r="E2589">
        <v>27.727499999999999</v>
      </c>
    </row>
    <row r="2590" spans="3:5" x14ac:dyDescent="0.35">
      <c r="C2590">
        <f t="shared" si="41"/>
        <v>2020</v>
      </c>
      <c r="D2590" s="1">
        <v>43951</v>
      </c>
      <c r="E2590">
        <v>28.348700000000001</v>
      </c>
    </row>
    <row r="2591" spans="3:5" x14ac:dyDescent="0.35">
      <c r="C2591">
        <f t="shared" si="41"/>
        <v>2020</v>
      </c>
      <c r="D2591" s="1">
        <v>43955</v>
      </c>
      <c r="E2591">
        <v>27.345800000000001</v>
      </c>
    </row>
    <row r="2592" spans="3:5" x14ac:dyDescent="0.35">
      <c r="C2592">
        <f t="shared" si="41"/>
        <v>2020</v>
      </c>
      <c r="D2592" s="1">
        <v>43956</v>
      </c>
      <c r="E2592">
        <v>27.2776</v>
      </c>
    </row>
    <row r="2593" spans="3:5" x14ac:dyDescent="0.35">
      <c r="C2593">
        <f t="shared" si="41"/>
        <v>2020</v>
      </c>
      <c r="D2593" s="1">
        <v>43957</v>
      </c>
      <c r="E2593">
        <v>27.504799999999999</v>
      </c>
    </row>
    <row r="2594" spans="3:5" x14ac:dyDescent="0.35">
      <c r="C2594">
        <f t="shared" si="41"/>
        <v>2020</v>
      </c>
      <c r="D2594" s="1">
        <v>43958</v>
      </c>
      <c r="E2594">
        <v>26.655999999999999</v>
      </c>
    </row>
    <row r="2595" spans="3:5" x14ac:dyDescent="0.35">
      <c r="C2595">
        <f t="shared" si="41"/>
        <v>2020</v>
      </c>
      <c r="D2595" s="1">
        <v>43959</v>
      </c>
      <c r="E2595">
        <v>27.202100000000002</v>
      </c>
    </row>
    <row r="2596" spans="3:5" x14ac:dyDescent="0.35">
      <c r="C2596">
        <f t="shared" si="41"/>
        <v>2020</v>
      </c>
      <c r="D2596" s="1">
        <v>43962</v>
      </c>
      <c r="E2596">
        <v>27.466000000000001</v>
      </c>
    </row>
    <row r="2597" spans="3:5" x14ac:dyDescent="0.35">
      <c r="C2597">
        <f t="shared" si="41"/>
        <v>2020</v>
      </c>
      <c r="D2597" s="1">
        <v>43963</v>
      </c>
      <c r="E2597">
        <v>27.5153</v>
      </c>
    </row>
    <row r="2598" spans="3:5" x14ac:dyDescent="0.35">
      <c r="C2598">
        <f t="shared" si="41"/>
        <v>2020</v>
      </c>
      <c r="D2598" s="1">
        <v>43964</v>
      </c>
      <c r="E2598">
        <v>27.641999999999999</v>
      </c>
    </row>
    <row r="2599" spans="3:5" x14ac:dyDescent="0.35">
      <c r="C2599">
        <f t="shared" si="41"/>
        <v>2020</v>
      </c>
      <c r="D2599" s="1">
        <v>43965</v>
      </c>
      <c r="E2599">
        <v>27.061399999999999</v>
      </c>
    </row>
    <row r="2600" spans="3:5" x14ac:dyDescent="0.35">
      <c r="C2600">
        <f t="shared" si="41"/>
        <v>2020</v>
      </c>
      <c r="D2600" s="1">
        <v>43966</v>
      </c>
      <c r="E2600">
        <v>27.126000000000001</v>
      </c>
    </row>
    <row r="2601" spans="3:5" x14ac:dyDescent="0.35">
      <c r="C2601">
        <f t="shared" si="41"/>
        <v>2020</v>
      </c>
      <c r="D2601" s="1">
        <v>43969</v>
      </c>
      <c r="E2601">
        <v>28.257999999999999</v>
      </c>
    </row>
    <row r="2602" spans="3:5" x14ac:dyDescent="0.35">
      <c r="C2602">
        <f t="shared" si="41"/>
        <v>2020</v>
      </c>
      <c r="D2602" s="1">
        <v>43971</v>
      </c>
      <c r="E2602">
        <v>28.4863</v>
      </c>
    </row>
    <row r="2603" spans="3:5" x14ac:dyDescent="0.35">
      <c r="C2603">
        <f t="shared" si="41"/>
        <v>2020</v>
      </c>
      <c r="D2603" s="1">
        <v>43972</v>
      </c>
      <c r="E2603">
        <v>29.552499999999998</v>
      </c>
    </row>
    <row r="2604" spans="3:5" x14ac:dyDescent="0.35">
      <c r="C2604">
        <f t="shared" si="41"/>
        <v>2020</v>
      </c>
      <c r="D2604" s="1">
        <v>43973</v>
      </c>
      <c r="E2604">
        <v>29.6037</v>
      </c>
    </row>
    <row r="2605" spans="3:5" x14ac:dyDescent="0.35">
      <c r="C2605">
        <f t="shared" si="41"/>
        <v>2020</v>
      </c>
      <c r="D2605" s="1">
        <v>43978</v>
      </c>
      <c r="E2605">
        <v>33.340600000000002</v>
      </c>
    </row>
    <row r="2606" spans="3:5" x14ac:dyDescent="0.35">
      <c r="C2606">
        <f t="shared" si="41"/>
        <v>2020</v>
      </c>
      <c r="D2606" s="1">
        <v>43979</v>
      </c>
      <c r="E2606">
        <v>33.920999999999999</v>
      </c>
    </row>
    <row r="2607" spans="3:5" x14ac:dyDescent="0.35">
      <c r="C2607">
        <f t="shared" si="41"/>
        <v>2020</v>
      </c>
      <c r="D2607" s="1">
        <v>43980</v>
      </c>
      <c r="E2607">
        <v>32.812199999999997</v>
      </c>
    </row>
    <row r="2608" spans="3:5" x14ac:dyDescent="0.35">
      <c r="C2608">
        <f t="shared" si="41"/>
        <v>2020</v>
      </c>
      <c r="D2608" s="1">
        <v>43983</v>
      </c>
      <c r="E2608">
        <v>33.617800000000003</v>
      </c>
    </row>
    <row r="2609" spans="3:5" x14ac:dyDescent="0.35">
      <c r="C2609">
        <f t="shared" si="41"/>
        <v>2020</v>
      </c>
      <c r="D2609" s="1">
        <v>43984</v>
      </c>
      <c r="E2609">
        <v>33.436900000000001</v>
      </c>
    </row>
    <row r="2610" spans="3:5" x14ac:dyDescent="0.35">
      <c r="C2610">
        <f t="shared" si="41"/>
        <v>2020</v>
      </c>
      <c r="D2610" s="1">
        <v>43985</v>
      </c>
      <c r="E2610">
        <v>34.279800000000002</v>
      </c>
    </row>
    <row r="2611" spans="3:5" x14ac:dyDescent="0.35">
      <c r="C2611">
        <f t="shared" si="41"/>
        <v>2020</v>
      </c>
      <c r="D2611" s="1">
        <v>43986</v>
      </c>
      <c r="E2611">
        <v>33.961300000000001</v>
      </c>
    </row>
    <row r="2612" spans="3:5" x14ac:dyDescent="0.35">
      <c r="C2612">
        <f t="shared" si="41"/>
        <v>2020</v>
      </c>
      <c r="D2612" s="1">
        <v>43987</v>
      </c>
      <c r="E2612">
        <v>35.028399999999998</v>
      </c>
    </row>
    <row r="2613" spans="3:5" x14ac:dyDescent="0.35">
      <c r="C2613">
        <f t="shared" si="41"/>
        <v>2020</v>
      </c>
      <c r="D2613" s="1">
        <v>43990</v>
      </c>
      <c r="E2613">
        <v>34.2378</v>
      </c>
    </row>
    <row r="2614" spans="3:5" x14ac:dyDescent="0.35">
      <c r="C2614">
        <f t="shared" si="41"/>
        <v>2020</v>
      </c>
      <c r="D2614" s="1">
        <v>43991</v>
      </c>
      <c r="E2614">
        <v>33.813499999999998</v>
      </c>
    </row>
    <row r="2615" spans="3:5" x14ac:dyDescent="0.35">
      <c r="C2615">
        <f t="shared" si="41"/>
        <v>2020</v>
      </c>
      <c r="D2615" s="1">
        <v>43992</v>
      </c>
      <c r="E2615">
        <v>33.860999999999997</v>
      </c>
    </row>
    <row r="2616" spans="3:5" x14ac:dyDescent="0.35">
      <c r="C2616">
        <f t="shared" si="41"/>
        <v>2020</v>
      </c>
      <c r="D2616" s="1">
        <v>43993</v>
      </c>
      <c r="E2616">
        <v>33.158099999999997</v>
      </c>
    </row>
    <row r="2617" spans="3:5" x14ac:dyDescent="0.35">
      <c r="C2617">
        <f t="shared" si="41"/>
        <v>2020</v>
      </c>
      <c r="D2617" s="1">
        <v>43994</v>
      </c>
      <c r="E2617">
        <v>33.4983</v>
      </c>
    </row>
    <row r="2618" spans="3:5" x14ac:dyDescent="0.35">
      <c r="C2618">
        <f t="shared" si="41"/>
        <v>2020</v>
      </c>
      <c r="D2618" s="1">
        <v>43997</v>
      </c>
      <c r="E2618">
        <v>33.3827</v>
      </c>
    </row>
    <row r="2619" spans="3:5" x14ac:dyDescent="0.35">
      <c r="C2619">
        <f t="shared" si="41"/>
        <v>2020</v>
      </c>
      <c r="D2619" s="1">
        <v>43998</v>
      </c>
      <c r="E2619">
        <v>33.213299999999997</v>
      </c>
    </row>
    <row r="2620" spans="3:5" x14ac:dyDescent="0.35">
      <c r="C2620">
        <f t="shared" si="41"/>
        <v>2020</v>
      </c>
      <c r="D2620" s="1">
        <v>43999</v>
      </c>
      <c r="E2620">
        <v>32.809600000000003</v>
      </c>
    </row>
    <row r="2621" spans="3:5" x14ac:dyDescent="0.35">
      <c r="C2621">
        <f t="shared" si="41"/>
        <v>2020</v>
      </c>
      <c r="D2621" s="1">
        <v>44000</v>
      </c>
      <c r="E2621">
        <v>33.047600000000003</v>
      </c>
    </row>
    <row r="2622" spans="3:5" x14ac:dyDescent="0.35">
      <c r="C2622">
        <f t="shared" si="41"/>
        <v>2020</v>
      </c>
      <c r="D2622" s="1">
        <v>44001</v>
      </c>
      <c r="E2622">
        <v>32.598700000000001</v>
      </c>
    </row>
    <row r="2623" spans="3:5" x14ac:dyDescent="0.35">
      <c r="C2623">
        <f t="shared" si="41"/>
        <v>2020</v>
      </c>
      <c r="D2623" s="1">
        <v>44004</v>
      </c>
      <c r="E2623">
        <v>32.634500000000003</v>
      </c>
    </row>
    <row r="2624" spans="3:5" x14ac:dyDescent="0.35">
      <c r="C2624">
        <f t="shared" si="41"/>
        <v>2020</v>
      </c>
      <c r="D2624" s="1">
        <v>44005</v>
      </c>
      <c r="E2624">
        <v>32.193100000000001</v>
      </c>
    </row>
    <row r="2625" spans="3:5" x14ac:dyDescent="0.35">
      <c r="C2625">
        <f t="shared" si="41"/>
        <v>2020</v>
      </c>
      <c r="D2625" s="1">
        <v>44006</v>
      </c>
      <c r="E2625">
        <v>31.885300000000001</v>
      </c>
    </row>
    <row r="2626" spans="3:5" x14ac:dyDescent="0.35">
      <c r="C2626">
        <f t="shared" si="41"/>
        <v>2020</v>
      </c>
      <c r="D2626" s="1">
        <v>44007</v>
      </c>
      <c r="E2626">
        <v>31.924900000000001</v>
      </c>
    </row>
    <row r="2627" spans="3:5" x14ac:dyDescent="0.35">
      <c r="C2627">
        <f t="shared" ref="C2627:C2690" si="42">YEAR(D2627)</f>
        <v>2020</v>
      </c>
      <c r="D2627" s="1">
        <v>44008</v>
      </c>
      <c r="E2627">
        <v>31.931899999999999</v>
      </c>
    </row>
    <row r="2628" spans="3:5" x14ac:dyDescent="0.35">
      <c r="C2628">
        <f t="shared" si="42"/>
        <v>2020</v>
      </c>
      <c r="D2628" s="1">
        <v>44011</v>
      </c>
      <c r="E2628">
        <v>31.9008</v>
      </c>
    </row>
    <row r="2629" spans="3:5" x14ac:dyDescent="0.35">
      <c r="C2629">
        <f t="shared" si="42"/>
        <v>2020</v>
      </c>
      <c r="D2629" s="1">
        <v>44012</v>
      </c>
      <c r="E2629">
        <v>31.7591</v>
      </c>
    </row>
    <row r="2630" spans="3:5" x14ac:dyDescent="0.35">
      <c r="C2630">
        <f t="shared" si="42"/>
        <v>2020</v>
      </c>
      <c r="D2630" s="1">
        <v>44013</v>
      </c>
      <c r="E2630">
        <v>31.457999999999998</v>
      </c>
    </row>
    <row r="2631" spans="3:5" x14ac:dyDescent="0.35">
      <c r="C2631">
        <f t="shared" si="42"/>
        <v>2020</v>
      </c>
      <c r="D2631" s="1">
        <v>44014</v>
      </c>
      <c r="E2631">
        <v>31.224299999999999</v>
      </c>
    </row>
    <row r="2632" spans="3:5" x14ac:dyDescent="0.35">
      <c r="C2632">
        <f t="shared" si="42"/>
        <v>2020</v>
      </c>
      <c r="D2632" s="1">
        <v>44018</v>
      </c>
      <c r="E2632">
        <v>30.174399999999999</v>
      </c>
    </row>
    <row r="2633" spans="3:5" x14ac:dyDescent="0.35">
      <c r="C2633">
        <f t="shared" si="42"/>
        <v>2020</v>
      </c>
      <c r="D2633" s="1">
        <v>44019</v>
      </c>
      <c r="E2633">
        <v>29.2681</v>
      </c>
    </row>
    <row r="2634" spans="3:5" x14ac:dyDescent="0.35">
      <c r="C2634">
        <f t="shared" si="42"/>
        <v>2020</v>
      </c>
      <c r="D2634" s="1">
        <v>44020</v>
      </c>
      <c r="E2634">
        <v>28.297999999999998</v>
      </c>
    </row>
    <row r="2635" spans="3:5" x14ac:dyDescent="0.35">
      <c r="C2635">
        <f t="shared" si="42"/>
        <v>2020</v>
      </c>
      <c r="D2635" s="1">
        <v>44021</v>
      </c>
      <c r="E2635">
        <v>28.938800000000001</v>
      </c>
    </row>
    <row r="2636" spans="3:5" x14ac:dyDescent="0.35">
      <c r="C2636">
        <f t="shared" si="42"/>
        <v>2020</v>
      </c>
      <c r="D2636" s="1">
        <v>44022</v>
      </c>
      <c r="E2636">
        <v>29.737500000000001</v>
      </c>
    </row>
    <row r="2637" spans="3:5" x14ac:dyDescent="0.35">
      <c r="C2637">
        <f t="shared" si="42"/>
        <v>2020</v>
      </c>
      <c r="D2637" s="1">
        <v>44025</v>
      </c>
      <c r="E2637">
        <v>29.994599999999998</v>
      </c>
    </row>
    <row r="2638" spans="3:5" x14ac:dyDescent="0.35">
      <c r="C2638">
        <f t="shared" si="42"/>
        <v>2020</v>
      </c>
      <c r="D2638" s="1">
        <v>44026</v>
      </c>
      <c r="E2638">
        <v>29.6191</v>
      </c>
    </row>
    <row r="2639" spans="3:5" x14ac:dyDescent="0.35">
      <c r="C2639">
        <f t="shared" si="42"/>
        <v>2020</v>
      </c>
      <c r="D2639" s="1">
        <v>44028</v>
      </c>
      <c r="E2639">
        <v>30.1539</v>
      </c>
    </row>
    <row r="2640" spans="3:5" x14ac:dyDescent="0.35">
      <c r="C2640">
        <f t="shared" si="42"/>
        <v>2020</v>
      </c>
      <c r="D2640" s="1">
        <v>44029</v>
      </c>
      <c r="E2640">
        <v>29.906600000000001</v>
      </c>
    </row>
    <row r="2641" spans="3:5" x14ac:dyDescent="0.35">
      <c r="C2641">
        <f t="shared" si="42"/>
        <v>2020</v>
      </c>
      <c r="D2641" s="1">
        <v>44032</v>
      </c>
      <c r="E2641">
        <v>29.6477</v>
      </c>
    </row>
    <row r="2642" spans="3:5" x14ac:dyDescent="0.35">
      <c r="C2642">
        <f t="shared" si="42"/>
        <v>2020</v>
      </c>
      <c r="D2642" s="1">
        <v>44033</v>
      </c>
      <c r="E2642">
        <v>28.8443</v>
      </c>
    </row>
    <row r="2643" spans="3:5" x14ac:dyDescent="0.35">
      <c r="C2643">
        <f t="shared" si="42"/>
        <v>2020</v>
      </c>
      <c r="D2643" s="1">
        <v>44034</v>
      </c>
      <c r="E2643">
        <v>28.6203</v>
      </c>
    </row>
    <row r="2644" spans="3:5" x14ac:dyDescent="0.35">
      <c r="C2644">
        <f t="shared" si="42"/>
        <v>2020</v>
      </c>
      <c r="D2644" s="1">
        <v>44035</v>
      </c>
      <c r="E2644">
        <v>28.4514</v>
      </c>
    </row>
    <row r="2645" spans="3:5" x14ac:dyDescent="0.35">
      <c r="C2645">
        <f t="shared" si="42"/>
        <v>2020</v>
      </c>
      <c r="D2645" s="1">
        <v>44036</v>
      </c>
      <c r="E2645">
        <v>28.131699999999999</v>
      </c>
    </row>
    <row r="2646" spans="3:5" x14ac:dyDescent="0.35">
      <c r="C2646">
        <f t="shared" si="42"/>
        <v>2020</v>
      </c>
      <c r="D2646" s="1">
        <v>44039</v>
      </c>
      <c r="E2646">
        <v>27.3139</v>
      </c>
    </row>
    <row r="2647" spans="3:5" x14ac:dyDescent="0.35">
      <c r="C2647">
        <f t="shared" si="42"/>
        <v>2020</v>
      </c>
      <c r="D2647" s="1">
        <v>44040</v>
      </c>
      <c r="E2647">
        <v>25.761099999999999</v>
      </c>
    </row>
    <row r="2648" spans="3:5" x14ac:dyDescent="0.35">
      <c r="C2648">
        <f t="shared" si="42"/>
        <v>2020</v>
      </c>
      <c r="D2648" s="1">
        <v>44041</v>
      </c>
      <c r="E2648">
        <v>24.8508</v>
      </c>
    </row>
    <row r="2649" spans="3:5" x14ac:dyDescent="0.35">
      <c r="C2649">
        <f t="shared" si="42"/>
        <v>2020</v>
      </c>
      <c r="D2649" s="1">
        <v>44042</v>
      </c>
      <c r="E2649">
        <v>24.5581</v>
      </c>
    </row>
    <row r="2650" spans="3:5" x14ac:dyDescent="0.35">
      <c r="C2650">
        <f t="shared" si="42"/>
        <v>2020</v>
      </c>
      <c r="D2650" s="1">
        <v>44047</v>
      </c>
      <c r="E2650">
        <v>24.562799999999999</v>
      </c>
    </row>
    <row r="2651" spans="3:5" x14ac:dyDescent="0.35">
      <c r="C2651">
        <f t="shared" si="42"/>
        <v>2020</v>
      </c>
      <c r="D2651" s="1">
        <v>44048</v>
      </c>
      <c r="E2651">
        <v>23.9894</v>
      </c>
    </row>
    <row r="2652" spans="3:5" x14ac:dyDescent="0.35">
      <c r="C2652">
        <f t="shared" si="42"/>
        <v>2020</v>
      </c>
      <c r="D2652" s="1">
        <v>44049</v>
      </c>
      <c r="E2652">
        <v>21.98</v>
      </c>
    </row>
    <row r="2653" spans="3:5" x14ac:dyDescent="0.35">
      <c r="C2653">
        <f t="shared" si="42"/>
        <v>2020</v>
      </c>
      <c r="D2653" s="1">
        <v>44050</v>
      </c>
      <c r="E2653">
        <v>22.942900000000002</v>
      </c>
    </row>
    <row r="2654" spans="3:5" x14ac:dyDescent="0.35">
      <c r="C2654">
        <f t="shared" si="42"/>
        <v>2020</v>
      </c>
      <c r="D2654" s="1">
        <v>44053</v>
      </c>
      <c r="E2654">
        <v>22.2057</v>
      </c>
    </row>
    <row r="2655" spans="3:5" x14ac:dyDescent="0.35">
      <c r="C2655">
        <f t="shared" si="42"/>
        <v>2020</v>
      </c>
      <c r="D2655" s="1">
        <v>44054</v>
      </c>
      <c r="E2655">
        <v>25.498100000000001</v>
      </c>
    </row>
    <row r="2656" spans="3:5" x14ac:dyDescent="0.35">
      <c r="C2656">
        <f t="shared" si="42"/>
        <v>2020</v>
      </c>
      <c r="D2656" s="1">
        <v>44055</v>
      </c>
      <c r="E2656">
        <v>25.611899999999999</v>
      </c>
    </row>
    <row r="2657" spans="3:5" x14ac:dyDescent="0.35">
      <c r="C2657">
        <f t="shared" si="42"/>
        <v>2020</v>
      </c>
      <c r="D2657" s="1">
        <v>44056</v>
      </c>
      <c r="E2657">
        <v>24.281400000000001</v>
      </c>
    </row>
    <row r="2658" spans="3:5" x14ac:dyDescent="0.35">
      <c r="C2658">
        <f t="shared" si="42"/>
        <v>2020</v>
      </c>
      <c r="D2658" s="1">
        <v>44057</v>
      </c>
      <c r="E2658">
        <v>24.3751</v>
      </c>
    </row>
    <row r="2659" spans="3:5" x14ac:dyDescent="0.35">
      <c r="C2659">
        <f t="shared" si="42"/>
        <v>2020</v>
      </c>
      <c r="D2659" s="1">
        <v>44060</v>
      </c>
      <c r="E2659">
        <v>23.314599999999999</v>
      </c>
    </row>
    <row r="2660" spans="3:5" x14ac:dyDescent="0.35">
      <c r="C2660">
        <f t="shared" si="42"/>
        <v>2020</v>
      </c>
      <c r="D2660" s="1">
        <v>44061</v>
      </c>
      <c r="E2660">
        <v>23.3765</v>
      </c>
    </row>
    <row r="2661" spans="3:5" x14ac:dyDescent="0.35">
      <c r="C2661">
        <f t="shared" si="42"/>
        <v>2020</v>
      </c>
      <c r="D2661" s="1">
        <v>44062</v>
      </c>
      <c r="E2661">
        <v>24.299600000000002</v>
      </c>
    </row>
    <row r="2662" spans="3:5" x14ac:dyDescent="0.35">
      <c r="C2662">
        <f t="shared" si="42"/>
        <v>2020</v>
      </c>
      <c r="D2662" s="1">
        <v>44063</v>
      </c>
      <c r="E2662">
        <v>24.751999999999999</v>
      </c>
    </row>
    <row r="2663" spans="3:5" x14ac:dyDescent="0.35">
      <c r="C2663">
        <f t="shared" si="42"/>
        <v>2020</v>
      </c>
      <c r="D2663" s="1">
        <v>44064</v>
      </c>
      <c r="E2663">
        <v>24.3932</v>
      </c>
    </row>
    <row r="2664" spans="3:5" x14ac:dyDescent="0.35">
      <c r="C2664">
        <f t="shared" si="42"/>
        <v>2020</v>
      </c>
      <c r="D2664" s="1">
        <v>44067</v>
      </c>
      <c r="E2664">
        <v>24.541799999999999</v>
      </c>
    </row>
    <row r="2665" spans="3:5" x14ac:dyDescent="0.35">
      <c r="C2665">
        <f t="shared" si="42"/>
        <v>2020</v>
      </c>
      <c r="D2665" s="1">
        <v>44068</v>
      </c>
      <c r="E2665">
        <v>24.648</v>
      </c>
    </row>
    <row r="2666" spans="3:5" x14ac:dyDescent="0.35">
      <c r="C2666">
        <f t="shared" si="42"/>
        <v>2020</v>
      </c>
      <c r="D2666" s="1">
        <v>44069</v>
      </c>
      <c r="E2666">
        <v>23.910799999999998</v>
      </c>
    </row>
    <row r="2667" spans="3:5" x14ac:dyDescent="0.35">
      <c r="C2667">
        <f t="shared" si="42"/>
        <v>2020</v>
      </c>
      <c r="D2667" s="1">
        <v>44070</v>
      </c>
      <c r="E2667">
        <v>24.448699999999999</v>
      </c>
    </row>
    <row r="2668" spans="3:5" x14ac:dyDescent="0.35">
      <c r="C2668">
        <f t="shared" si="42"/>
        <v>2020</v>
      </c>
      <c r="D2668" s="1">
        <v>44071</v>
      </c>
      <c r="E2668">
        <v>23.664200000000001</v>
      </c>
    </row>
    <row r="2669" spans="3:5" x14ac:dyDescent="0.35">
      <c r="C2669">
        <f t="shared" si="42"/>
        <v>2020</v>
      </c>
      <c r="D2669" s="1">
        <v>44074</v>
      </c>
      <c r="E2669">
        <v>22.875800000000002</v>
      </c>
    </row>
    <row r="2670" spans="3:5" x14ac:dyDescent="0.35">
      <c r="C2670">
        <f t="shared" si="42"/>
        <v>2020</v>
      </c>
      <c r="D2670" s="1">
        <v>44075</v>
      </c>
      <c r="E2670">
        <v>22.9116</v>
      </c>
    </row>
    <row r="2671" spans="3:5" x14ac:dyDescent="0.35">
      <c r="C2671">
        <f t="shared" si="42"/>
        <v>2020</v>
      </c>
      <c r="D2671" s="1">
        <v>44076</v>
      </c>
      <c r="E2671">
        <v>22.9846</v>
      </c>
    </row>
    <row r="2672" spans="3:5" x14ac:dyDescent="0.35">
      <c r="C2672">
        <f t="shared" si="42"/>
        <v>2020</v>
      </c>
      <c r="D2672" s="1">
        <v>44077</v>
      </c>
      <c r="E2672">
        <v>22.724900000000002</v>
      </c>
    </row>
    <row r="2673" spans="3:5" x14ac:dyDescent="0.35">
      <c r="C2673">
        <f t="shared" si="42"/>
        <v>2020</v>
      </c>
      <c r="D2673" s="1">
        <v>44078</v>
      </c>
      <c r="E2673">
        <v>22.871500000000001</v>
      </c>
    </row>
    <row r="2674" spans="3:5" x14ac:dyDescent="0.35">
      <c r="C2674">
        <f t="shared" si="42"/>
        <v>2020</v>
      </c>
      <c r="D2674" s="1">
        <v>44082</v>
      </c>
      <c r="E2674">
        <v>23.283999999999999</v>
      </c>
    </row>
    <row r="2675" spans="3:5" x14ac:dyDescent="0.35">
      <c r="C2675">
        <f t="shared" si="42"/>
        <v>2020</v>
      </c>
      <c r="D2675" s="1">
        <v>44083</v>
      </c>
      <c r="E2675">
        <v>23.1812</v>
      </c>
    </row>
    <row r="2676" spans="3:5" x14ac:dyDescent="0.35">
      <c r="C2676">
        <f t="shared" si="42"/>
        <v>2020</v>
      </c>
      <c r="D2676" s="1">
        <v>44084</v>
      </c>
      <c r="E2676">
        <v>22.929600000000001</v>
      </c>
    </row>
    <row r="2677" spans="3:5" x14ac:dyDescent="0.35">
      <c r="C2677">
        <f t="shared" si="42"/>
        <v>2020</v>
      </c>
      <c r="D2677" s="1">
        <v>44085</v>
      </c>
      <c r="E2677">
        <v>23.550699999999999</v>
      </c>
    </row>
    <row r="2678" spans="3:5" x14ac:dyDescent="0.35">
      <c r="C2678">
        <f t="shared" si="42"/>
        <v>2020</v>
      </c>
      <c r="D2678" s="1">
        <v>44088</v>
      </c>
      <c r="E2678">
        <v>23.245999999999999</v>
      </c>
    </row>
    <row r="2679" spans="3:5" x14ac:dyDescent="0.35">
      <c r="C2679">
        <f t="shared" si="42"/>
        <v>2020</v>
      </c>
      <c r="D2679" s="1">
        <v>44089</v>
      </c>
      <c r="E2679">
        <v>22.796500000000002</v>
      </c>
    </row>
    <row r="2680" spans="3:5" x14ac:dyDescent="0.35">
      <c r="C2680">
        <f t="shared" si="42"/>
        <v>2020</v>
      </c>
      <c r="D2680" s="1">
        <v>44090</v>
      </c>
      <c r="E2680">
        <v>22.5334</v>
      </c>
    </row>
    <row r="2681" spans="3:5" x14ac:dyDescent="0.35">
      <c r="C2681">
        <f t="shared" si="42"/>
        <v>2020</v>
      </c>
      <c r="D2681" s="1">
        <v>44091</v>
      </c>
      <c r="E2681">
        <v>22.810099999999998</v>
      </c>
    </row>
    <row r="2682" spans="3:5" x14ac:dyDescent="0.35">
      <c r="C2682">
        <f t="shared" si="42"/>
        <v>2020</v>
      </c>
      <c r="D2682" s="1">
        <v>44092</v>
      </c>
      <c r="E2682">
        <v>22.449400000000001</v>
      </c>
    </row>
    <row r="2683" spans="3:5" x14ac:dyDescent="0.35">
      <c r="C2683">
        <f t="shared" si="42"/>
        <v>2020</v>
      </c>
      <c r="D2683" s="1">
        <v>44095</v>
      </c>
      <c r="E2683">
        <v>22.382999999999999</v>
      </c>
    </row>
    <row r="2684" spans="3:5" x14ac:dyDescent="0.35">
      <c r="C2684">
        <f t="shared" si="42"/>
        <v>2020</v>
      </c>
      <c r="D2684" s="1">
        <v>44096</v>
      </c>
      <c r="E2684">
        <v>22.713100000000001</v>
      </c>
    </row>
    <row r="2685" spans="3:5" x14ac:dyDescent="0.35">
      <c r="C2685">
        <f t="shared" si="42"/>
        <v>2020</v>
      </c>
      <c r="D2685" s="1">
        <v>44097</v>
      </c>
      <c r="E2685">
        <v>22.965900000000001</v>
      </c>
    </row>
    <row r="2686" spans="3:5" x14ac:dyDescent="0.35">
      <c r="C2686">
        <f t="shared" si="42"/>
        <v>2020</v>
      </c>
      <c r="D2686" s="1">
        <v>44098</v>
      </c>
      <c r="E2686">
        <v>22.727599999999999</v>
      </c>
    </row>
    <row r="2687" spans="3:5" x14ac:dyDescent="0.35">
      <c r="C2687">
        <f t="shared" si="42"/>
        <v>2020</v>
      </c>
      <c r="D2687" s="1">
        <v>44099</v>
      </c>
      <c r="E2687">
        <v>23.062100000000001</v>
      </c>
    </row>
    <row r="2688" spans="3:5" x14ac:dyDescent="0.35">
      <c r="C2688">
        <f t="shared" si="42"/>
        <v>2020</v>
      </c>
      <c r="D2688" s="1">
        <v>44102</v>
      </c>
      <c r="E2688">
        <v>22.489000000000001</v>
      </c>
    </row>
    <row r="2689" spans="3:5" x14ac:dyDescent="0.35">
      <c r="C2689">
        <f t="shared" si="42"/>
        <v>2020</v>
      </c>
      <c r="D2689" s="1">
        <v>44103</v>
      </c>
      <c r="E2689">
        <v>21.842400000000001</v>
      </c>
    </row>
    <row r="2690" spans="3:5" x14ac:dyDescent="0.35">
      <c r="C2690">
        <f t="shared" si="42"/>
        <v>2020</v>
      </c>
      <c r="D2690" s="1">
        <v>44104</v>
      </c>
      <c r="E2690">
        <v>22.108499999999999</v>
      </c>
    </row>
    <row r="2691" spans="3:5" x14ac:dyDescent="0.35">
      <c r="C2691">
        <f t="shared" ref="C2691:C2754" si="43">YEAR(D2691)</f>
        <v>2020</v>
      </c>
      <c r="D2691" s="1">
        <v>44105</v>
      </c>
      <c r="E2691">
        <v>22.356000000000002</v>
      </c>
    </row>
    <row r="2692" spans="3:5" x14ac:dyDescent="0.35">
      <c r="C2692">
        <f t="shared" si="43"/>
        <v>2020</v>
      </c>
      <c r="D2692" s="1">
        <v>44106</v>
      </c>
      <c r="E2692">
        <v>22.468399999999999</v>
      </c>
    </row>
    <row r="2693" spans="3:5" x14ac:dyDescent="0.35">
      <c r="C2693">
        <f t="shared" si="43"/>
        <v>2020</v>
      </c>
      <c r="D2693" s="1">
        <v>44109</v>
      </c>
      <c r="E2693">
        <v>22.450600000000001</v>
      </c>
    </row>
    <row r="2694" spans="3:5" x14ac:dyDescent="0.35">
      <c r="C2694">
        <f t="shared" si="43"/>
        <v>2020</v>
      </c>
      <c r="D2694" s="1">
        <v>44110</v>
      </c>
      <c r="E2694">
        <v>22.411799999999999</v>
      </c>
    </row>
    <row r="2695" spans="3:5" x14ac:dyDescent="0.35">
      <c r="C2695">
        <f t="shared" si="43"/>
        <v>2020</v>
      </c>
      <c r="D2695" s="1">
        <v>44111</v>
      </c>
      <c r="E2695">
        <v>22.559100000000001</v>
      </c>
    </row>
    <row r="2696" spans="3:5" x14ac:dyDescent="0.35">
      <c r="C2696">
        <f t="shared" si="43"/>
        <v>2020</v>
      </c>
      <c r="D2696" s="1">
        <v>44112</v>
      </c>
      <c r="E2696">
        <v>22.3627</v>
      </c>
    </row>
    <row r="2697" spans="3:5" x14ac:dyDescent="0.35">
      <c r="C2697">
        <f t="shared" si="43"/>
        <v>2020</v>
      </c>
      <c r="D2697" s="1">
        <v>44113</v>
      </c>
      <c r="E2697">
        <v>21.9786</v>
      </c>
    </row>
    <row r="2698" spans="3:5" x14ac:dyDescent="0.35">
      <c r="C2698">
        <f t="shared" si="43"/>
        <v>2020</v>
      </c>
      <c r="D2698" s="1">
        <v>44116</v>
      </c>
      <c r="E2698">
        <v>22.271999999999998</v>
      </c>
    </row>
    <row r="2699" spans="3:5" x14ac:dyDescent="0.35">
      <c r="C2699">
        <f t="shared" si="43"/>
        <v>2020</v>
      </c>
      <c r="D2699" s="1">
        <v>44117</v>
      </c>
      <c r="E2699">
        <v>22.1816</v>
      </c>
    </row>
    <row r="2700" spans="3:5" x14ac:dyDescent="0.35">
      <c r="C2700">
        <f t="shared" si="43"/>
        <v>2020</v>
      </c>
      <c r="D2700" s="1">
        <v>44118</v>
      </c>
      <c r="E2700">
        <v>22.0167</v>
      </c>
    </row>
    <row r="2701" spans="3:5" x14ac:dyDescent="0.35">
      <c r="C2701">
        <f t="shared" si="43"/>
        <v>2020</v>
      </c>
      <c r="D2701" s="1">
        <v>44119</v>
      </c>
      <c r="E2701">
        <v>21.725000000000001</v>
      </c>
    </row>
    <row r="2702" spans="3:5" x14ac:dyDescent="0.35">
      <c r="C2702">
        <f t="shared" si="43"/>
        <v>2020</v>
      </c>
      <c r="D2702" s="1">
        <v>44120</v>
      </c>
      <c r="E2702">
        <v>21.808499999999999</v>
      </c>
    </row>
    <row r="2703" spans="3:5" x14ac:dyDescent="0.35">
      <c r="C2703">
        <f t="shared" si="43"/>
        <v>2020</v>
      </c>
      <c r="D2703" s="1">
        <v>44123</v>
      </c>
      <c r="E2703">
        <v>21.9193</v>
      </c>
    </row>
    <row r="2704" spans="3:5" x14ac:dyDescent="0.35">
      <c r="C2704">
        <f t="shared" si="43"/>
        <v>2020</v>
      </c>
      <c r="D2704" s="1">
        <v>44124</v>
      </c>
      <c r="E2704">
        <v>21.859500000000001</v>
      </c>
    </row>
    <row r="2705" spans="3:5" x14ac:dyDescent="0.35">
      <c r="C2705">
        <f t="shared" si="43"/>
        <v>2020</v>
      </c>
      <c r="D2705" s="1">
        <v>44125</v>
      </c>
      <c r="E2705">
        <v>21.5535</v>
      </c>
    </row>
    <row r="2706" spans="3:5" x14ac:dyDescent="0.35">
      <c r="C2706">
        <f t="shared" si="43"/>
        <v>2020</v>
      </c>
      <c r="D2706" s="1">
        <v>44126</v>
      </c>
      <c r="E2706">
        <v>21.75</v>
      </c>
    </row>
    <row r="2707" spans="3:5" x14ac:dyDescent="0.35">
      <c r="C2707">
        <f t="shared" si="43"/>
        <v>2020</v>
      </c>
      <c r="D2707" s="1">
        <v>44127</v>
      </c>
      <c r="E2707">
        <v>21.354600000000001</v>
      </c>
    </row>
    <row r="2708" spans="3:5" x14ac:dyDescent="0.35">
      <c r="C2708">
        <f t="shared" si="43"/>
        <v>2020</v>
      </c>
      <c r="D2708" s="1">
        <v>44130</v>
      </c>
      <c r="E2708">
        <v>20.071100000000001</v>
      </c>
    </row>
    <row r="2709" spans="3:5" x14ac:dyDescent="0.35">
      <c r="C2709">
        <f t="shared" si="43"/>
        <v>2020</v>
      </c>
      <c r="D2709" s="1">
        <v>44131</v>
      </c>
      <c r="E2709">
        <v>19.0336</v>
      </c>
    </row>
    <row r="2710" spans="3:5" x14ac:dyDescent="0.35">
      <c r="C2710">
        <f t="shared" si="43"/>
        <v>2020</v>
      </c>
      <c r="D2710" s="1">
        <v>44132</v>
      </c>
      <c r="E2710">
        <v>18.535299999999999</v>
      </c>
    </row>
    <row r="2711" spans="3:5" x14ac:dyDescent="0.35">
      <c r="C2711">
        <f t="shared" si="43"/>
        <v>2020</v>
      </c>
      <c r="D2711" s="1">
        <v>44134</v>
      </c>
      <c r="E2711">
        <v>18.009</v>
      </c>
    </row>
    <row r="2712" spans="3:5" x14ac:dyDescent="0.35">
      <c r="C2712">
        <f t="shared" si="43"/>
        <v>2020</v>
      </c>
      <c r="D2712" s="1">
        <v>44137</v>
      </c>
      <c r="E2712">
        <v>18.5319</v>
      </c>
    </row>
    <row r="2713" spans="3:5" x14ac:dyDescent="0.35">
      <c r="C2713">
        <f t="shared" si="43"/>
        <v>2020</v>
      </c>
      <c r="D2713" s="1">
        <v>44138</v>
      </c>
      <c r="E2713">
        <v>18.377400000000002</v>
      </c>
    </row>
    <row r="2714" spans="3:5" x14ac:dyDescent="0.35">
      <c r="C2714">
        <f t="shared" si="43"/>
        <v>2020</v>
      </c>
      <c r="D2714" s="1">
        <v>44139</v>
      </c>
      <c r="E2714">
        <v>19.0609</v>
      </c>
    </row>
    <row r="2715" spans="3:5" x14ac:dyDescent="0.35">
      <c r="C2715">
        <f t="shared" si="43"/>
        <v>2020</v>
      </c>
      <c r="D2715" s="1">
        <v>44140</v>
      </c>
      <c r="E2715">
        <v>18.393899999999999</v>
      </c>
    </row>
    <row r="2716" spans="3:5" x14ac:dyDescent="0.35">
      <c r="C2716">
        <f t="shared" si="43"/>
        <v>2020</v>
      </c>
      <c r="D2716" s="1">
        <v>44141</v>
      </c>
      <c r="E2716">
        <v>18.390499999999999</v>
      </c>
    </row>
    <row r="2717" spans="3:5" x14ac:dyDescent="0.35">
      <c r="C2717">
        <f t="shared" si="43"/>
        <v>2020</v>
      </c>
      <c r="D2717" s="1">
        <v>44144</v>
      </c>
      <c r="E2717">
        <v>21.2437</v>
      </c>
    </row>
    <row r="2718" spans="3:5" x14ac:dyDescent="0.35">
      <c r="C2718">
        <f t="shared" si="43"/>
        <v>2020</v>
      </c>
      <c r="D2718" s="1">
        <v>44145</v>
      </c>
      <c r="E2718">
        <v>23.504100000000001</v>
      </c>
    </row>
    <row r="2719" spans="3:5" x14ac:dyDescent="0.35">
      <c r="C2719">
        <f t="shared" si="43"/>
        <v>2020</v>
      </c>
      <c r="D2719" s="1">
        <v>44146</v>
      </c>
      <c r="E2719">
        <v>24.204899999999999</v>
      </c>
    </row>
    <row r="2720" spans="3:5" x14ac:dyDescent="0.35">
      <c r="C2720">
        <f t="shared" si="43"/>
        <v>2020</v>
      </c>
      <c r="D2720" s="1">
        <v>44147</v>
      </c>
      <c r="E2720">
        <v>24.990500000000001</v>
      </c>
    </row>
    <row r="2721" spans="3:5" x14ac:dyDescent="0.35">
      <c r="C2721">
        <f t="shared" si="43"/>
        <v>2020</v>
      </c>
      <c r="D2721" s="1">
        <v>44148</v>
      </c>
      <c r="E2721">
        <v>24.714300000000001</v>
      </c>
    </row>
    <row r="2722" spans="3:5" x14ac:dyDescent="0.35">
      <c r="C2722">
        <f t="shared" si="43"/>
        <v>2020</v>
      </c>
      <c r="D2722" s="1">
        <v>44151</v>
      </c>
      <c r="E2722">
        <v>25.521000000000001</v>
      </c>
    </row>
    <row r="2723" spans="3:5" x14ac:dyDescent="0.35">
      <c r="C2723">
        <f t="shared" si="43"/>
        <v>2020</v>
      </c>
      <c r="D2723" s="1">
        <v>44152</v>
      </c>
      <c r="E2723">
        <v>24.580100000000002</v>
      </c>
    </row>
    <row r="2724" spans="3:5" x14ac:dyDescent="0.35">
      <c r="C2724">
        <f t="shared" si="43"/>
        <v>2020</v>
      </c>
      <c r="D2724" s="1">
        <v>44153</v>
      </c>
      <c r="E2724">
        <v>25.331099999999999</v>
      </c>
    </row>
    <row r="2725" spans="3:5" x14ac:dyDescent="0.35">
      <c r="C2725">
        <f t="shared" si="43"/>
        <v>2020</v>
      </c>
      <c r="D2725" s="1">
        <v>44154</v>
      </c>
      <c r="E2725">
        <v>25.467199999999998</v>
      </c>
    </row>
    <row r="2726" spans="3:5" x14ac:dyDescent="0.35">
      <c r="C2726">
        <f t="shared" si="43"/>
        <v>2020</v>
      </c>
      <c r="D2726" s="1">
        <v>44155</v>
      </c>
      <c r="E2726">
        <v>26.259799999999998</v>
      </c>
    </row>
    <row r="2727" spans="3:5" x14ac:dyDescent="0.35">
      <c r="C2727">
        <f t="shared" si="43"/>
        <v>2020</v>
      </c>
      <c r="D2727" s="1">
        <v>44158</v>
      </c>
      <c r="E2727">
        <v>26.1066</v>
      </c>
    </row>
    <row r="2728" spans="3:5" x14ac:dyDescent="0.35">
      <c r="C2728">
        <f t="shared" si="43"/>
        <v>2020</v>
      </c>
      <c r="D2728" s="1">
        <v>44159</v>
      </c>
      <c r="E2728">
        <v>25.892600000000002</v>
      </c>
    </row>
    <row r="2729" spans="3:5" x14ac:dyDescent="0.35">
      <c r="C2729">
        <f t="shared" si="43"/>
        <v>2020</v>
      </c>
      <c r="D2729" s="1">
        <v>44160</v>
      </c>
      <c r="E2729">
        <v>25.7928</v>
      </c>
    </row>
    <row r="2730" spans="3:5" x14ac:dyDescent="0.35">
      <c r="C2730">
        <f t="shared" si="43"/>
        <v>2020</v>
      </c>
      <c r="D2730" s="1">
        <v>44162</v>
      </c>
      <c r="E2730">
        <v>26.5458</v>
      </c>
    </row>
    <row r="2731" spans="3:5" x14ac:dyDescent="0.35">
      <c r="C2731">
        <f t="shared" si="43"/>
        <v>2020</v>
      </c>
      <c r="D2731" s="1">
        <v>44165</v>
      </c>
      <c r="E2731">
        <v>25.633500000000002</v>
      </c>
    </row>
    <row r="2732" spans="3:5" x14ac:dyDescent="0.35">
      <c r="C2732">
        <f t="shared" si="43"/>
        <v>2020</v>
      </c>
      <c r="D2732" s="1">
        <v>44166</v>
      </c>
      <c r="E2732">
        <v>27.353400000000001</v>
      </c>
    </row>
    <row r="2733" spans="3:5" x14ac:dyDescent="0.35">
      <c r="C2733">
        <f t="shared" si="43"/>
        <v>2020</v>
      </c>
      <c r="D2733" s="1">
        <v>44167</v>
      </c>
      <c r="E2733">
        <v>26.783300000000001</v>
      </c>
    </row>
    <row r="2734" spans="3:5" x14ac:dyDescent="0.35">
      <c r="C2734">
        <f t="shared" si="43"/>
        <v>2020</v>
      </c>
      <c r="D2734" s="1">
        <v>44168</v>
      </c>
      <c r="E2734">
        <v>26.293900000000001</v>
      </c>
    </row>
    <row r="2735" spans="3:5" x14ac:dyDescent="0.35">
      <c r="C2735">
        <f t="shared" si="43"/>
        <v>2020</v>
      </c>
      <c r="D2735" s="1">
        <v>44169</v>
      </c>
      <c r="E2735">
        <v>26.519200000000001</v>
      </c>
    </row>
    <row r="2736" spans="3:5" x14ac:dyDescent="0.35">
      <c r="C2736">
        <f t="shared" si="43"/>
        <v>2020</v>
      </c>
      <c r="D2736" s="1">
        <v>44172</v>
      </c>
      <c r="E2736">
        <v>26.318200000000001</v>
      </c>
    </row>
    <row r="2737" spans="3:5" x14ac:dyDescent="0.35">
      <c r="C2737">
        <f t="shared" si="43"/>
        <v>2020</v>
      </c>
      <c r="D2737" s="1">
        <v>44173</v>
      </c>
      <c r="E2737">
        <v>26.0792</v>
      </c>
    </row>
    <row r="2738" spans="3:5" x14ac:dyDescent="0.35">
      <c r="C2738">
        <f t="shared" si="43"/>
        <v>2020</v>
      </c>
      <c r="D2738" s="1">
        <v>44174</v>
      </c>
      <c r="E2738">
        <v>26.680099999999999</v>
      </c>
    </row>
    <row r="2739" spans="3:5" x14ac:dyDescent="0.35">
      <c r="C2739">
        <f t="shared" si="43"/>
        <v>2020</v>
      </c>
      <c r="D2739" s="1">
        <v>44175</v>
      </c>
      <c r="E2739">
        <v>26.4938</v>
      </c>
    </row>
    <row r="2740" spans="3:5" x14ac:dyDescent="0.35">
      <c r="C2740">
        <f t="shared" si="43"/>
        <v>2020</v>
      </c>
      <c r="D2740" s="1">
        <v>44176</v>
      </c>
      <c r="E2740">
        <v>26.367599999999999</v>
      </c>
    </row>
    <row r="2741" spans="3:5" x14ac:dyDescent="0.35">
      <c r="C2741">
        <f t="shared" si="43"/>
        <v>2020</v>
      </c>
      <c r="D2741" s="1">
        <v>44179</v>
      </c>
      <c r="E2741">
        <v>27.198599999999999</v>
      </c>
    </row>
    <row r="2742" spans="3:5" x14ac:dyDescent="0.35">
      <c r="C2742">
        <f t="shared" si="43"/>
        <v>2020</v>
      </c>
      <c r="D2742" s="1">
        <v>44180</v>
      </c>
      <c r="E2742">
        <v>27.069400000000002</v>
      </c>
    </row>
    <row r="2743" spans="3:5" x14ac:dyDescent="0.35">
      <c r="C2743">
        <f t="shared" si="43"/>
        <v>2020</v>
      </c>
      <c r="D2743" s="1">
        <v>44181</v>
      </c>
      <c r="E2743">
        <v>27.2639</v>
      </c>
    </row>
    <row r="2744" spans="3:5" x14ac:dyDescent="0.35">
      <c r="C2744">
        <f t="shared" si="43"/>
        <v>2020</v>
      </c>
      <c r="D2744" s="1">
        <v>44182</v>
      </c>
      <c r="E2744">
        <v>27.550899999999999</v>
      </c>
    </row>
    <row r="2745" spans="3:5" x14ac:dyDescent="0.35">
      <c r="C2745">
        <f t="shared" si="43"/>
        <v>2020</v>
      </c>
      <c r="D2745" s="1">
        <v>44183</v>
      </c>
      <c r="E2745">
        <v>27.856000000000002</v>
      </c>
    </row>
    <row r="2746" spans="3:5" x14ac:dyDescent="0.35">
      <c r="C2746">
        <f t="shared" si="43"/>
        <v>2020</v>
      </c>
      <c r="D2746" s="1">
        <v>44186</v>
      </c>
      <c r="E2746">
        <v>26.3231</v>
      </c>
    </row>
    <row r="2747" spans="3:5" x14ac:dyDescent="0.35">
      <c r="C2747">
        <f t="shared" si="43"/>
        <v>2020</v>
      </c>
      <c r="D2747" s="1">
        <v>44187</v>
      </c>
      <c r="E2747">
        <v>27.120699999999999</v>
      </c>
    </row>
    <row r="2748" spans="3:5" x14ac:dyDescent="0.35">
      <c r="C2748">
        <f t="shared" si="43"/>
        <v>2020</v>
      </c>
      <c r="D2748" s="1">
        <v>44188</v>
      </c>
      <c r="E2748">
        <v>26.953199999999999</v>
      </c>
    </row>
    <row r="2749" spans="3:5" x14ac:dyDescent="0.35">
      <c r="C2749">
        <f t="shared" si="43"/>
        <v>2020</v>
      </c>
      <c r="D2749" s="1">
        <v>44189</v>
      </c>
      <c r="E2749">
        <v>27.700800000000001</v>
      </c>
    </row>
    <row r="2750" spans="3:5" x14ac:dyDescent="0.35">
      <c r="C2750">
        <f t="shared" si="43"/>
        <v>2020</v>
      </c>
      <c r="D2750" s="1">
        <v>44193</v>
      </c>
      <c r="E2750">
        <v>27.6462</v>
      </c>
    </row>
    <row r="2751" spans="3:5" x14ac:dyDescent="0.35">
      <c r="C2751">
        <f t="shared" si="43"/>
        <v>2020</v>
      </c>
      <c r="D2751" s="1">
        <v>44194</v>
      </c>
      <c r="E2751">
        <v>28.670500000000001</v>
      </c>
    </row>
    <row r="2752" spans="3:5" x14ac:dyDescent="0.35">
      <c r="C2752">
        <f t="shared" si="43"/>
        <v>2020</v>
      </c>
      <c r="D2752" s="1">
        <v>44195</v>
      </c>
      <c r="E2752">
        <v>28.761199999999999</v>
      </c>
    </row>
    <row r="2753" spans="3:5" x14ac:dyDescent="0.35">
      <c r="C2753">
        <f t="shared" si="43"/>
        <v>2020</v>
      </c>
      <c r="D2753" s="1">
        <v>44196</v>
      </c>
      <c r="E2753">
        <v>29.0108</v>
      </c>
    </row>
    <row r="2754" spans="3:5" x14ac:dyDescent="0.35">
      <c r="C2754">
        <f t="shared" si="43"/>
        <v>2021</v>
      </c>
      <c r="D2754" s="1">
        <v>44200</v>
      </c>
      <c r="E2754">
        <v>27.282699999999998</v>
      </c>
    </row>
    <row r="2755" spans="3:5" x14ac:dyDescent="0.35">
      <c r="C2755">
        <f t="shared" ref="C2755:C2818" si="44">YEAR(D2755)</f>
        <v>2021</v>
      </c>
      <c r="D2755" s="1">
        <v>44201</v>
      </c>
      <c r="E2755">
        <v>26.9999</v>
      </c>
    </row>
    <row r="2756" spans="3:5" x14ac:dyDescent="0.35">
      <c r="C2756">
        <f t="shared" si="44"/>
        <v>2021</v>
      </c>
      <c r="D2756" s="1">
        <v>44202</v>
      </c>
      <c r="E2756">
        <v>28.0105</v>
      </c>
    </row>
    <row r="2757" spans="3:5" x14ac:dyDescent="0.35">
      <c r="C2757">
        <f t="shared" si="44"/>
        <v>2021</v>
      </c>
      <c r="D2757" s="1">
        <v>44203</v>
      </c>
      <c r="E2757">
        <v>28.2531</v>
      </c>
    </row>
    <row r="2758" spans="3:5" x14ac:dyDescent="0.35">
      <c r="C2758">
        <f t="shared" si="44"/>
        <v>2021</v>
      </c>
      <c r="D2758" s="1">
        <v>44204</v>
      </c>
      <c r="E2758">
        <v>29.72</v>
      </c>
    </row>
    <row r="2759" spans="3:5" x14ac:dyDescent="0.35">
      <c r="C2759">
        <f t="shared" si="44"/>
        <v>2021</v>
      </c>
      <c r="D2759" s="1">
        <v>44207</v>
      </c>
      <c r="E2759">
        <v>29.026599999999998</v>
      </c>
    </row>
    <row r="2760" spans="3:5" x14ac:dyDescent="0.35">
      <c r="C2760">
        <f t="shared" si="44"/>
        <v>2021</v>
      </c>
      <c r="D2760" s="1">
        <v>44208</v>
      </c>
      <c r="E2760">
        <v>29.025300000000001</v>
      </c>
    </row>
    <row r="2761" spans="3:5" x14ac:dyDescent="0.35">
      <c r="C2761">
        <f t="shared" si="44"/>
        <v>2021</v>
      </c>
      <c r="D2761" s="1">
        <v>44209</v>
      </c>
      <c r="E2761">
        <v>29.878399999999999</v>
      </c>
    </row>
    <row r="2762" spans="3:5" x14ac:dyDescent="0.35">
      <c r="C2762">
        <f t="shared" si="44"/>
        <v>2021</v>
      </c>
      <c r="D2762" s="1">
        <v>44210</v>
      </c>
      <c r="E2762">
        <v>30.099499999999999</v>
      </c>
    </row>
    <row r="2763" spans="3:5" x14ac:dyDescent="0.35">
      <c r="C2763">
        <f t="shared" si="44"/>
        <v>2021</v>
      </c>
      <c r="D2763" s="1">
        <v>44211</v>
      </c>
      <c r="E2763">
        <v>30.6538</v>
      </c>
    </row>
    <row r="2764" spans="3:5" x14ac:dyDescent="0.35">
      <c r="C2764">
        <f t="shared" si="44"/>
        <v>2021</v>
      </c>
      <c r="D2764" s="1">
        <v>44215</v>
      </c>
      <c r="E2764">
        <v>30.513999999999999</v>
      </c>
    </row>
    <row r="2765" spans="3:5" x14ac:dyDescent="0.35">
      <c r="C2765">
        <f t="shared" si="44"/>
        <v>2021</v>
      </c>
      <c r="D2765" s="1">
        <v>44216</v>
      </c>
      <c r="E2765">
        <v>29.604600000000001</v>
      </c>
    </row>
    <row r="2766" spans="3:5" x14ac:dyDescent="0.35">
      <c r="C2766">
        <f t="shared" si="44"/>
        <v>2021</v>
      </c>
      <c r="D2766" s="1">
        <v>44217</v>
      </c>
      <c r="E2766">
        <v>29.319199999999999</v>
      </c>
    </row>
    <row r="2767" spans="3:5" x14ac:dyDescent="0.35">
      <c r="C2767">
        <f t="shared" si="44"/>
        <v>2021</v>
      </c>
      <c r="D2767" s="1">
        <v>44218</v>
      </c>
      <c r="E2767">
        <v>29.422899999999998</v>
      </c>
    </row>
    <row r="2768" spans="3:5" x14ac:dyDescent="0.35">
      <c r="C2768">
        <f t="shared" si="44"/>
        <v>2021</v>
      </c>
      <c r="D2768" s="1">
        <v>44221</v>
      </c>
      <c r="E2768">
        <v>28.709199999999999</v>
      </c>
    </row>
    <row r="2769" spans="3:5" x14ac:dyDescent="0.35">
      <c r="C2769">
        <f t="shared" si="44"/>
        <v>2021</v>
      </c>
      <c r="D2769" s="1">
        <v>44222</v>
      </c>
      <c r="E2769">
        <v>28.6553</v>
      </c>
    </row>
    <row r="2770" spans="3:5" x14ac:dyDescent="0.35">
      <c r="C2770">
        <f t="shared" si="44"/>
        <v>2021</v>
      </c>
      <c r="D2770" s="1">
        <v>44223</v>
      </c>
      <c r="E2770">
        <v>27.4206</v>
      </c>
    </row>
    <row r="2771" spans="3:5" x14ac:dyDescent="0.35">
      <c r="C2771">
        <f t="shared" si="44"/>
        <v>2021</v>
      </c>
      <c r="D2771" s="1">
        <v>44224</v>
      </c>
      <c r="E2771">
        <v>28.227599999999999</v>
      </c>
    </row>
    <row r="2772" spans="3:5" x14ac:dyDescent="0.35">
      <c r="C2772">
        <f t="shared" si="44"/>
        <v>2021</v>
      </c>
      <c r="D2772" s="1">
        <v>44225</v>
      </c>
      <c r="E2772">
        <v>27.757400000000001</v>
      </c>
    </row>
    <row r="2773" spans="3:5" x14ac:dyDescent="0.35">
      <c r="C2773">
        <f t="shared" si="44"/>
        <v>2021</v>
      </c>
      <c r="D2773" s="1">
        <v>44228</v>
      </c>
      <c r="E2773">
        <v>27.584099999999999</v>
      </c>
    </row>
    <row r="2774" spans="3:5" x14ac:dyDescent="0.35">
      <c r="C2774">
        <f t="shared" si="44"/>
        <v>2021</v>
      </c>
      <c r="D2774" s="1">
        <v>44229</v>
      </c>
      <c r="E2774">
        <v>28.520399999999999</v>
      </c>
    </row>
    <row r="2775" spans="3:5" x14ac:dyDescent="0.35">
      <c r="C2775">
        <f t="shared" si="44"/>
        <v>2021</v>
      </c>
      <c r="D2775" s="1">
        <v>44230</v>
      </c>
      <c r="E2775">
        <v>28.676500000000001</v>
      </c>
    </row>
    <row r="2776" spans="3:5" x14ac:dyDescent="0.35">
      <c r="C2776">
        <f t="shared" si="44"/>
        <v>2021</v>
      </c>
      <c r="D2776" s="1">
        <v>44231</v>
      </c>
      <c r="E2776">
        <v>29.639900000000001</v>
      </c>
    </row>
    <row r="2777" spans="3:5" x14ac:dyDescent="0.35">
      <c r="C2777">
        <f t="shared" si="44"/>
        <v>2021</v>
      </c>
      <c r="D2777" s="1">
        <v>44232</v>
      </c>
      <c r="E2777">
        <v>29.280799999999999</v>
      </c>
    </row>
    <row r="2778" spans="3:5" x14ac:dyDescent="0.35">
      <c r="C2778">
        <f t="shared" si="44"/>
        <v>2021</v>
      </c>
      <c r="D2778" s="1">
        <v>44235</v>
      </c>
      <c r="E2778">
        <v>29.232800000000001</v>
      </c>
    </row>
    <row r="2779" spans="3:5" x14ac:dyDescent="0.35">
      <c r="C2779">
        <f t="shared" si="44"/>
        <v>2021</v>
      </c>
      <c r="D2779" s="1">
        <v>44236</v>
      </c>
      <c r="E2779">
        <v>29.1523</v>
      </c>
    </row>
    <row r="2780" spans="3:5" x14ac:dyDescent="0.35">
      <c r="C2780">
        <f t="shared" si="44"/>
        <v>2021</v>
      </c>
      <c r="D2780" s="1">
        <v>44237</v>
      </c>
      <c r="E2780">
        <v>29.209</v>
      </c>
    </row>
    <row r="2781" spans="3:5" x14ac:dyDescent="0.35">
      <c r="C2781">
        <f t="shared" si="44"/>
        <v>2021</v>
      </c>
      <c r="D2781" s="1">
        <v>44238</v>
      </c>
      <c r="E2781">
        <v>29.3508</v>
      </c>
    </row>
    <row r="2782" spans="3:5" x14ac:dyDescent="0.35">
      <c r="C2782">
        <f t="shared" si="44"/>
        <v>2021</v>
      </c>
      <c r="D2782" s="1">
        <v>44239</v>
      </c>
      <c r="E2782">
        <v>29.171500000000002</v>
      </c>
    </row>
    <row r="2783" spans="3:5" x14ac:dyDescent="0.35">
      <c r="C2783">
        <f t="shared" si="44"/>
        <v>2021</v>
      </c>
      <c r="D2783" s="1">
        <v>44243</v>
      </c>
      <c r="E2783">
        <v>30.3001</v>
      </c>
    </row>
    <row r="2784" spans="3:5" x14ac:dyDescent="0.35">
      <c r="C2784">
        <f t="shared" si="44"/>
        <v>2021</v>
      </c>
      <c r="D2784" s="1">
        <v>44244</v>
      </c>
      <c r="E2784">
        <v>30.684699999999999</v>
      </c>
    </row>
    <row r="2785" spans="3:5" x14ac:dyDescent="0.35">
      <c r="C2785">
        <f t="shared" si="44"/>
        <v>2021</v>
      </c>
      <c r="D2785" s="1">
        <v>44245</v>
      </c>
      <c r="E2785">
        <v>30.9056</v>
      </c>
    </row>
    <row r="2786" spans="3:5" x14ac:dyDescent="0.35">
      <c r="C2786">
        <f t="shared" si="44"/>
        <v>2021</v>
      </c>
      <c r="D2786" s="1">
        <v>44246</v>
      </c>
      <c r="E2786">
        <v>30.928799999999999</v>
      </c>
    </row>
    <row r="2787" spans="3:5" x14ac:dyDescent="0.35">
      <c r="C2787">
        <f t="shared" si="44"/>
        <v>2021</v>
      </c>
      <c r="D2787" s="1">
        <v>44249</v>
      </c>
      <c r="E2787">
        <v>31.1694</v>
      </c>
    </row>
    <row r="2788" spans="3:5" x14ac:dyDescent="0.35">
      <c r="C2788">
        <f t="shared" si="44"/>
        <v>2021</v>
      </c>
      <c r="D2788" s="1">
        <v>44250</v>
      </c>
      <c r="E2788">
        <v>32.016199999999998</v>
      </c>
    </row>
    <row r="2789" spans="3:5" x14ac:dyDescent="0.35">
      <c r="C2789">
        <f t="shared" si="44"/>
        <v>2021</v>
      </c>
      <c r="D2789" s="1">
        <v>44251</v>
      </c>
      <c r="E2789">
        <v>31.2864</v>
      </c>
    </row>
    <row r="2790" spans="3:5" x14ac:dyDescent="0.35">
      <c r="C2790">
        <f t="shared" si="44"/>
        <v>2021</v>
      </c>
      <c r="D2790" s="1">
        <v>44252</v>
      </c>
      <c r="E2790">
        <v>32.763800000000003</v>
      </c>
    </row>
    <row r="2791" spans="3:5" x14ac:dyDescent="0.35">
      <c r="C2791">
        <f t="shared" si="44"/>
        <v>2021</v>
      </c>
      <c r="D2791" s="1">
        <v>44253</v>
      </c>
      <c r="E2791">
        <v>33.1556</v>
      </c>
    </row>
    <row r="2792" spans="3:5" x14ac:dyDescent="0.35">
      <c r="C2792">
        <f t="shared" si="44"/>
        <v>2021</v>
      </c>
      <c r="D2792" s="1">
        <v>44256</v>
      </c>
      <c r="E2792">
        <v>33.614699999999999</v>
      </c>
    </row>
    <row r="2793" spans="3:5" x14ac:dyDescent="0.35">
      <c r="C2793">
        <f t="shared" si="44"/>
        <v>2021</v>
      </c>
      <c r="D2793" s="1">
        <v>44257</v>
      </c>
      <c r="E2793">
        <v>36.563200000000002</v>
      </c>
    </row>
    <row r="2794" spans="3:5" x14ac:dyDescent="0.35">
      <c r="C2794">
        <f t="shared" si="44"/>
        <v>2021</v>
      </c>
      <c r="D2794" s="1">
        <v>44258</v>
      </c>
      <c r="E2794">
        <v>36.833799999999997</v>
      </c>
    </row>
    <row r="2795" spans="3:5" x14ac:dyDescent="0.35">
      <c r="C2795">
        <f t="shared" si="44"/>
        <v>2021</v>
      </c>
      <c r="D2795" s="1">
        <v>44259</v>
      </c>
      <c r="E2795">
        <v>36.113599999999998</v>
      </c>
    </row>
    <row r="2796" spans="3:5" x14ac:dyDescent="0.35">
      <c r="C2796">
        <f t="shared" si="44"/>
        <v>2021</v>
      </c>
      <c r="D2796" s="1">
        <v>44260</v>
      </c>
      <c r="E2796">
        <v>36.055300000000003</v>
      </c>
    </row>
    <row r="2797" spans="3:5" x14ac:dyDescent="0.35">
      <c r="C2797">
        <f t="shared" si="44"/>
        <v>2021</v>
      </c>
      <c r="D2797" s="1">
        <v>44263</v>
      </c>
      <c r="E2797">
        <v>36.176200000000001</v>
      </c>
    </row>
    <row r="2798" spans="3:5" x14ac:dyDescent="0.35">
      <c r="C2798">
        <f t="shared" si="44"/>
        <v>2021</v>
      </c>
      <c r="D2798" s="1">
        <v>44264</v>
      </c>
      <c r="E2798">
        <v>35.090200000000003</v>
      </c>
    </row>
    <row r="2799" spans="3:5" x14ac:dyDescent="0.35">
      <c r="C2799">
        <f t="shared" si="44"/>
        <v>2021</v>
      </c>
      <c r="D2799" s="1">
        <v>44265</v>
      </c>
      <c r="E2799">
        <v>35.391100000000002</v>
      </c>
    </row>
    <row r="2800" spans="3:5" x14ac:dyDescent="0.35">
      <c r="C2800">
        <f t="shared" si="44"/>
        <v>2021</v>
      </c>
      <c r="D2800" s="1">
        <v>44266</v>
      </c>
      <c r="E2800">
        <v>35.565399999999997</v>
      </c>
    </row>
    <row r="2801" spans="3:5" x14ac:dyDescent="0.35">
      <c r="C2801">
        <f t="shared" si="44"/>
        <v>2021</v>
      </c>
      <c r="D2801" s="1">
        <v>44267</v>
      </c>
      <c r="E2801">
        <v>35.088000000000001</v>
      </c>
    </row>
    <row r="2802" spans="3:5" x14ac:dyDescent="0.35">
      <c r="C2802">
        <f t="shared" si="44"/>
        <v>2021</v>
      </c>
      <c r="D2802" s="1">
        <v>44270</v>
      </c>
      <c r="E2802">
        <v>34.975900000000003</v>
      </c>
    </row>
    <row r="2803" spans="3:5" x14ac:dyDescent="0.35">
      <c r="C2803">
        <f t="shared" si="44"/>
        <v>2021</v>
      </c>
      <c r="D2803" s="1">
        <v>44271</v>
      </c>
      <c r="E2803">
        <v>35.178199999999997</v>
      </c>
    </row>
    <row r="2804" spans="3:5" x14ac:dyDescent="0.35">
      <c r="C2804">
        <f t="shared" si="44"/>
        <v>2021</v>
      </c>
      <c r="D2804" s="1">
        <v>44272</v>
      </c>
      <c r="E2804">
        <v>34.998800000000003</v>
      </c>
    </row>
    <row r="2805" spans="3:5" x14ac:dyDescent="0.35">
      <c r="C2805">
        <f t="shared" si="44"/>
        <v>2021</v>
      </c>
      <c r="D2805" s="1">
        <v>44273</v>
      </c>
      <c r="E2805">
        <v>33.399700000000003</v>
      </c>
    </row>
    <row r="2806" spans="3:5" x14ac:dyDescent="0.35">
      <c r="C2806">
        <f t="shared" si="44"/>
        <v>2021</v>
      </c>
      <c r="D2806" s="1">
        <v>44274</v>
      </c>
      <c r="E2806">
        <v>33.647300000000001</v>
      </c>
    </row>
    <row r="2807" spans="3:5" x14ac:dyDescent="0.35">
      <c r="C2807">
        <f t="shared" si="44"/>
        <v>2021</v>
      </c>
      <c r="D2807" s="1">
        <v>44277</v>
      </c>
      <c r="E2807">
        <v>27.459499999999998</v>
      </c>
    </row>
    <row r="2808" spans="3:5" x14ac:dyDescent="0.35">
      <c r="C2808">
        <f t="shared" si="44"/>
        <v>2021</v>
      </c>
      <c r="D2808" s="1">
        <v>44278</v>
      </c>
      <c r="E2808">
        <v>28.1388</v>
      </c>
    </row>
    <row r="2809" spans="3:5" x14ac:dyDescent="0.35">
      <c r="C2809">
        <f t="shared" si="44"/>
        <v>2021</v>
      </c>
      <c r="D2809" s="1">
        <v>44279</v>
      </c>
      <c r="E2809">
        <v>29.411300000000001</v>
      </c>
    </row>
    <row r="2810" spans="3:5" x14ac:dyDescent="0.35">
      <c r="C2810">
        <f t="shared" si="44"/>
        <v>2021</v>
      </c>
      <c r="D2810" s="1">
        <v>44280</v>
      </c>
      <c r="E2810">
        <v>28.8781</v>
      </c>
    </row>
    <row r="2811" spans="3:5" x14ac:dyDescent="0.35">
      <c r="C2811">
        <f t="shared" si="44"/>
        <v>2021</v>
      </c>
      <c r="D2811" s="1">
        <v>44281</v>
      </c>
      <c r="E2811">
        <v>28.601400000000002</v>
      </c>
    </row>
    <row r="2812" spans="3:5" x14ac:dyDescent="0.35">
      <c r="C2812">
        <f t="shared" si="44"/>
        <v>2021</v>
      </c>
      <c r="D2812" s="1">
        <v>44284</v>
      </c>
      <c r="E2812">
        <v>27.927700000000002</v>
      </c>
    </row>
    <row r="2813" spans="3:5" x14ac:dyDescent="0.35">
      <c r="C2813">
        <f t="shared" si="44"/>
        <v>2021</v>
      </c>
      <c r="D2813" s="1">
        <v>44285</v>
      </c>
      <c r="E2813">
        <v>28.479199999999999</v>
      </c>
    </row>
    <row r="2814" spans="3:5" x14ac:dyDescent="0.35">
      <c r="C2814">
        <f t="shared" si="44"/>
        <v>2021</v>
      </c>
      <c r="D2814" s="1">
        <v>44286</v>
      </c>
      <c r="E2814">
        <v>27.796500000000002</v>
      </c>
    </row>
    <row r="2815" spans="3:5" x14ac:dyDescent="0.35">
      <c r="C2815">
        <f t="shared" si="44"/>
        <v>2021</v>
      </c>
      <c r="D2815" s="1">
        <v>44287</v>
      </c>
      <c r="E2815">
        <v>28.415800000000001</v>
      </c>
    </row>
    <row r="2816" spans="3:5" x14ac:dyDescent="0.35">
      <c r="C2816">
        <f t="shared" si="44"/>
        <v>2021</v>
      </c>
      <c r="D2816" s="1">
        <v>44291</v>
      </c>
      <c r="E2816">
        <v>28.740500000000001</v>
      </c>
    </row>
    <row r="2817" spans="3:5" x14ac:dyDescent="0.35">
      <c r="C2817">
        <f t="shared" si="44"/>
        <v>2021</v>
      </c>
      <c r="D2817" s="1">
        <v>44292</v>
      </c>
      <c r="E2817">
        <v>28.088799999999999</v>
      </c>
    </row>
    <row r="2818" spans="3:5" x14ac:dyDescent="0.35">
      <c r="C2818">
        <f t="shared" si="44"/>
        <v>2021</v>
      </c>
      <c r="D2818" s="1">
        <v>44293</v>
      </c>
      <c r="E2818">
        <v>28.200199999999999</v>
      </c>
    </row>
    <row r="2819" spans="3:5" x14ac:dyDescent="0.35">
      <c r="C2819">
        <f t="shared" ref="C2819:C2882" si="45">YEAR(D2819)</f>
        <v>2021</v>
      </c>
      <c r="D2819" s="1">
        <v>44294</v>
      </c>
      <c r="E2819">
        <v>27.24</v>
      </c>
    </row>
    <row r="2820" spans="3:5" x14ac:dyDescent="0.35">
      <c r="C2820">
        <f t="shared" si="45"/>
        <v>2021</v>
      </c>
      <c r="D2820" s="1">
        <v>44295</v>
      </c>
      <c r="E2820">
        <v>26.204499999999999</v>
      </c>
    </row>
    <row r="2821" spans="3:5" x14ac:dyDescent="0.35">
      <c r="C2821">
        <f t="shared" si="45"/>
        <v>2021</v>
      </c>
      <c r="D2821" s="1">
        <v>44298</v>
      </c>
      <c r="E2821">
        <v>26.319700000000001</v>
      </c>
    </row>
    <row r="2822" spans="3:5" x14ac:dyDescent="0.35">
      <c r="C2822">
        <f t="shared" si="45"/>
        <v>2021</v>
      </c>
      <c r="D2822" s="1">
        <v>44299</v>
      </c>
      <c r="E2822">
        <v>26.059000000000001</v>
      </c>
    </row>
    <row r="2823" spans="3:5" x14ac:dyDescent="0.35">
      <c r="C2823">
        <f t="shared" si="45"/>
        <v>2021</v>
      </c>
      <c r="D2823" s="1">
        <v>44300</v>
      </c>
      <c r="E2823">
        <v>26.382100000000001</v>
      </c>
    </row>
    <row r="2824" spans="3:5" x14ac:dyDescent="0.35">
      <c r="C2824">
        <f t="shared" si="45"/>
        <v>2021</v>
      </c>
      <c r="D2824" s="1">
        <v>44301</v>
      </c>
      <c r="E2824">
        <v>25.946899999999999</v>
      </c>
    </row>
    <row r="2825" spans="3:5" x14ac:dyDescent="0.35">
      <c r="C2825">
        <f t="shared" si="45"/>
        <v>2021</v>
      </c>
      <c r="D2825" s="1">
        <v>44302</v>
      </c>
      <c r="E2825">
        <v>25.369299999999999</v>
      </c>
    </row>
    <row r="2826" spans="3:5" x14ac:dyDescent="0.35">
      <c r="C2826">
        <f t="shared" si="45"/>
        <v>2021</v>
      </c>
      <c r="D2826" s="1">
        <v>44305</v>
      </c>
      <c r="E2826">
        <v>25.2484</v>
      </c>
    </row>
    <row r="2827" spans="3:5" x14ac:dyDescent="0.35">
      <c r="C2827">
        <f t="shared" si="45"/>
        <v>2021</v>
      </c>
      <c r="D2827" s="1">
        <v>44306</v>
      </c>
      <c r="E2827">
        <v>24.1403</v>
      </c>
    </row>
    <row r="2828" spans="3:5" x14ac:dyDescent="0.35">
      <c r="C2828">
        <f t="shared" si="45"/>
        <v>2021</v>
      </c>
      <c r="D2828" s="1">
        <v>44307</v>
      </c>
      <c r="E2828">
        <v>23.343</v>
      </c>
    </row>
    <row r="2829" spans="3:5" x14ac:dyDescent="0.35">
      <c r="C2829">
        <f t="shared" si="45"/>
        <v>2021</v>
      </c>
      <c r="D2829" s="1">
        <v>44308</v>
      </c>
      <c r="E2829">
        <v>24.0288</v>
      </c>
    </row>
    <row r="2830" spans="3:5" x14ac:dyDescent="0.35">
      <c r="C2830">
        <f t="shared" si="45"/>
        <v>2021</v>
      </c>
      <c r="D2830" s="1">
        <v>44312</v>
      </c>
      <c r="E2830">
        <v>24.394100000000002</v>
      </c>
    </row>
    <row r="2831" spans="3:5" x14ac:dyDescent="0.35">
      <c r="C2831">
        <f t="shared" si="45"/>
        <v>2021</v>
      </c>
      <c r="D2831" s="1">
        <v>44313</v>
      </c>
      <c r="E2831">
        <v>25.1737</v>
      </c>
    </row>
    <row r="2832" spans="3:5" x14ac:dyDescent="0.35">
      <c r="C2832">
        <f t="shared" si="45"/>
        <v>2021</v>
      </c>
      <c r="D2832" s="1">
        <v>44314</v>
      </c>
      <c r="E2832">
        <v>25.6724</v>
      </c>
    </row>
    <row r="2833" spans="3:5" x14ac:dyDescent="0.35">
      <c r="C2833">
        <f t="shared" si="45"/>
        <v>2021</v>
      </c>
      <c r="D2833" s="1">
        <v>44315</v>
      </c>
      <c r="E2833">
        <v>25.748200000000001</v>
      </c>
    </row>
    <row r="2834" spans="3:5" x14ac:dyDescent="0.35">
      <c r="C2834">
        <f t="shared" si="45"/>
        <v>2021</v>
      </c>
      <c r="D2834" s="1">
        <v>44316</v>
      </c>
      <c r="E2834">
        <v>26.2974</v>
      </c>
    </row>
    <row r="2835" spans="3:5" x14ac:dyDescent="0.35">
      <c r="C2835">
        <f t="shared" si="45"/>
        <v>2021</v>
      </c>
      <c r="D2835" s="1">
        <v>44319</v>
      </c>
      <c r="E2835">
        <v>27.110299999999999</v>
      </c>
    </row>
    <row r="2836" spans="3:5" x14ac:dyDescent="0.35">
      <c r="C2836">
        <f t="shared" si="45"/>
        <v>2021</v>
      </c>
      <c r="D2836" s="1">
        <v>44320</v>
      </c>
      <c r="E2836">
        <v>26.7638</v>
      </c>
    </row>
    <row r="2837" spans="3:5" x14ac:dyDescent="0.35">
      <c r="C2837">
        <f t="shared" si="45"/>
        <v>2021</v>
      </c>
      <c r="D2837" s="1">
        <v>44321</v>
      </c>
      <c r="E2837">
        <v>26.404299999999999</v>
      </c>
    </row>
    <row r="2838" spans="3:5" x14ac:dyDescent="0.35">
      <c r="C2838">
        <f t="shared" si="45"/>
        <v>2021</v>
      </c>
      <c r="D2838" s="1">
        <v>44322</v>
      </c>
      <c r="E2838">
        <v>26.5961</v>
      </c>
    </row>
    <row r="2839" spans="3:5" x14ac:dyDescent="0.35">
      <c r="C2839">
        <f t="shared" si="45"/>
        <v>2021</v>
      </c>
      <c r="D2839" s="1">
        <v>44323</v>
      </c>
      <c r="E2839">
        <v>26.659199999999998</v>
      </c>
    </row>
    <row r="2840" spans="3:5" x14ac:dyDescent="0.35">
      <c r="C2840">
        <f t="shared" si="45"/>
        <v>2021</v>
      </c>
      <c r="D2840" s="1">
        <v>44326</v>
      </c>
      <c r="E2840">
        <v>27.472100000000001</v>
      </c>
    </row>
    <row r="2841" spans="3:5" x14ac:dyDescent="0.35">
      <c r="C2841">
        <f t="shared" si="45"/>
        <v>2021</v>
      </c>
      <c r="D2841" s="1">
        <v>44327</v>
      </c>
      <c r="E2841">
        <v>27.344000000000001</v>
      </c>
    </row>
    <row r="2842" spans="3:5" x14ac:dyDescent="0.35">
      <c r="C2842">
        <f t="shared" si="45"/>
        <v>2021</v>
      </c>
      <c r="D2842" s="1">
        <v>44328</v>
      </c>
      <c r="E2842">
        <v>27.565799999999999</v>
      </c>
    </row>
    <row r="2843" spans="3:5" x14ac:dyDescent="0.35">
      <c r="C2843">
        <f t="shared" si="45"/>
        <v>2021</v>
      </c>
      <c r="D2843" s="1">
        <v>44333</v>
      </c>
      <c r="E2843">
        <v>26.348199999999999</v>
      </c>
    </row>
    <row r="2844" spans="3:5" x14ac:dyDescent="0.35">
      <c r="C2844">
        <f t="shared" si="45"/>
        <v>2021</v>
      </c>
      <c r="D2844" s="1">
        <v>44334</v>
      </c>
      <c r="E2844">
        <v>26.777899999999999</v>
      </c>
    </row>
    <row r="2845" spans="3:5" x14ac:dyDescent="0.35">
      <c r="C2845">
        <f t="shared" si="45"/>
        <v>2021</v>
      </c>
      <c r="D2845" s="1">
        <v>44336</v>
      </c>
      <c r="E2845">
        <v>26.6875</v>
      </c>
    </row>
    <row r="2846" spans="3:5" x14ac:dyDescent="0.35">
      <c r="C2846">
        <f t="shared" si="45"/>
        <v>2021</v>
      </c>
      <c r="D2846" s="1">
        <v>44337</v>
      </c>
      <c r="E2846">
        <v>26.713899999999999</v>
      </c>
    </row>
    <row r="2847" spans="3:5" x14ac:dyDescent="0.35">
      <c r="C2847">
        <f t="shared" si="45"/>
        <v>2021</v>
      </c>
      <c r="D2847" s="1">
        <v>44340</v>
      </c>
      <c r="E2847">
        <v>26.414100000000001</v>
      </c>
    </row>
    <row r="2848" spans="3:5" x14ac:dyDescent="0.35">
      <c r="C2848">
        <f t="shared" si="45"/>
        <v>2021</v>
      </c>
      <c r="D2848" s="1">
        <v>44341</v>
      </c>
      <c r="E2848">
        <v>25.231400000000001</v>
      </c>
    </row>
    <row r="2849" spans="3:5" x14ac:dyDescent="0.35">
      <c r="C2849">
        <f t="shared" si="45"/>
        <v>2021</v>
      </c>
      <c r="D2849" s="1">
        <v>44342</v>
      </c>
      <c r="E2849">
        <v>25.2577</v>
      </c>
    </row>
    <row r="2850" spans="3:5" x14ac:dyDescent="0.35">
      <c r="C2850">
        <f t="shared" si="45"/>
        <v>2021</v>
      </c>
      <c r="D2850" s="1">
        <v>44343</v>
      </c>
      <c r="E2850">
        <v>25.335599999999999</v>
      </c>
    </row>
    <row r="2851" spans="3:5" x14ac:dyDescent="0.35">
      <c r="C2851">
        <f t="shared" si="45"/>
        <v>2021</v>
      </c>
      <c r="D2851" s="1">
        <v>44344</v>
      </c>
      <c r="E2851">
        <v>25.017499999999998</v>
      </c>
    </row>
    <row r="2852" spans="3:5" x14ac:dyDescent="0.35">
      <c r="C2852">
        <f t="shared" si="45"/>
        <v>2021</v>
      </c>
      <c r="D2852" s="1">
        <v>44348</v>
      </c>
      <c r="E2852">
        <v>25.978300000000001</v>
      </c>
    </row>
    <row r="2853" spans="3:5" x14ac:dyDescent="0.35">
      <c r="C2853">
        <f t="shared" si="45"/>
        <v>2021</v>
      </c>
      <c r="D2853" s="1">
        <v>44349</v>
      </c>
      <c r="E2853">
        <v>25.875800000000002</v>
      </c>
    </row>
    <row r="2854" spans="3:5" x14ac:dyDescent="0.35">
      <c r="C2854">
        <f t="shared" si="45"/>
        <v>2021</v>
      </c>
      <c r="D2854" s="1">
        <v>44350</v>
      </c>
      <c r="E2854">
        <v>27.101600000000001</v>
      </c>
    </row>
    <row r="2855" spans="3:5" x14ac:dyDescent="0.35">
      <c r="C2855">
        <f t="shared" si="45"/>
        <v>2021</v>
      </c>
      <c r="D2855" s="1">
        <v>44351</v>
      </c>
      <c r="E2855">
        <v>26.540099999999999</v>
      </c>
    </row>
    <row r="2856" spans="3:5" x14ac:dyDescent="0.35">
      <c r="C2856">
        <f t="shared" si="45"/>
        <v>2021</v>
      </c>
      <c r="D2856" s="1">
        <v>44354</v>
      </c>
      <c r="E2856">
        <v>26.998899999999999</v>
      </c>
    </row>
    <row r="2857" spans="3:5" x14ac:dyDescent="0.35">
      <c r="C2857">
        <f t="shared" si="45"/>
        <v>2021</v>
      </c>
      <c r="D2857" s="1">
        <v>44355</v>
      </c>
      <c r="E2857">
        <v>27.685700000000001</v>
      </c>
    </row>
    <row r="2858" spans="3:5" x14ac:dyDescent="0.35">
      <c r="C2858">
        <f t="shared" si="45"/>
        <v>2021</v>
      </c>
      <c r="D2858" s="1">
        <v>44356</v>
      </c>
      <c r="E2858">
        <v>27.815799999999999</v>
      </c>
    </row>
    <row r="2859" spans="3:5" x14ac:dyDescent="0.35">
      <c r="C2859">
        <f t="shared" si="45"/>
        <v>2021</v>
      </c>
      <c r="D2859" s="1">
        <v>44357</v>
      </c>
      <c r="E2859">
        <v>27.608699999999999</v>
      </c>
    </row>
    <row r="2860" spans="3:5" x14ac:dyDescent="0.35">
      <c r="C2860">
        <f t="shared" si="45"/>
        <v>2021</v>
      </c>
      <c r="D2860" s="1">
        <v>44358</v>
      </c>
      <c r="E2860">
        <v>28.689800000000002</v>
      </c>
    </row>
    <row r="2861" spans="3:5" x14ac:dyDescent="0.35">
      <c r="C2861">
        <f t="shared" si="45"/>
        <v>2021</v>
      </c>
      <c r="D2861" s="1">
        <v>44361</v>
      </c>
      <c r="E2861">
        <v>29.116900000000001</v>
      </c>
    </row>
    <row r="2862" spans="3:5" x14ac:dyDescent="0.35">
      <c r="C2862">
        <f t="shared" si="45"/>
        <v>2021</v>
      </c>
      <c r="D2862" s="1">
        <v>44362</v>
      </c>
      <c r="E2862">
        <v>28.7408</v>
      </c>
    </row>
    <row r="2863" spans="3:5" x14ac:dyDescent="0.35">
      <c r="C2863">
        <f t="shared" si="45"/>
        <v>2021</v>
      </c>
      <c r="D2863" s="1">
        <v>44363</v>
      </c>
      <c r="E2863">
        <v>27.9956</v>
      </c>
    </row>
    <row r="2864" spans="3:5" x14ac:dyDescent="0.35">
      <c r="C2864">
        <f t="shared" si="45"/>
        <v>2021</v>
      </c>
      <c r="D2864" s="1">
        <v>44364</v>
      </c>
      <c r="E2864">
        <v>29.8216</v>
      </c>
    </row>
    <row r="2865" spans="3:5" x14ac:dyDescent="0.35">
      <c r="C2865">
        <f t="shared" si="45"/>
        <v>2021</v>
      </c>
      <c r="D2865" s="1">
        <v>44365</v>
      </c>
      <c r="E2865">
        <v>29.358000000000001</v>
      </c>
    </row>
    <row r="2866" spans="3:5" x14ac:dyDescent="0.35">
      <c r="C2866">
        <f t="shared" si="45"/>
        <v>2021</v>
      </c>
      <c r="D2866" s="1">
        <v>44368</v>
      </c>
      <c r="E2866">
        <v>29.0928</v>
      </c>
    </row>
    <row r="2867" spans="3:5" x14ac:dyDescent="0.35">
      <c r="C2867">
        <f t="shared" si="45"/>
        <v>2021</v>
      </c>
      <c r="D2867" s="1">
        <v>44369</v>
      </c>
      <c r="E2867">
        <v>29.4391</v>
      </c>
    </row>
    <row r="2868" spans="3:5" x14ac:dyDescent="0.35">
      <c r="C2868">
        <f t="shared" si="45"/>
        <v>2021</v>
      </c>
      <c r="D2868" s="1">
        <v>44370</v>
      </c>
      <c r="E2868">
        <v>29.412299999999998</v>
      </c>
    </row>
    <row r="2869" spans="3:5" x14ac:dyDescent="0.35">
      <c r="C2869">
        <f t="shared" si="45"/>
        <v>2021</v>
      </c>
      <c r="D2869" s="1">
        <v>44371</v>
      </c>
      <c r="E2869">
        <v>29.639900000000001</v>
      </c>
    </row>
    <row r="2870" spans="3:5" x14ac:dyDescent="0.35">
      <c r="C2870">
        <f t="shared" si="45"/>
        <v>2021</v>
      </c>
      <c r="D2870" s="1">
        <v>44372</v>
      </c>
      <c r="E2870">
        <v>28.745100000000001</v>
      </c>
    </row>
    <row r="2871" spans="3:5" x14ac:dyDescent="0.35">
      <c r="C2871">
        <f t="shared" si="45"/>
        <v>2021</v>
      </c>
      <c r="D2871" s="1">
        <v>44375</v>
      </c>
      <c r="E2871">
        <v>27.6934</v>
      </c>
    </row>
    <row r="2872" spans="3:5" x14ac:dyDescent="0.35">
      <c r="C2872">
        <f t="shared" si="45"/>
        <v>2021</v>
      </c>
      <c r="D2872" s="1">
        <v>44376</v>
      </c>
      <c r="E2872">
        <v>27.209</v>
      </c>
    </row>
    <row r="2873" spans="3:5" x14ac:dyDescent="0.35">
      <c r="C2873">
        <f t="shared" si="45"/>
        <v>2021</v>
      </c>
      <c r="D2873" s="1">
        <v>44377</v>
      </c>
      <c r="E2873">
        <v>26.912600000000001</v>
      </c>
    </row>
    <row r="2874" spans="3:5" x14ac:dyDescent="0.35">
      <c r="C2874">
        <f t="shared" si="45"/>
        <v>2021</v>
      </c>
      <c r="D2874" s="1">
        <v>44378</v>
      </c>
      <c r="E2874">
        <v>27.665600000000001</v>
      </c>
    </row>
    <row r="2875" spans="3:5" x14ac:dyDescent="0.35">
      <c r="C2875">
        <f t="shared" si="45"/>
        <v>2021</v>
      </c>
      <c r="D2875" s="1">
        <v>44379</v>
      </c>
      <c r="E2875">
        <v>27.669</v>
      </c>
    </row>
    <row r="2876" spans="3:5" x14ac:dyDescent="0.35">
      <c r="C2876">
        <f t="shared" si="45"/>
        <v>2021</v>
      </c>
      <c r="D2876" s="1">
        <v>44383</v>
      </c>
      <c r="E2876">
        <v>27.7958</v>
      </c>
    </row>
    <row r="2877" spans="3:5" x14ac:dyDescent="0.35">
      <c r="C2877">
        <f t="shared" si="45"/>
        <v>2021</v>
      </c>
      <c r="D2877" s="1">
        <v>44384</v>
      </c>
      <c r="E2877">
        <v>27.547999999999998</v>
      </c>
    </row>
    <row r="2878" spans="3:5" x14ac:dyDescent="0.35">
      <c r="C2878">
        <f t="shared" si="45"/>
        <v>2021</v>
      </c>
      <c r="D2878" s="1">
        <v>44385</v>
      </c>
      <c r="E2878">
        <v>27.2044</v>
      </c>
    </row>
    <row r="2879" spans="3:5" x14ac:dyDescent="0.35">
      <c r="C2879">
        <f t="shared" si="45"/>
        <v>2021</v>
      </c>
      <c r="D2879" s="1">
        <v>44386</v>
      </c>
      <c r="E2879">
        <v>26.859400000000001</v>
      </c>
    </row>
    <row r="2880" spans="3:5" x14ac:dyDescent="0.35">
      <c r="C2880">
        <f t="shared" si="45"/>
        <v>2021</v>
      </c>
      <c r="D2880" s="1">
        <v>44389</v>
      </c>
      <c r="E2880">
        <v>26.3553</v>
      </c>
    </row>
    <row r="2881" spans="3:5" x14ac:dyDescent="0.35">
      <c r="C2881">
        <f t="shared" si="45"/>
        <v>2021</v>
      </c>
      <c r="D2881" s="1">
        <v>44390</v>
      </c>
      <c r="E2881">
        <v>26.087299999999999</v>
      </c>
    </row>
    <row r="2882" spans="3:5" x14ac:dyDescent="0.35">
      <c r="C2882">
        <f t="shared" si="45"/>
        <v>2021</v>
      </c>
      <c r="D2882" s="1">
        <v>44391</v>
      </c>
      <c r="E2882">
        <v>25.8734</v>
      </c>
    </row>
    <row r="2883" spans="3:5" x14ac:dyDescent="0.35">
      <c r="C2883">
        <f t="shared" ref="C2883:C2946" si="46">YEAR(D2883)</f>
        <v>2021</v>
      </c>
      <c r="D2883" s="1">
        <v>44393</v>
      </c>
      <c r="E2883">
        <v>26.190999999999999</v>
      </c>
    </row>
    <row r="2884" spans="3:5" x14ac:dyDescent="0.35">
      <c r="C2884">
        <f t="shared" si="46"/>
        <v>2021</v>
      </c>
      <c r="D2884" s="1">
        <v>44396</v>
      </c>
      <c r="E2884">
        <v>25.657599999999999</v>
      </c>
    </row>
    <row r="2885" spans="3:5" x14ac:dyDescent="0.35">
      <c r="C2885">
        <f t="shared" si="46"/>
        <v>2021</v>
      </c>
      <c r="D2885" s="1">
        <v>44403</v>
      </c>
      <c r="E2885">
        <v>24.9038</v>
      </c>
    </row>
    <row r="2886" spans="3:5" x14ac:dyDescent="0.35">
      <c r="C2886">
        <f t="shared" si="46"/>
        <v>2021</v>
      </c>
      <c r="D2886" s="1">
        <v>44404</v>
      </c>
      <c r="E2886">
        <v>25.357500000000002</v>
      </c>
    </row>
    <row r="2887" spans="3:5" x14ac:dyDescent="0.35">
      <c r="C2887">
        <f t="shared" si="46"/>
        <v>2021</v>
      </c>
      <c r="D2887" s="1">
        <v>44405</v>
      </c>
      <c r="E2887">
        <v>25.373000000000001</v>
      </c>
    </row>
    <row r="2888" spans="3:5" x14ac:dyDescent="0.35">
      <c r="C2888">
        <f t="shared" si="46"/>
        <v>2021</v>
      </c>
      <c r="D2888" s="1">
        <v>44406</v>
      </c>
      <c r="E2888">
        <v>25.384799999999998</v>
      </c>
    </row>
    <row r="2889" spans="3:5" x14ac:dyDescent="0.35">
      <c r="C2889">
        <f t="shared" si="46"/>
        <v>2021</v>
      </c>
      <c r="D2889" s="1">
        <v>44407</v>
      </c>
      <c r="E2889">
        <v>25.844200000000001</v>
      </c>
    </row>
    <row r="2890" spans="3:5" x14ac:dyDescent="0.35">
      <c r="C2890">
        <f t="shared" si="46"/>
        <v>2021</v>
      </c>
      <c r="D2890" s="1">
        <v>44410</v>
      </c>
      <c r="E2890">
        <v>26.0975</v>
      </c>
    </row>
    <row r="2891" spans="3:5" x14ac:dyDescent="0.35">
      <c r="C2891">
        <f t="shared" si="46"/>
        <v>2021</v>
      </c>
      <c r="D2891" s="1">
        <v>44411</v>
      </c>
      <c r="E2891">
        <v>25.991700000000002</v>
      </c>
    </row>
    <row r="2892" spans="3:5" x14ac:dyDescent="0.35">
      <c r="C2892">
        <f t="shared" si="46"/>
        <v>2021</v>
      </c>
      <c r="D2892" s="1">
        <v>44412</v>
      </c>
      <c r="E2892">
        <v>25.826899999999998</v>
      </c>
    </row>
    <row r="2893" spans="3:5" x14ac:dyDescent="0.35">
      <c r="C2893">
        <f t="shared" si="46"/>
        <v>2021</v>
      </c>
      <c r="D2893" s="1">
        <v>44413</v>
      </c>
      <c r="E2893">
        <v>25.941400000000002</v>
      </c>
    </row>
    <row r="2894" spans="3:5" x14ac:dyDescent="0.35">
      <c r="C2894">
        <f t="shared" si="46"/>
        <v>2021</v>
      </c>
      <c r="D2894" s="1">
        <v>44414</v>
      </c>
      <c r="E2894">
        <v>26.594899999999999</v>
      </c>
    </row>
    <row r="2895" spans="3:5" x14ac:dyDescent="0.35">
      <c r="C2895">
        <f t="shared" si="46"/>
        <v>2021</v>
      </c>
      <c r="D2895" s="1">
        <v>44417</v>
      </c>
      <c r="E2895">
        <v>26.754000000000001</v>
      </c>
    </row>
    <row r="2896" spans="3:5" x14ac:dyDescent="0.35">
      <c r="C2896">
        <f t="shared" si="46"/>
        <v>2021</v>
      </c>
      <c r="D2896" s="1">
        <v>44418</v>
      </c>
      <c r="E2896">
        <v>26.272600000000001</v>
      </c>
    </row>
    <row r="2897" spans="3:5" x14ac:dyDescent="0.35">
      <c r="C2897">
        <f t="shared" si="46"/>
        <v>2021</v>
      </c>
      <c r="D2897" s="1">
        <v>44419</v>
      </c>
      <c r="E2897">
        <v>25.2319</v>
      </c>
    </row>
    <row r="2898" spans="3:5" x14ac:dyDescent="0.35">
      <c r="C2898">
        <f t="shared" si="46"/>
        <v>2021</v>
      </c>
      <c r="D2898" s="1">
        <v>44420</v>
      </c>
      <c r="E2898">
        <v>25.627700000000001</v>
      </c>
    </row>
    <row r="2899" spans="3:5" x14ac:dyDescent="0.35">
      <c r="C2899">
        <f t="shared" si="46"/>
        <v>2021</v>
      </c>
      <c r="D2899" s="1">
        <v>44421</v>
      </c>
      <c r="E2899">
        <v>25.418500000000002</v>
      </c>
    </row>
    <row r="2900" spans="3:5" x14ac:dyDescent="0.35">
      <c r="C2900">
        <f t="shared" si="46"/>
        <v>2021</v>
      </c>
      <c r="D2900" s="1">
        <v>44424</v>
      </c>
      <c r="E2900">
        <v>25.785900000000002</v>
      </c>
    </row>
    <row r="2901" spans="3:5" x14ac:dyDescent="0.35">
      <c r="C2901">
        <f t="shared" si="46"/>
        <v>2021</v>
      </c>
      <c r="D2901" s="1">
        <v>44425</v>
      </c>
      <c r="E2901">
        <v>25.638500000000001</v>
      </c>
    </row>
    <row r="2902" spans="3:5" x14ac:dyDescent="0.35">
      <c r="C2902">
        <f t="shared" si="46"/>
        <v>2021</v>
      </c>
      <c r="D2902" s="1">
        <v>44426</v>
      </c>
      <c r="E2902">
        <v>25.275700000000001</v>
      </c>
    </row>
    <row r="2903" spans="3:5" x14ac:dyDescent="0.35">
      <c r="C2903">
        <f t="shared" si="46"/>
        <v>2021</v>
      </c>
      <c r="D2903" s="1">
        <v>44427</v>
      </c>
      <c r="E2903">
        <v>25.194500000000001</v>
      </c>
    </row>
    <row r="2904" spans="3:5" x14ac:dyDescent="0.35">
      <c r="C2904">
        <f t="shared" si="46"/>
        <v>2021</v>
      </c>
      <c r="D2904" s="1">
        <v>44428</v>
      </c>
      <c r="E2904">
        <v>25.098400000000002</v>
      </c>
    </row>
    <row r="2905" spans="3:5" x14ac:dyDescent="0.35">
      <c r="C2905">
        <f t="shared" si="46"/>
        <v>2021</v>
      </c>
      <c r="D2905" s="1">
        <v>44431</v>
      </c>
      <c r="E2905">
        <v>25.3734</v>
      </c>
    </row>
    <row r="2906" spans="3:5" x14ac:dyDescent="0.35">
      <c r="C2906">
        <f t="shared" si="46"/>
        <v>2021</v>
      </c>
      <c r="D2906" s="1">
        <v>44432</v>
      </c>
      <c r="E2906">
        <v>26.187200000000001</v>
      </c>
    </row>
    <row r="2907" spans="3:5" x14ac:dyDescent="0.35">
      <c r="C2907">
        <f t="shared" si="46"/>
        <v>2021</v>
      </c>
      <c r="D2907" s="1">
        <v>44433</v>
      </c>
      <c r="E2907">
        <v>25.847200000000001</v>
      </c>
    </row>
    <row r="2908" spans="3:5" x14ac:dyDescent="0.35">
      <c r="C2908">
        <f t="shared" si="46"/>
        <v>2021</v>
      </c>
      <c r="D2908" s="1">
        <v>44434</v>
      </c>
      <c r="E2908">
        <v>26.509</v>
      </c>
    </row>
    <row r="2909" spans="3:5" x14ac:dyDescent="0.35">
      <c r="C2909">
        <f t="shared" si="46"/>
        <v>2021</v>
      </c>
      <c r="D2909" s="1">
        <v>44435</v>
      </c>
      <c r="E2909">
        <v>25.918600000000001</v>
      </c>
    </row>
    <row r="2910" spans="3:5" x14ac:dyDescent="0.35">
      <c r="C2910">
        <f t="shared" si="46"/>
        <v>2021</v>
      </c>
      <c r="D2910" s="1">
        <v>44439</v>
      </c>
      <c r="E2910">
        <v>25.9697</v>
      </c>
    </row>
    <row r="2911" spans="3:5" x14ac:dyDescent="0.35">
      <c r="C2911">
        <f t="shared" si="46"/>
        <v>2021</v>
      </c>
      <c r="D2911" s="1">
        <v>44440</v>
      </c>
      <c r="E2911">
        <v>26.6479</v>
      </c>
    </row>
    <row r="2912" spans="3:5" x14ac:dyDescent="0.35">
      <c r="C2912">
        <f t="shared" si="46"/>
        <v>2021</v>
      </c>
      <c r="D2912" s="1">
        <v>44441</v>
      </c>
      <c r="E2912">
        <v>26.779599999999999</v>
      </c>
    </row>
    <row r="2913" spans="3:5" x14ac:dyDescent="0.35">
      <c r="C2913">
        <f t="shared" si="46"/>
        <v>2021</v>
      </c>
      <c r="D2913" s="1">
        <v>44442</v>
      </c>
      <c r="E2913">
        <v>26.427299999999999</v>
      </c>
    </row>
    <row r="2914" spans="3:5" x14ac:dyDescent="0.35">
      <c r="C2914">
        <f t="shared" si="46"/>
        <v>2021</v>
      </c>
      <c r="D2914" s="1">
        <v>44446</v>
      </c>
      <c r="E2914">
        <v>26.470099999999999</v>
      </c>
    </row>
    <row r="2915" spans="3:5" x14ac:dyDescent="0.35">
      <c r="C2915">
        <f t="shared" si="46"/>
        <v>2021</v>
      </c>
      <c r="D2915" s="1">
        <v>44447</v>
      </c>
      <c r="E2915">
        <v>25.851900000000001</v>
      </c>
    </row>
    <row r="2916" spans="3:5" x14ac:dyDescent="0.35">
      <c r="C2916">
        <f t="shared" si="46"/>
        <v>2021</v>
      </c>
      <c r="D2916" s="1">
        <v>44448</v>
      </c>
      <c r="E2916">
        <v>25.7971</v>
      </c>
    </row>
    <row r="2917" spans="3:5" x14ac:dyDescent="0.35">
      <c r="C2917">
        <f t="shared" si="46"/>
        <v>2021</v>
      </c>
      <c r="D2917" s="1">
        <v>44449</v>
      </c>
      <c r="E2917">
        <v>25.554200000000002</v>
      </c>
    </row>
    <row r="2918" spans="3:5" x14ac:dyDescent="0.35">
      <c r="C2918">
        <f t="shared" si="46"/>
        <v>2021</v>
      </c>
      <c r="D2918" s="1">
        <v>44452</v>
      </c>
      <c r="E2918">
        <v>25.481999999999999</v>
      </c>
    </row>
    <row r="2919" spans="3:5" x14ac:dyDescent="0.35">
      <c r="C2919">
        <f t="shared" si="46"/>
        <v>2021</v>
      </c>
      <c r="D2919" s="1">
        <v>44453</v>
      </c>
      <c r="E2919">
        <v>25.456800000000001</v>
      </c>
    </row>
    <row r="2920" spans="3:5" x14ac:dyDescent="0.35">
      <c r="C2920">
        <f t="shared" si="46"/>
        <v>2021</v>
      </c>
      <c r="D2920" s="1">
        <v>44454</v>
      </c>
      <c r="E2920">
        <v>25.234999999999999</v>
      </c>
    </row>
    <row r="2921" spans="3:5" x14ac:dyDescent="0.35">
      <c r="C2921">
        <f t="shared" si="46"/>
        <v>2021</v>
      </c>
      <c r="D2921" s="1">
        <v>44455</v>
      </c>
      <c r="E2921">
        <v>26.235299999999999</v>
      </c>
    </row>
    <row r="2922" spans="3:5" x14ac:dyDescent="0.35">
      <c r="C2922">
        <f t="shared" si="46"/>
        <v>2021</v>
      </c>
      <c r="D2922" s="1">
        <v>44456</v>
      </c>
      <c r="E2922">
        <v>26.515999999999998</v>
      </c>
    </row>
    <row r="2923" spans="3:5" x14ac:dyDescent="0.35">
      <c r="C2923">
        <f t="shared" si="46"/>
        <v>2021</v>
      </c>
      <c r="D2923" s="1">
        <v>44459</v>
      </c>
      <c r="E2923">
        <v>26.189599999999999</v>
      </c>
    </row>
    <row r="2924" spans="3:5" x14ac:dyDescent="0.35">
      <c r="C2924">
        <f t="shared" si="46"/>
        <v>2021</v>
      </c>
      <c r="D2924" s="1">
        <v>44460</v>
      </c>
      <c r="E2924">
        <v>26.3659</v>
      </c>
    </row>
    <row r="2925" spans="3:5" x14ac:dyDescent="0.35">
      <c r="C2925">
        <f t="shared" si="46"/>
        <v>2021</v>
      </c>
      <c r="D2925" s="1">
        <v>44461</v>
      </c>
      <c r="E2925">
        <v>26.786300000000001</v>
      </c>
    </row>
    <row r="2926" spans="3:5" x14ac:dyDescent="0.35">
      <c r="C2926">
        <f t="shared" si="46"/>
        <v>2021</v>
      </c>
      <c r="D2926" s="1">
        <v>44462</v>
      </c>
      <c r="E2926">
        <v>27.4057</v>
      </c>
    </row>
    <row r="2927" spans="3:5" x14ac:dyDescent="0.35">
      <c r="C2927">
        <f t="shared" si="46"/>
        <v>2021</v>
      </c>
      <c r="D2927" s="1">
        <v>44463</v>
      </c>
      <c r="E2927">
        <v>27.65</v>
      </c>
    </row>
    <row r="2928" spans="3:5" x14ac:dyDescent="0.35">
      <c r="C2928">
        <f t="shared" si="46"/>
        <v>2021</v>
      </c>
      <c r="D2928" s="1">
        <v>44466</v>
      </c>
      <c r="E2928">
        <v>27.145800000000001</v>
      </c>
    </row>
    <row r="2929" spans="3:5" x14ac:dyDescent="0.35">
      <c r="C2929">
        <f t="shared" si="46"/>
        <v>2021</v>
      </c>
      <c r="D2929" s="1">
        <v>44467</v>
      </c>
      <c r="E2929">
        <v>28.013999999999999</v>
      </c>
    </row>
    <row r="2930" spans="3:5" x14ac:dyDescent="0.35">
      <c r="C2930">
        <f t="shared" si="46"/>
        <v>2021</v>
      </c>
      <c r="D2930" s="1">
        <v>44468</v>
      </c>
      <c r="E2930">
        <v>28.078900000000001</v>
      </c>
    </row>
    <row r="2931" spans="3:5" x14ac:dyDescent="0.35">
      <c r="C2931">
        <f t="shared" si="46"/>
        <v>2021</v>
      </c>
      <c r="D2931" s="1">
        <v>44469</v>
      </c>
      <c r="E2931">
        <v>27.724</v>
      </c>
    </row>
    <row r="2932" spans="3:5" x14ac:dyDescent="0.35">
      <c r="C2932">
        <f t="shared" si="46"/>
        <v>2021</v>
      </c>
      <c r="D2932" s="1">
        <v>44470</v>
      </c>
      <c r="E2932">
        <v>27.993400000000001</v>
      </c>
    </row>
    <row r="2933" spans="3:5" x14ac:dyDescent="0.35">
      <c r="C2933">
        <f t="shared" si="46"/>
        <v>2021</v>
      </c>
      <c r="D2933" s="1">
        <v>44473</v>
      </c>
      <c r="E2933">
        <v>27.5915</v>
      </c>
    </row>
    <row r="2934" spans="3:5" x14ac:dyDescent="0.35">
      <c r="C2934">
        <f t="shared" si="46"/>
        <v>2021</v>
      </c>
      <c r="D2934" s="1">
        <v>44474</v>
      </c>
      <c r="E2934">
        <v>28.0518</v>
      </c>
    </row>
    <row r="2935" spans="3:5" x14ac:dyDescent="0.35">
      <c r="C2935">
        <f t="shared" si="46"/>
        <v>2021</v>
      </c>
      <c r="D2935" s="1">
        <v>44475</v>
      </c>
      <c r="E2935">
        <v>27.332599999999999</v>
      </c>
    </row>
    <row r="2936" spans="3:5" x14ac:dyDescent="0.35">
      <c r="C2936">
        <f t="shared" si="46"/>
        <v>2021</v>
      </c>
      <c r="D2936" s="1">
        <v>44476</v>
      </c>
      <c r="E2936">
        <v>28.178599999999999</v>
      </c>
    </row>
    <row r="2937" spans="3:5" x14ac:dyDescent="0.35">
      <c r="C2937">
        <f t="shared" si="46"/>
        <v>2021</v>
      </c>
      <c r="D2937" s="1">
        <v>44477</v>
      </c>
      <c r="E2937">
        <v>28.129000000000001</v>
      </c>
    </row>
    <row r="2938" spans="3:5" x14ac:dyDescent="0.35">
      <c r="C2938">
        <f t="shared" si="46"/>
        <v>2021</v>
      </c>
      <c r="D2938" s="1">
        <v>44480</v>
      </c>
      <c r="E2938">
        <v>28.109500000000001</v>
      </c>
    </row>
    <row r="2939" spans="3:5" x14ac:dyDescent="0.35">
      <c r="C2939">
        <f t="shared" si="46"/>
        <v>2021</v>
      </c>
      <c r="D2939" s="1">
        <v>44481</v>
      </c>
      <c r="E2939">
        <v>27.532699999999998</v>
      </c>
    </row>
    <row r="2940" spans="3:5" x14ac:dyDescent="0.35">
      <c r="C2940">
        <f t="shared" si="46"/>
        <v>2021</v>
      </c>
      <c r="D2940" s="1">
        <v>44482</v>
      </c>
      <c r="E2940">
        <v>27.359400000000001</v>
      </c>
    </row>
    <row r="2941" spans="3:5" x14ac:dyDescent="0.35">
      <c r="C2941">
        <f t="shared" si="46"/>
        <v>2021</v>
      </c>
      <c r="D2941" s="1">
        <v>44483</v>
      </c>
      <c r="E2941">
        <v>27.0642</v>
      </c>
    </row>
    <row r="2942" spans="3:5" x14ac:dyDescent="0.35">
      <c r="C2942">
        <f t="shared" si="46"/>
        <v>2021</v>
      </c>
      <c r="D2942" s="1">
        <v>44484</v>
      </c>
      <c r="E2942">
        <v>28.037800000000001</v>
      </c>
    </row>
    <row r="2943" spans="3:5" x14ac:dyDescent="0.35">
      <c r="C2943">
        <f t="shared" si="46"/>
        <v>2021</v>
      </c>
      <c r="D2943" s="1">
        <v>44487</v>
      </c>
      <c r="E2943">
        <v>27.8</v>
      </c>
    </row>
    <row r="2944" spans="3:5" x14ac:dyDescent="0.35">
      <c r="C2944">
        <f t="shared" si="46"/>
        <v>2021</v>
      </c>
      <c r="D2944" s="1">
        <v>44488</v>
      </c>
      <c r="E2944">
        <v>26.949300000000001</v>
      </c>
    </row>
    <row r="2945" spans="3:5" x14ac:dyDescent="0.35">
      <c r="C2945">
        <f t="shared" si="46"/>
        <v>2021</v>
      </c>
      <c r="D2945" s="1">
        <v>44489</v>
      </c>
      <c r="E2945">
        <v>25.854399999999998</v>
      </c>
    </row>
    <row r="2946" spans="3:5" x14ac:dyDescent="0.35">
      <c r="C2946">
        <f t="shared" si="46"/>
        <v>2021</v>
      </c>
      <c r="D2946" s="1">
        <v>44490</v>
      </c>
      <c r="E2946">
        <v>26.472799999999999</v>
      </c>
    </row>
    <row r="2947" spans="3:5" x14ac:dyDescent="0.35">
      <c r="C2947">
        <f t="shared" ref="C2947:C3010" si="47">YEAR(D2947)</f>
        <v>2021</v>
      </c>
      <c r="D2947" s="1">
        <v>44491</v>
      </c>
      <c r="E2947">
        <v>25.6997</v>
      </c>
    </row>
    <row r="2948" spans="3:5" x14ac:dyDescent="0.35">
      <c r="C2948">
        <f t="shared" si="47"/>
        <v>2021</v>
      </c>
      <c r="D2948" s="1">
        <v>44494</v>
      </c>
      <c r="E2948">
        <v>25.421199999999999</v>
      </c>
    </row>
    <row r="2949" spans="3:5" x14ac:dyDescent="0.35">
      <c r="C2949">
        <f t="shared" si="47"/>
        <v>2021</v>
      </c>
      <c r="D2949" s="1">
        <v>44495</v>
      </c>
      <c r="E2949">
        <v>26.604199999999999</v>
      </c>
    </row>
    <row r="2950" spans="3:5" x14ac:dyDescent="0.35">
      <c r="C2950">
        <f t="shared" si="47"/>
        <v>2021</v>
      </c>
      <c r="D2950" s="1">
        <v>44496</v>
      </c>
      <c r="E2950">
        <v>26.96</v>
      </c>
    </row>
    <row r="2951" spans="3:5" x14ac:dyDescent="0.35">
      <c r="C2951">
        <f t="shared" si="47"/>
        <v>2021</v>
      </c>
      <c r="D2951" s="1">
        <v>44497</v>
      </c>
      <c r="E2951">
        <v>27.188700000000001</v>
      </c>
    </row>
    <row r="2952" spans="3:5" x14ac:dyDescent="0.35">
      <c r="C2952">
        <f t="shared" si="47"/>
        <v>2021</v>
      </c>
      <c r="D2952" s="1">
        <v>44501</v>
      </c>
      <c r="E2952">
        <v>27.627800000000001</v>
      </c>
    </row>
    <row r="2953" spans="3:5" x14ac:dyDescent="0.35">
      <c r="C2953">
        <f t="shared" si="47"/>
        <v>2021</v>
      </c>
      <c r="D2953" s="1">
        <v>44502</v>
      </c>
      <c r="E2953">
        <v>28.234400000000001</v>
      </c>
    </row>
    <row r="2954" spans="3:5" x14ac:dyDescent="0.35">
      <c r="C2954">
        <f t="shared" si="47"/>
        <v>2021</v>
      </c>
      <c r="D2954" s="1">
        <v>44503</v>
      </c>
      <c r="E2954">
        <v>28.62</v>
      </c>
    </row>
    <row r="2955" spans="3:5" x14ac:dyDescent="0.35">
      <c r="C2955">
        <f t="shared" si="47"/>
        <v>2021</v>
      </c>
      <c r="D2955" s="1">
        <v>44504</v>
      </c>
      <c r="E2955">
        <v>30.538799999999998</v>
      </c>
    </row>
    <row r="2956" spans="3:5" x14ac:dyDescent="0.35">
      <c r="C2956">
        <f t="shared" si="47"/>
        <v>2021</v>
      </c>
      <c r="D2956" s="1">
        <v>44505</v>
      </c>
      <c r="E2956">
        <v>31.177299999999999</v>
      </c>
    </row>
    <row r="2957" spans="3:5" x14ac:dyDescent="0.35">
      <c r="C2957">
        <f t="shared" si="47"/>
        <v>2021</v>
      </c>
      <c r="D2957" s="1">
        <v>44508</v>
      </c>
      <c r="E2957">
        <v>31.712499999999999</v>
      </c>
    </row>
    <row r="2958" spans="3:5" x14ac:dyDescent="0.35">
      <c r="C2958">
        <f t="shared" si="47"/>
        <v>2021</v>
      </c>
      <c r="D2958" s="1">
        <v>44509</v>
      </c>
      <c r="E2958">
        <v>31.872</v>
      </c>
    </row>
    <row r="2959" spans="3:5" x14ac:dyDescent="0.35">
      <c r="C2959">
        <f t="shared" si="47"/>
        <v>2021</v>
      </c>
      <c r="D2959" s="1">
        <v>44510</v>
      </c>
      <c r="E2959">
        <v>31.376999999999999</v>
      </c>
    </row>
    <row r="2960" spans="3:5" x14ac:dyDescent="0.35">
      <c r="C2960">
        <f t="shared" si="47"/>
        <v>2021</v>
      </c>
      <c r="D2960" s="1">
        <v>44511</v>
      </c>
      <c r="E2960">
        <v>30.052600000000002</v>
      </c>
    </row>
    <row r="2961" spans="3:5" x14ac:dyDescent="0.35">
      <c r="C2961">
        <f t="shared" si="47"/>
        <v>2021</v>
      </c>
      <c r="D2961" s="1">
        <v>44512</v>
      </c>
      <c r="E2961">
        <v>29.909700000000001</v>
      </c>
    </row>
    <row r="2962" spans="3:5" x14ac:dyDescent="0.35">
      <c r="C2962">
        <f t="shared" si="47"/>
        <v>2021</v>
      </c>
      <c r="D2962" s="1">
        <v>44515</v>
      </c>
      <c r="E2962">
        <v>29.2651</v>
      </c>
    </row>
    <row r="2963" spans="3:5" x14ac:dyDescent="0.35">
      <c r="C2963">
        <f t="shared" si="47"/>
        <v>2021</v>
      </c>
      <c r="D2963" s="1">
        <v>44516</v>
      </c>
      <c r="E2963">
        <v>29.464099999999998</v>
      </c>
    </row>
    <row r="2964" spans="3:5" x14ac:dyDescent="0.35">
      <c r="C2964">
        <f t="shared" si="47"/>
        <v>2021</v>
      </c>
      <c r="D2964" s="1">
        <v>44517</v>
      </c>
      <c r="E2964">
        <v>28.937100000000001</v>
      </c>
    </row>
    <row r="2965" spans="3:5" x14ac:dyDescent="0.35">
      <c r="C2965">
        <f t="shared" si="47"/>
        <v>2021</v>
      </c>
      <c r="D2965" s="1">
        <v>44518</v>
      </c>
      <c r="E2965">
        <v>28.0352</v>
      </c>
    </row>
    <row r="2966" spans="3:5" x14ac:dyDescent="0.35">
      <c r="C2966">
        <f t="shared" si="47"/>
        <v>2021</v>
      </c>
      <c r="D2966" s="1">
        <v>44519</v>
      </c>
      <c r="E2966">
        <v>26.016100000000002</v>
      </c>
    </row>
    <row r="2967" spans="3:5" x14ac:dyDescent="0.35">
      <c r="C2967">
        <f t="shared" si="47"/>
        <v>2021</v>
      </c>
      <c r="D2967" s="1">
        <v>44522</v>
      </c>
      <c r="E2967">
        <v>27.340499999999999</v>
      </c>
    </row>
    <row r="2968" spans="3:5" x14ac:dyDescent="0.35">
      <c r="C2968">
        <f t="shared" si="47"/>
        <v>2021</v>
      </c>
      <c r="D2968" s="1">
        <v>44523</v>
      </c>
      <c r="E2968">
        <v>28.622299999999999</v>
      </c>
    </row>
    <row r="2969" spans="3:5" x14ac:dyDescent="0.35">
      <c r="C2969">
        <f t="shared" si="47"/>
        <v>2021</v>
      </c>
      <c r="D2969" s="1">
        <v>44524</v>
      </c>
      <c r="E2969">
        <v>25.799199999999999</v>
      </c>
    </row>
    <row r="2970" spans="3:5" x14ac:dyDescent="0.35">
      <c r="C2970">
        <f t="shared" si="47"/>
        <v>2021</v>
      </c>
      <c r="D2970" s="1">
        <v>44526</v>
      </c>
      <c r="E2970">
        <v>24.699000000000002</v>
      </c>
    </row>
    <row r="2971" spans="3:5" x14ac:dyDescent="0.35">
      <c r="C2971">
        <f t="shared" si="47"/>
        <v>2021</v>
      </c>
      <c r="D2971" s="1">
        <v>44529</v>
      </c>
      <c r="E2971">
        <v>24.515699999999999</v>
      </c>
    </row>
    <row r="2972" spans="3:5" x14ac:dyDescent="0.35">
      <c r="C2972">
        <f t="shared" si="47"/>
        <v>2021</v>
      </c>
      <c r="D2972" s="1">
        <v>44530</v>
      </c>
      <c r="E2972">
        <v>23.7803</v>
      </c>
    </row>
    <row r="2973" spans="3:5" x14ac:dyDescent="0.35">
      <c r="C2973">
        <f t="shared" si="47"/>
        <v>2021</v>
      </c>
      <c r="D2973" s="1">
        <v>44531</v>
      </c>
      <c r="E2973">
        <v>23.805</v>
      </c>
    </row>
    <row r="2974" spans="3:5" x14ac:dyDescent="0.35">
      <c r="C2974">
        <f t="shared" si="47"/>
        <v>2021</v>
      </c>
      <c r="D2974" s="1">
        <v>44532</v>
      </c>
      <c r="E2974">
        <v>23.9819</v>
      </c>
    </row>
    <row r="2975" spans="3:5" x14ac:dyDescent="0.35">
      <c r="C2975">
        <f t="shared" si="47"/>
        <v>2021</v>
      </c>
      <c r="D2975" s="1">
        <v>44533</v>
      </c>
      <c r="E2975">
        <v>23.578399999999998</v>
      </c>
    </row>
    <row r="2976" spans="3:5" x14ac:dyDescent="0.35">
      <c r="C2976">
        <f t="shared" si="47"/>
        <v>2021</v>
      </c>
      <c r="D2976" s="1">
        <v>44536</v>
      </c>
      <c r="E2976">
        <v>23.991</v>
      </c>
    </row>
    <row r="2977" spans="3:5" x14ac:dyDescent="0.35">
      <c r="C2977">
        <f t="shared" si="47"/>
        <v>2021</v>
      </c>
      <c r="D2977" s="1">
        <v>44537</v>
      </c>
      <c r="E2977">
        <v>24.305700000000002</v>
      </c>
    </row>
    <row r="2978" spans="3:5" x14ac:dyDescent="0.35">
      <c r="C2978">
        <f t="shared" si="47"/>
        <v>2021</v>
      </c>
      <c r="D2978" s="1">
        <v>44538</v>
      </c>
      <c r="E2978">
        <v>26.288900000000002</v>
      </c>
    </row>
    <row r="2979" spans="3:5" x14ac:dyDescent="0.35">
      <c r="C2979">
        <f t="shared" si="47"/>
        <v>2021</v>
      </c>
      <c r="D2979" s="1">
        <v>44539</v>
      </c>
      <c r="E2979">
        <v>28.1812</v>
      </c>
    </row>
    <row r="2980" spans="3:5" x14ac:dyDescent="0.35">
      <c r="C2980">
        <f t="shared" si="47"/>
        <v>2021</v>
      </c>
      <c r="D2980" s="1">
        <v>44540</v>
      </c>
      <c r="E2980">
        <v>28.169499999999999</v>
      </c>
    </row>
    <row r="2981" spans="3:5" x14ac:dyDescent="0.35">
      <c r="C2981">
        <f t="shared" si="47"/>
        <v>2021</v>
      </c>
      <c r="D2981" s="1">
        <v>44543</v>
      </c>
      <c r="E2981">
        <v>28.452999999999999</v>
      </c>
    </row>
    <row r="2982" spans="3:5" x14ac:dyDescent="0.35">
      <c r="C2982">
        <f t="shared" si="47"/>
        <v>2021</v>
      </c>
      <c r="D2982" s="1">
        <v>44544</v>
      </c>
      <c r="E2982">
        <v>28.7395</v>
      </c>
    </row>
    <row r="2983" spans="3:5" x14ac:dyDescent="0.35">
      <c r="C2983">
        <f t="shared" si="47"/>
        <v>2021</v>
      </c>
      <c r="D2983" s="1">
        <v>44545</v>
      </c>
      <c r="E2983">
        <v>28.817799999999998</v>
      </c>
    </row>
    <row r="2984" spans="3:5" x14ac:dyDescent="0.35">
      <c r="C2984">
        <f t="shared" si="47"/>
        <v>2021</v>
      </c>
      <c r="D2984" s="1">
        <v>44546</v>
      </c>
      <c r="E2984">
        <v>29.356400000000001</v>
      </c>
    </row>
    <row r="2985" spans="3:5" x14ac:dyDescent="0.35">
      <c r="C2985">
        <f t="shared" si="47"/>
        <v>2021</v>
      </c>
      <c r="D2985" s="1">
        <v>44547</v>
      </c>
      <c r="E2985">
        <v>24.905799999999999</v>
      </c>
    </row>
    <row r="2986" spans="3:5" x14ac:dyDescent="0.35">
      <c r="C2986">
        <f t="shared" si="47"/>
        <v>2021</v>
      </c>
      <c r="D2986" s="1">
        <v>44550</v>
      </c>
      <c r="E2986">
        <v>23.114999999999998</v>
      </c>
    </row>
    <row r="2987" spans="3:5" x14ac:dyDescent="0.35">
      <c r="C2987">
        <f t="shared" si="47"/>
        <v>2021</v>
      </c>
      <c r="D2987" s="1">
        <v>44551</v>
      </c>
      <c r="E2987">
        <v>25.7286</v>
      </c>
    </row>
    <row r="2988" spans="3:5" x14ac:dyDescent="0.35">
      <c r="C2988">
        <f t="shared" si="47"/>
        <v>2021</v>
      </c>
      <c r="D2988" s="1">
        <v>44552</v>
      </c>
      <c r="E2988">
        <v>26.563400000000001</v>
      </c>
    </row>
    <row r="2989" spans="3:5" x14ac:dyDescent="0.35">
      <c r="C2989">
        <f t="shared" si="47"/>
        <v>2021</v>
      </c>
      <c r="D2989" s="1">
        <v>44553</v>
      </c>
      <c r="E2989">
        <v>27.417100000000001</v>
      </c>
    </row>
    <row r="2990" spans="3:5" x14ac:dyDescent="0.35">
      <c r="C2990">
        <f t="shared" si="47"/>
        <v>2021</v>
      </c>
      <c r="D2990" s="1">
        <v>44557</v>
      </c>
      <c r="E2990">
        <v>33.076900000000002</v>
      </c>
    </row>
    <row r="2991" spans="3:5" x14ac:dyDescent="0.35">
      <c r="C2991">
        <f t="shared" si="47"/>
        <v>2021</v>
      </c>
      <c r="D2991" s="1">
        <v>44558</v>
      </c>
      <c r="E2991">
        <v>30.543600000000001</v>
      </c>
    </row>
    <row r="2992" spans="3:5" x14ac:dyDescent="0.35">
      <c r="C2992">
        <f t="shared" si="47"/>
        <v>2021</v>
      </c>
      <c r="D2992" s="1">
        <v>44559</v>
      </c>
      <c r="E2992">
        <v>30.773800000000001</v>
      </c>
    </row>
    <row r="2993" spans="3:5" x14ac:dyDescent="0.35">
      <c r="C2993">
        <f t="shared" si="47"/>
        <v>2021</v>
      </c>
      <c r="D2993" s="1">
        <v>44560</v>
      </c>
      <c r="E2993">
        <v>27.339200000000002</v>
      </c>
    </row>
    <row r="2994" spans="3:5" x14ac:dyDescent="0.35">
      <c r="C2994">
        <f t="shared" si="47"/>
        <v>2021</v>
      </c>
      <c r="D2994" s="1">
        <v>44561</v>
      </c>
      <c r="E2994">
        <v>25.6374</v>
      </c>
    </row>
    <row r="2995" spans="3:5" x14ac:dyDescent="0.35">
      <c r="C2995">
        <f t="shared" si="47"/>
        <v>2022</v>
      </c>
      <c r="D2995" s="1">
        <v>44564</v>
      </c>
      <c r="E2995">
        <v>28.264299999999999</v>
      </c>
    </row>
    <row r="2996" spans="3:5" x14ac:dyDescent="0.35">
      <c r="C2996">
        <f t="shared" si="47"/>
        <v>2022</v>
      </c>
      <c r="D2996" s="1">
        <v>44565</v>
      </c>
      <c r="E2996">
        <v>29.93</v>
      </c>
    </row>
    <row r="2997" spans="3:5" x14ac:dyDescent="0.35">
      <c r="C2997">
        <f t="shared" si="47"/>
        <v>2022</v>
      </c>
      <c r="D2997" s="1">
        <v>44566</v>
      </c>
      <c r="E2997">
        <v>30.3782</v>
      </c>
    </row>
    <row r="2998" spans="3:5" x14ac:dyDescent="0.35">
      <c r="C2998">
        <f t="shared" si="47"/>
        <v>2022</v>
      </c>
      <c r="D2998" s="1">
        <v>44567</v>
      </c>
      <c r="E2998">
        <v>31.581499999999998</v>
      </c>
    </row>
    <row r="2999" spans="3:5" x14ac:dyDescent="0.35">
      <c r="C2999">
        <f t="shared" si="47"/>
        <v>2022</v>
      </c>
      <c r="D2999" s="1">
        <v>44568</v>
      </c>
      <c r="E2999">
        <v>31.3215</v>
      </c>
    </row>
    <row r="3000" spans="3:5" x14ac:dyDescent="0.35">
      <c r="C3000">
        <f t="shared" si="47"/>
        <v>2022</v>
      </c>
      <c r="D3000" s="1">
        <v>44571</v>
      </c>
      <c r="E3000">
        <v>33.585500000000003</v>
      </c>
    </row>
    <row r="3001" spans="3:5" x14ac:dyDescent="0.35">
      <c r="C3001">
        <f t="shared" si="47"/>
        <v>2022</v>
      </c>
      <c r="D3001" s="1">
        <v>44572</v>
      </c>
      <c r="E3001">
        <v>33.316699999999997</v>
      </c>
    </row>
    <row r="3002" spans="3:5" x14ac:dyDescent="0.35">
      <c r="C3002">
        <f t="shared" si="47"/>
        <v>2022</v>
      </c>
      <c r="D3002" s="1">
        <v>44573</v>
      </c>
      <c r="E3002">
        <v>33.252000000000002</v>
      </c>
    </row>
    <row r="3003" spans="3:5" x14ac:dyDescent="0.35">
      <c r="C3003">
        <f t="shared" si="47"/>
        <v>2022</v>
      </c>
      <c r="D3003" s="1">
        <v>44574</v>
      </c>
      <c r="E3003">
        <v>37.114400000000003</v>
      </c>
    </row>
    <row r="3004" spans="3:5" x14ac:dyDescent="0.35">
      <c r="C3004">
        <f t="shared" si="47"/>
        <v>2022</v>
      </c>
      <c r="D3004" s="1">
        <v>44575</v>
      </c>
      <c r="E3004">
        <v>35.575000000000003</v>
      </c>
    </row>
    <row r="3005" spans="3:5" x14ac:dyDescent="0.35">
      <c r="C3005">
        <f t="shared" si="47"/>
        <v>2022</v>
      </c>
      <c r="D3005" s="1">
        <v>44579</v>
      </c>
      <c r="E3005">
        <v>34.297800000000002</v>
      </c>
    </row>
    <row r="3006" spans="3:5" x14ac:dyDescent="0.35">
      <c r="C3006">
        <f t="shared" si="47"/>
        <v>2022</v>
      </c>
      <c r="D3006" s="1">
        <v>44580</v>
      </c>
      <c r="E3006">
        <v>34.181199999999997</v>
      </c>
    </row>
    <row r="3007" spans="3:5" x14ac:dyDescent="0.35">
      <c r="C3007">
        <f t="shared" si="47"/>
        <v>2022</v>
      </c>
      <c r="D3007" s="1">
        <v>44581</v>
      </c>
      <c r="E3007">
        <v>35.337800000000001</v>
      </c>
    </row>
    <row r="3008" spans="3:5" x14ac:dyDescent="0.35">
      <c r="C3008">
        <f t="shared" si="47"/>
        <v>2022</v>
      </c>
      <c r="D3008" s="1">
        <v>44582</v>
      </c>
      <c r="E3008">
        <v>34.963900000000002</v>
      </c>
    </row>
    <row r="3009" spans="3:5" x14ac:dyDescent="0.35">
      <c r="C3009">
        <f t="shared" si="47"/>
        <v>2022</v>
      </c>
      <c r="D3009" s="1">
        <v>44585</v>
      </c>
      <c r="E3009">
        <v>32.709299999999999</v>
      </c>
    </row>
    <row r="3010" spans="3:5" x14ac:dyDescent="0.35">
      <c r="C3010">
        <f t="shared" si="47"/>
        <v>2022</v>
      </c>
      <c r="D3010" s="1">
        <v>44586</v>
      </c>
      <c r="E3010">
        <v>32.639800000000001</v>
      </c>
    </row>
    <row r="3011" spans="3:5" x14ac:dyDescent="0.35">
      <c r="C3011">
        <f t="shared" ref="C3011:C3074" si="48">YEAR(D3011)</f>
        <v>2022</v>
      </c>
      <c r="D3011" s="1">
        <v>44587</v>
      </c>
      <c r="E3011">
        <v>34.330500000000001</v>
      </c>
    </row>
    <row r="3012" spans="3:5" x14ac:dyDescent="0.35">
      <c r="C3012">
        <f t="shared" si="48"/>
        <v>2022</v>
      </c>
      <c r="D3012" s="1">
        <v>44588</v>
      </c>
      <c r="E3012">
        <v>36.586599999999997</v>
      </c>
    </row>
    <row r="3013" spans="3:5" x14ac:dyDescent="0.35">
      <c r="C3013">
        <f t="shared" si="48"/>
        <v>2022</v>
      </c>
      <c r="D3013" s="1">
        <v>44589</v>
      </c>
      <c r="E3013">
        <v>36.035200000000003</v>
      </c>
    </row>
    <row r="3014" spans="3:5" x14ac:dyDescent="0.35">
      <c r="C3014">
        <f t="shared" si="48"/>
        <v>2022</v>
      </c>
      <c r="D3014" s="1">
        <v>44592</v>
      </c>
      <c r="E3014">
        <v>36.912500000000001</v>
      </c>
    </row>
    <row r="3015" spans="3:5" x14ac:dyDescent="0.35">
      <c r="C3015">
        <f t="shared" si="48"/>
        <v>2022</v>
      </c>
      <c r="D3015" s="1">
        <v>44593</v>
      </c>
      <c r="E3015">
        <v>36.799599999999998</v>
      </c>
    </row>
    <row r="3016" spans="3:5" x14ac:dyDescent="0.35">
      <c r="C3016">
        <f t="shared" si="48"/>
        <v>2022</v>
      </c>
      <c r="D3016" s="1">
        <v>44594</v>
      </c>
      <c r="E3016">
        <v>35.799799999999998</v>
      </c>
    </row>
    <row r="3017" spans="3:5" x14ac:dyDescent="0.35">
      <c r="C3017">
        <f t="shared" si="48"/>
        <v>2022</v>
      </c>
      <c r="D3017" s="1">
        <v>44595</v>
      </c>
      <c r="E3017">
        <v>34.615699999999997</v>
      </c>
    </row>
    <row r="3018" spans="3:5" x14ac:dyDescent="0.35">
      <c r="C3018">
        <f t="shared" si="48"/>
        <v>2022</v>
      </c>
      <c r="D3018" s="1">
        <v>44596</v>
      </c>
      <c r="E3018">
        <v>33.8337</v>
      </c>
    </row>
    <row r="3019" spans="3:5" x14ac:dyDescent="0.35">
      <c r="C3019">
        <f t="shared" si="48"/>
        <v>2022</v>
      </c>
      <c r="D3019" s="1">
        <v>44599</v>
      </c>
      <c r="E3019">
        <v>35.613500000000002</v>
      </c>
    </row>
    <row r="3020" spans="3:5" x14ac:dyDescent="0.35">
      <c r="C3020">
        <f t="shared" si="48"/>
        <v>2022</v>
      </c>
      <c r="D3020" s="1">
        <v>44600</v>
      </c>
      <c r="E3020">
        <v>36.113100000000003</v>
      </c>
    </row>
    <row r="3021" spans="3:5" x14ac:dyDescent="0.35">
      <c r="C3021">
        <f t="shared" si="48"/>
        <v>2022</v>
      </c>
      <c r="D3021" s="1">
        <v>44601</v>
      </c>
      <c r="E3021">
        <v>37.249000000000002</v>
      </c>
    </row>
    <row r="3022" spans="3:5" x14ac:dyDescent="0.35">
      <c r="C3022">
        <f t="shared" si="48"/>
        <v>2022</v>
      </c>
      <c r="D3022" s="1">
        <v>44602</v>
      </c>
      <c r="E3022">
        <v>37.283099999999997</v>
      </c>
    </row>
    <row r="3023" spans="3:5" x14ac:dyDescent="0.35">
      <c r="C3023">
        <f t="shared" si="48"/>
        <v>2022</v>
      </c>
      <c r="D3023" s="1">
        <v>44603</v>
      </c>
      <c r="E3023">
        <v>37.083399999999997</v>
      </c>
    </row>
    <row r="3024" spans="3:5" x14ac:dyDescent="0.35">
      <c r="C3024">
        <f t="shared" si="48"/>
        <v>2022</v>
      </c>
      <c r="D3024" s="1">
        <v>44606</v>
      </c>
      <c r="E3024">
        <v>35.2607</v>
      </c>
    </row>
    <row r="3025" spans="3:5" x14ac:dyDescent="0.35">
      <c r="C3025">
        <f t="shared" si="48"/>
        <v>2022</v>
      </c>
      <c r="D3025" s="1">
        <v>44607</v>
      </c>
      <c r="E3025">
        <v>36.9666</v>
      </c>
    </row>
    <row r="3026" spans="3:5" x14ac:dyDescent="0.35">
      <c r="C3026">
        <f t="shared" si="48"/>
        <v>2022</v>
      </c>
      <c r="D3026" s="1">
        <v>44608</v>
      </c>
      <c r="E3026">
        <v>36.188600000000001</v>
      </c>
    </row>
    <row r="3027" spans="3:5" x14ac:dyDescent="0.35">
      <c r="C3027">
        <f t="shared" si="48"/>
        <v>2022</v>
      </c>
      <c r="D3027" s="1">
        <v>44609</v>
      </c>
      <c r="E3027">
        <v>34.592399999999998</v>
      </c>
    </row>
    <row r="3028" spans="3:5" x14ac:dyDescent="0.35">
      <c r="C3028">
        <f t="shared" si="48"/>
        <v>2022</v>
      </c>
      <c r="D3028" s="1">
        <v>44610</v>
      </c>
      <c r="E3028">
        <v>35.6175</v>
      </c>
    </row>
    <row r="3029" spans="3:5" x14ac:dyDescent="0.35">
      <c r="C3029">
        <f t="shared" si="48"/>
        <v>2022</v>
      </c>
      <c r="D3029" s="1">
        <v>44614</v>
      </c>
      <c r="E3029">
        <v>34.4602</v>
      </c>
    </row>
    <row r="3030" spans="3:5" x14ac:dyDescent="0.35">
      <c r="C3030">
        <f t="shared" si="48"/>
        <v>2022</v>
      </c>
      <c r="D3030" s="1">
        <v>44615</v>
      </c>
      <c r="E3030">
        <v>33.240299999999998</v>
      </c>
    </row>
    <row r="3031" spans="3:5" x14ac:dyDescent="0.35">
      <c r="C3031">
        <f t="shared" si="48"/>
        <v>2022</v>
      </c>
      <c r="D3031" s="1">
        <v>44616</v>
      </c>
      <c r="E3031">
        <v>29.5535</v>
      </c>
    </row>
    <row r="3032" spans="3:5" x14ac:dyDescent="0.35">
      <c r="C3032">
        <f t="shared" si="48"/>
        <v>2022</v>
      </c>
      <c r="D3032" s="1">
        <v>44617</v>
      </c>
      <c r="E3032">
        <v>32.029200000000003</v>
      </c>
    </row>
    <row r="3033" spans="3:5" x14ac:dyDescent="0.35">
      <c r="C3033">
        <f t="shared" si="48"/>
        <v>2022</v>
      </c>
      <c r="D3033" s="1">
        <v>44620</v>
      </c>
      <c r="E3033">
        <v>29.9054</v>
      </c>
    </row>
    <row r="3034" spans="3:5" x14ac:dyDescent="0.35">
      <c r="C3034">
        <f t="shared" si="48"/>
        <v>2022</v>
      </c>
      <c r="D3034" s="1">
        <v>44621</v>
      </c>
      <c r="E3034">
        <v>29.329699999999999</v>
      </c>
    </row>
    <row r="3035" spans="3:5" x14ac:dyDescent="0.35">
      <c r="C3035">
        <f t="shared" si="48"/>
        <v>2022</v>
      </c>
      <c r="D3035" s="1">
        <v>44622</v>
      </c>
      <c r="E3035">
        <v>30.405899999999999</v>
      </c>
    </row>
    <row r="3036" spans="3:5" x14ac:dyDescent="0.35">
      <c r="C3036">
        <f t="shared" si="48"/>
        <v>2022</v>
      </c>
      <c r="D3036" s="1">
        <v>44623</v>
      </c>
      <c r="E3036">
        <v>29.828600000000002</v>
      </c>
    </row>
    <row r="3037" spans="3:5" x14ac:dyDescent="0.35">
      <c r="C3037">
        <f t="shared" si="48"/>
        <v>2022</v>
      </c>
      <c r="D3037" s="1">
        <v>44624</v>
      </c>
      <c r="E3037">
        <v>28.3733</v>
      </c>
    </row>
    <row r="3038" spans="3:5" x14ac:dyDescent="0.35">
      <c r="C3038">
        <f t="shared" si="48"/>
        <v>2022</v>
      </c>
      <c r="D3038" s="1">
        <v>44627</v>
      </c>
      <c r="E3038">
        <v>28.373100000000001</v>
      </c>
    </row>
    <row r="3039" spans="3:5" x14ac:dyDescent="0.35">
      <c r="C3039">
        <f t="shared" si="48"/>
        <v>2022</v>
      </c>
      <c r="D3039" s="1">
        <v>44628</v>
      </c>
      <c r="E3039">
        <v>26.825600000000001</v>
      </c>
    </row>
    <row r="3040" spans="3:5" x14ac:dyDescent="0.35">
      <c r="C3040">
        <f t="shared" si="48"/>
        <v>2022</v>
      </c>
      <c r="D3040" s="1">
        <v>44629</v>
      </c>
      <c r="E3040">
        <v>28.252099999999999</v>
      </c>
    </row>
    <row r="3041" spans="3:5" x14ac:dyDescent="0.35">
      <c r="C3041">
        <f t="shared" si="48"/>
        <v>2022</v>
      </c>
      <c r="D3041" s="1">
        <v>44630</v>
      </c>
      <c r="E3041">
        <v>27.333400000000001</v>
      </c>
    </row>
    <row r="3042" spans="3:5" x14ac:dyDescent="0.35">
      <c r="C3042">
        <f t="shared" si="48"/>
        <v>2022</v>
      </c>
      <c r="D3042" s="1">
        <v>44631</v>
      </c>
      <c r="E3042">
        <v>27.932500000000001</v>
      </c>
    </row>
    <row r="3043" spans="3:5" x14ac:dyDescent="0.35">
      <c r="C3043">
        <f t="shared" si="48"/>
        <v>2022</v>
      </c>
      <c r="D3043" s="1">
        <v>44634</v>
      </c>
      <c r="E3043">
        <v>28.645600000000002</v>
      </c>
    </row>
    <row r="3044" spans="3:5" x14ac:dyDescent="0.35">
      <c r="C3044">
        <f t="shared" si="48"/>
        <v>2022</v>
      </c>
      <c r="D3044" s="1">
        <v>44635</v>
      </c>
      <c r="E3044">
        <v>30.1938</v>
      </c>
    </row>
    <row r="3045" spans="3:5" x14ac:dyDescent="0.35">
      <c r="C3045">
        <f t="shared" si="48"/>
        <v>2022</v>
      </c>
      <c r="D3045" s="1">
        <v>44636</v>
      </c>
      <c r="E3045">
        <v>30.7164</v>
      </c>
    </row>
    <row r="3046" spans="3:5" x14ac:dyDescent="0.35">
      <c r="C3046">
        <f t="shared" si="48"/>
        <v>2022</v>
      </c>
      <c r="D3046" s="1">
        <v>44637</v>
      </c>
      <c r="E3046">
        <v>30.649100000000001</v>
      </c>
    </row>
    <row r="3047" spans="3:5" x14ac:dyDescent="0.35">
      <c r="C3047">
        <f t="shared" si="48"/>
        <v>2022</v>
      </c>
      <c r="D3047" s="1">
        <v>44638</v>
      </c>
      <c r="E3047">
        <v>30.411300000000001</v>
      </c>
    </row>
    <row r="3048" spans="3:5" x14ac:dyDescent="0.35">
      <c r="C3048">
        <f t="shared" si="48"/>
        <v>2022</v>
      </c>
      <c r="D3048" s="1">
        <v>44641</v>
      </c>
      <c r="E3048">
        <v>30.4102</v>
      </c>
    </row>
    <row r="3049" spans="3:5" x14ac:dyDescent="0.35">
      <c r="C3049">
        <f t="shared" si="48"/>
        <v>2022</v>
      </c>
      <c r="D3049" s="1">
        <v>44642</v>
      </c>
      <c r="E3049">
        <v>31.1602</v>
      </c>
    </row>
    <row r="3050" spans="3:5" x14ac:dyDescent="0.35">
      <c r="C3050">
        <f t="shared" si="48"/>
        <v>2022</v>
      </c>
      <c r="D3050" s="1">
        <v>44643</v>
      </c>
      <c r="E3050">
        <v>30.456299999999999</v>
      </c>
    </row>
    <row r="3051" spans="3:5" x14ac:dyDescent="0.35">
      <c r="C3051">
        <f t="shared" si="48"/>
        <v>2022</v>
      </c>
      <c r="D3051" s="1">
        <v>44644</v>
      </c>
      <c r="E3051">
        <v>30.072500000000002</v>
      </c>
    </row>
    <row r="3052" spans="3:5" x14ac:dyDescent="0.35">
      <c r="C3052">
        <f t="shared" si="48"/>
        <v>2022</v>
      </c>
      <c r="D3052" s="1">
        <v>44645</v>
      </c>
      <c r="E3052">
        <v>30.2166</v>
      </c>
    </row>
    <row r="3053" spans="3:5" x14ac:dyDescent="0.35">
      <c r="C3053">
        <f t="shared" si="48"/>
        <v>2022</v>
      </c>
      <c r="D3053" s="1">
        <v>44648</v>
      </c>
      <c r="E3053">
        <v>31.4284</v>
      </c>
    </row>
    <row r="3054" spans="3:5" x14ac:dyDescent="0.35">
      <c r="C3054">
        <f t="shared" si="48"/>
        <v>2022</v>
      </c>
      <c r="D3054" s="1">
        <v>44649</v>
      </c>
      <c r="E3054">
        <v>34.7271</v>
      </c>
    </row>
    <row r="3055" spans="3:5" x14ac:dyDescent="0.35">
      <c r="C3055">
        <f t="shared" si="48"/>
        <v>2022</v>
      </c>
      <c r="D3055" s="1">
        <v>44650</v>
      </c>
      <c r="E3055">
        <v>35.531500000000001</v>
      </c>
    </row>
    <row r="3056" spans="3:5" x14ac:dyDescent="0.35">
      <c r="C3056">
        <f t="shared" si="48"/>
        <v>2022</v>
      </c>
      <c r="D3056" s="1">
        <v>44651</v>
      </c>
      <c r="E3056">
        <v>35.135800000000003</v>
      </c>
    </row>
    <row r="3057" spans="3:5" x14ac:dyDescent="0.35">
      <c r="C3057">
        <f t="shared" si="48"/>
        <v>2022</v>
      </c>
      <c r="D3057" s="1">
        <v>44652</v>
      </c>
      <c r="E3057">
        <v>36.224600000000002</v>
      </c>
    </row>
    <row r="3058" spans="3:5" x14ac:dyDescent="0.35">
      <c r="C3058">
        <f t="shared" si="48"/>
        <v>2022</v>
      </c>
      <c r="D3058" s="1">
        <v>44655</v>
      </c>
      <c r="E3058">
        <v>36.762799999999999</v>
      </c>
    </row>
    <row r="3059" spans="3:5" x14ac:dyDescent="0.35">
      <c r="C3059">
        <f t="shared" si="48"/>
        <v>2022</v>
      </c>
      <c r="D3059" s="1">
        <v>44656</v>
      </c>
      <c r="E3059">
        <v>37.984400000000001</v>
      </c>
    </row>
    <row r="3060" spans="3:5" x14ac:dyDescent="0.35">
      <c r="C3060">
        <f t="shared" si="48"/>
        <v>2022</v>
      </c>
      <c r="D3060" s="1">
        <v>44657</v>
      </c>
      <c r="E3060">
        <v>38.1374</v>
      </c>
    </row>
    <row r="3061" spans="3:5" x14ac:dyDescent="0.35">
      <c r="C3061">
        <f t="shared" si="48"/>
        <v>2022</v>
      </c>
      <c r="D3061" s="1">
        <v>44658</v>
      </c>
      <c r="E3061">
        <v>38.975000000000001</v>
      </c>
    </row>
    <row r="3062" spans="3:5" x14ac:dyDescent="0.35">
      <c r="C3062">
        <f t="shared" si="48"/>
        <v>2022</v>
      </c>
      <c r="D3062" s="1">
        <v>44659</v>
      </c>
      <c r="E3062">
        <v>38.350299999999997</v>
      </c>
    </row>
    <row r="3063" spans="3:5" x14ac:dyDescent="0.35">
      <c r="C3063">
        <f t="shared" si="48"/>
        <v>2022</v>
      </c>
      <c r="D3063" s="1">
        <v>44662</v>
      </c>
      <c r="E3063">
        <v>39.2438</v>
      </c>
    </row>
    <row r="3064" spans="3:5" x14ac:dyDescent="0.35">
      <c r="C3064">
        <f t="shared" si="48"/>
        <v>2022</v>
      </c>
      <c r="D3064" s="1">
        <v>44663</v>
      </c>
      <c r="E3064">
        <v>40.051600000000001</v>
      </c>
    </row>
    <row r="3065" spans="3:5" x14ac:dyDescent="0.35">
      <c r="C3065">
        <f t="shared" si="48"/>
        <v>2022</v>
      </c>
      <c r="D3065" s="1">
        <v>44664</v>
      </c>
      <c r="E3065">
        <v>39.818899999999999</v>
      </c>
    </row>
    <row r="3066" spans="3:5" x14ac:dyDescent="0.35">
      <c r="C3066">
        <f t="shared" si="48"/>
        <v>2022</v>
      </c>
      <c r="D3066" s="1">
        <v>44665</v>
      </c>
      <c r="E3066">
        <v>40.408999999999999</v>
      </c>
    </row>
    <row r="3067" spans="3:5" x14ac:dyDescent="0.35">
      <c r="C3067">
        <f t="shared" si="48"/>
        <v>2022</v>
      </c>
      <c r="D3067" s="1">
        <v>44669</v>
      </c>
      <c r="E3067">
        <v>40.379199999999997</v>
      </c>
    </row>
    <row r="3068" spans="3:5" x14ac:dyDescent="0.35">
      <c r="C3068">
        <f t="shared" si="48"/>
        <v>2022</v>
      </c>
      <c r="D3068" s="1">
        <v>44670</v>
      </c>
      <c r="E3068">
        <v>42.103999999999999</v>
      </c>
    </row>
    <row r="3069" spans="3:5" x14ac:dyDescent="0.35">
      <c r="C3069">
        <f t="shared" si="48"/>
        <v>2022</v>
      </c>
      <c r="D3069" s="1">
        <v>44671</v>
      </c>
      <c r="E3069">
        <v>42.254100000000001</v>
      </c>
    </row>
    <row r="3070" spans="3:5" x14ac:dyDescent="0.35">
      <c r="C3070">
        <f t="shared" si="48"/>
        <v>2022</v>
      </c>
      <c r="D3070" s="1">
        <v>44672</v>
      </c>
      <c r="E3070">
        <v>43.811300000000003</v>
      </c>
    </row>
    <row r="3071" spans="3:5" x14ac:dyDescent="0.35">
      <c r="C3071">
        <f t="shared" si="48"/>
        <v>2022</v>
      </c>
      <c r="D3071" s="1">
        <v>44673</v>
      </c>
      <c r="E3071">
        <v>43.533099999999997</v>
      </c>
    </row>
    <row r="3072" spans="3:5" x14ac:dyDescent="0.35">
      <c r="C3072">
        <f t="shared" si="48"/>
        <v>2022</v>
      </c>
      <c r="D3072" s="1">
        <v>44676</v>
      </c>
      <c r="E3072">
        <v>44.116500000000002</v>
      </c>
    </row>
    <row r="3073" spans="3:5" x14ac:dyDescent="0.35">
      <c r="C3073">
        <f t="shared" si="48"/>
        <v>2022</v>
      </c>
      <c r="D3073" s="1">
        <v>44677</v>
      </c>
      <c r="E3073">
        <v>43.2988</v>
      </c>
    </row>
    <row r="3074" spans="3:5" x14ac:dyDescent="0.35">
      <c r="C3074">
        <f t="shared" si="48"/>
        <v>2022</v>
      </c>
      <c r="D3074" s="1">
        <v>44678</v>
      </c>
      <c r="E3074">
        <v>45.132800000000003</v>
      </c>
    </row>
    <row r="3075" spans="3:5" x14ac:dyDescent="0.35">
      <c r="C3075">
        <f t="shared" ref="C3075:C3138" si="49">YEAR(D3075)</f>
        <v>2022</v>
      </c>
      <c r="D3075" s="1">
        <v>44679</v>
      </c>
      <c r="E3075">
        <v>45.035200000000003</v>
      </c>
    </row>
    <row r="3076" spans="3:5" x14ac:dyDescent="0.35">
      <c r="C3076">
        <f t="shared" si="49"/>
        <v>2022</v>
      </c>
      <c r="D3076" s="1">
        <v>44680</v>
      </c>
      <c r="E3076">
        <v>45.4495</v>
      </c>
    </row>
    <row r="3077" spans="3:5" x14ac:dyDescent="0.35">
      <c r="C3077">
        <f t="shared" si="49"/>
        <v>2022</v>
      </c>
      <c r="D3077" s="1">
        <v>44686</v>
      </c>
      <c r="E3077">
        <v>48.059100000000001</v>
      </c>
    </row>
    <row r="3078" spans="3:5" x14ac:dyDescent="0.35">
      <c r="C3078">
        <f t="shared" si="49"/>
        <v>2022</v>
      </c>
      <c r="D3078" s="1">
        <v>44687</v>
      </c>
      <c r="E3078">
        <v>47.137700000000002</v>
      </c>
    </row>
    <row r="3079" spans="3:5" x14ac:dyDescent="0.35">
      <c r="C3079">
        <f t="shared" si="49"/>
        <v>2022</v>
      </c>
      <c r="D3079" s="1">
        <v>44690</v>
      </c>
      <c r="E3079">
        <v>47.419800000000002</v>
      </c>
    </row>
    <row r="3080" spans="3:5" x14ac:dyDescent="0.35">
      <c r="C3080">
        <f t="shared" si="49"/>
        <v>2022</v>
      </c>
      <c r="D3080" s="1">
        <v>44691</v>
      </c>
      <c r="E3080">
        <v>47.8093</v>
      </c>
    </row>
    <row r="3081" spans="3:5" x14ac:dyDescent="0.35">
      <c r="C3081">
        <f t="shared" si="49"/>
        <v>2022</v>
      </c>
      <c r="D3081" s="1">
        <v>44692</v>
      </c>
      <c r="E3081">
        <v>46.2303</v>
      </c>
    </row>
    <row r="3082" spans="3:5" x14ac:dyDescent="0.35">
      <c r="C3082">
        <f t="shared" si="49"/>
        <v>2022</v>
      </c>
      <c r="D3082" s="1">
        <v>44693</v>
      </c>
      <c r="E3082">
        <v>46.704000000000001</v>
      </c>
    </row>
    <row r="3083" spans="3:5" x14ac:dyDescent="0.35">
      <c r="C3083">
        <f t="shared" si="49"/>
        <v>2022</v>
      </c>
      <c r="D3083" s="1">
        <v>44694</v>
      </c>
      <c r="E3083">
        <v>47.448999999999998</v>
      </c>
    </row>
    <row r="3084" spans="3:5" x14ac:dyDescent="0.35">
      <c r="C3084">
        <f t="shared" si="49"/>
        <v>2022</v>
      </c>
      <c r="D3084" s="1">
        <v>44697</v>
      </c>
      <c r="E3084">
        <v>47.331099999999999</v>
      </c>
    </row>
    <row r="3085" spans="3:5" x14ac:dyDescent="0.35">
      <c r="C3085">
        <f t="shared" si="49"/>
        <v>2022</v>
      </c>
      <c r="D3085" s="1">
        <v>44698</v>
      </c>
      <c r="E3085">
        <v>46.143500000000003</v>
      </c>
    </row>
    <row r="3086" spans="3:5" x14ac:dyDescent="0.35">
      <c r="C3086">
        <f t="shared" si="49"/>
        <v>2022</v>
      </c>
      <c r="D3086" s="1">
        <v>44699</v>
      </c>
      <c r="E3086">
        <v>45.641300000000001</v>
      </c>
    </row>
    <row r="3087" spans="3:5" x14ac:dyDescent="0.35">
      <c r="C3087">
        <f t="shared" si="49"/>
        <v>2022</v>
      </c>
      <c r="D3087" s="1">
        <v>44701</v>
      </c>
      <c r="E3087">
        <v>45.514499999999998</v>
      </c>
    </row>
    <row r="3088" spans="3:5" x14ac:dyDescent="0.35">
      <c r="C3088">
        <f t="shared" si="49"/>
        <v>2022</v>
      </c>
      <c r="D3088" s="1">
        <v>44704</v>
      </c>
      <c r="E3088">
        <v>45.3947</v>
      </c>
    </row>
    <row r="3089" spans="3:5" x14ac:dyDescent="0.35">
      <c r="C3089">
        <f t="shared" si="49"/>
        <v>2022</v>
      </c>
      <c r="D3089" s="1">
        <v>44705</v>
      </c>
      <c r="E3089">
        <v>44.127299999999998</v>
      </c>
    </row>
    <row r="3090" spans="3:5" x14ac:dyDescent="0.35">
      <c r="C3090">
        <f t="shared" si="49"/>
        <v>2022</v>
      </c>
      <c r="D3090" s="1">
        <v>44706</v>
      </c>
      <c r="E3090">
        <v>44.647100000000002</v>
      </c>
    </row>
    <row r="3091" spans="3:5" x14ac:dyDescent="0.35">
      <c r="C3091">
        <f t="shared" si="49"/>
        <v>2022</v>
      </c>
      <c r="D3091" s="1">
        <v>44707</v>
      </c>
      <c r="E3091">
        <v>45.788200000000003</v>
      </c>
    </row>
    <row r="3092" spans="3:5" x14ac:dyDescent="0.35">
      <c r="C3092">
        <f t="shared" si="49"/>
        <v>2022</v>
      </c>
      <c r="D3092" s="1">
        <v>44708</v>
      </c>
      <c r="E3092">
        <v>46.231299999999997</v>
      </c>
    </row>
    <row r="3093" spans="3:5" x14ac:dyDescent="0.35">
      <c r="C3093">
        <f t="shared" si="49"/>
        <v>2022</v>
      </c>
      <c r="D3093" s="1">
        <v>44712</v>
      </c>
      <c r="E3093">
        <v>51.4101</v>
      </c>
    </row>
    <row r="3094" spans="3:5" x14ac:dyDescent="0.35">
      <c r="C3094">
        <f t="shared" si="49"/>
        <v>2022</v>
      </c>
      <c r="D3094" s="1">
        <v>44713</v>
      </c>
      <c r="E3094">
        <v>50.752099999999999</v>
      </c>
    </row>
    <row r="3095" spans="3:5" x14ac:dyDescent="0.35">
      <c r="C3095">
        <f t="shared" si="49"/>
        <v>2022</v>
      </c>
      <c r="D3095" s="1">
        <v>44714</v>
      </c>
      <c r="E3095">
        <v>50.264699999999998</v>
      </c>
    </row>
    <row r="3096" spans="3:5" x14ac:dyDescent="0.35">
      <c r="C3096">
        <f t="shared" si="49"/>
        <v>2022</v>
      </c>
      <c r="D3096" s="1">
        <v>44715</v>
      </c>
      <c r="E3096">
        <v>49.060200000000002</v>
      </c>
    </row>
    <row r="3097" spans="3:5" x14ac:dyDescent="0.35">
      <c r="C3097">
        <f t="shared" si="49"/>
        <v>2022</v>
      </c>
      <c r="D3097" s="1">
        <v>44718</v>
      </c>
      <c r="E3097">
        <v>49.027500000000003</v>
      </c>
    </row>
    <row r="3098" spans="3:5" x14ac:dyDescent="0.35">
      <c r="C3098">
        <f t="shared" si="49"/>
        <v>2022</v>
      </c>
      <c r="D3098" s="1">
        <v>44719</v>
      </c>
      <c r="E3098">
        <v>49.164099999999998</v>
      </c>
    </row>
    <row r="3099" spans="3:5" x14ac:dyDescent="0.35">
      <c r="C3099">
        <f t="shared" si="49"/>
        <v>2022</v>
      </c>
      <c r="D3099" s="1">
        <v>44720</v>
      </c>
      <c r="E3099">
        <v>46.604399999999998</v>
      </c>
    </row>
    <row r="3100" spans="3:5" x14ac:dyDescent="0.35">
      <c r="C3100">
        <f t="shared" si="49"/>
        <v>2022</v>
      </c>
      <c r="D3100" s="1">
        <v>44721</v>
      </c>
      <c r="E3100">
        <v>47.345500000000001</v>
      </c>
    </row>
    <row r="3101" spans="3:5" x14ac:dyDescent="0.35">
      <c r="C3101">
        <f t="shared" si="49"/>
        <v>2022</v>
      </c>
      <c r="D3101" s="1">
        <v>44722</v>
      </c>
      <c r="E3101">
        <v>45.020400000000002</v>
      </c>
    </row>
    <row r="3102" spans="3:5" x14ac:dyDescent="0.35">
      <c r="C3102">
        <f t="shared" si="49"/>
        <v>2022</v>
      </c>
      <c r="D3102" s="1">
        <v>44725</v>
      </c>
      <c r="E3102">
        <v>46.403100000000002</v>
      </c>
    </row>
    <row r="3103" spans="3:5" x14ac:dyDescent="0.35">
      <c r="C3103">
        <f t="shared" si="49"/>
        <v>2022</v>
      </c>
      <c r="D3103" s="1">
        <v>44726</v>
      </c>
      <c r="E3103">
        <v>46.642699999999998</v>
      </c>
    </row>
    <row r="3104" spans="3:5" x14ac:dyDescent="0.35">
      <c r="C3104">
        <f t="shared" si="49"/>
        <v>2022</v>
      </c>
      <c r="D3104" s="1">
        <v>44727</v>
      </c>
      <c r="E3104">
        <v>48.110900000000001</v>
      </c>
    </row>
    <row r="3105" spans="3:5" x14ac:dyDescent="0.35">
      <c r="C3105">
        <f t="shared" si="49"/>
        <v>2022</v>
      </c>
      <c r="D3105" s="1">
        <v>44728</v>
      </c>
      <c r="E3105">
        <v>46.283900000000003</v>
      </c>
    </row>
    <row r="3106" spans="3:5" x14ac:dyDescent="0.35">
      <c r="C3106">
        <f t="shared" si="49"/>
        <v>2022</v>
      </c>
      <c r="D3106" s="1">
        <v>44729</v>
      </c>
      <c r="E3106">
        <v>47.1995</v>
      </c>
    </row>
    <row r="3107" spans="3:5" x14ac:dyDescent="0.35">
      <c r="C3107">
        <f t="shared" si="49"/>
        <v>2022</v>
      </c>
      <c r="D3107" s="1">
        <v>44733</v>
      </c>
      <c r="E3107">
        <v>50.825699999999998</v>
      </c>
    </row>
    <row r="3108" spans="3:5" x14ac:dyDescent="0.35">
      <c r="C3108">
        <f t="shared" si="49"/>
        <v>2022</v>
      </c>
      <c r="D3108" s="1">
        <v>44734</v>
      </c>
      <c r="E3108">
        <v>50.881500000000003</v>
      </c>
    </row>
    <row r="3109" spans="3:5" x14ac:dyDescent="0.35">
      <c r="C3109">
        <f t="shared" si="49"/>
        <v>2022</v>
      </c>
      <c r="D3109" s="1">
        <v>44735</v>
      </c>
      <c r="E3109">
        <v>49.657699999999998</v>
      </c>
    </row>
    <row r="3110" spans="3:5" x14ac:dyDescent="0.35">
      <c r="C3110">
        <f t="shared" si="49"/>
        <v>2022</v>
      </c>
      <c r="D3110" s="1">
        <v>44736</v>
      </c>
      <c r="E3110">
        <v>49.332000000000001</v>
      </c>
    </row>
    <row r="3111" spans="3:5" x14ac:dyDescent="0.35">
      <c r="C3111">
        <f t="shared" si="49"/>
        <v>2022</v>
      </c>
      <c r="D3111" s="1">
        <v>44739</v>
      </c>
      <c r="E3111">
        <v>51.032299999999999</v>
      </c>
    </row>
    <row r="3112" spans="3:5" x14ac:dyDescent="0.35">
      <c r="C3112">
        <f t="shared" si="49"/>
        <v>2022</v>
      </c>
      <c r="D3112" s="1">
        <v>44740</v>
      </c>
      <c r="E3112">
        <v>49.633800000000001</v>
      </c>
    </row>
    <row r="3113" spans="3:5" x14ac:dyDescent="0.35">
      <c r="C3113">
        <f t="shared" si="49"/>
        <v>2022</v>
      </c>
      <c r="D3113" s="1">
        <v>44741</v>
      </c>
      <c r="E3113">
        <v>47.637500000000003</v>
      </c>
    </row>
    <row r="3114" spans="3:5" x14ac:dyDescent="0.35">
      <c r="C3114">
        <f t="shared" si="49"/>
        <v>2022</v>
      </c>
      <c r="D3114" s="1">
        <v>44742</v>
      </c>
      <c r="E3114">
        <v>48.523200000000003</v>
      </c>
    </row>
    <row r="3115" spans="3:5" x14ac:dyDescent="0.35">
      <c r="C3115">
        <f t="shared" si="49"/>
        <v>2022</v>
      </c>
      <c r="D3115" s="1">
        <v>44743</v>
      </c>
      <c r="E3115">
        <v>51.067399999999999</v>
      </c>
    </row>
    <row r="3116" spans="3:5" x14ac:dyDescent="0.35">
      <c r="C3116">
        <f t="shared" si="49"/>
        <v>2022</v>
      </c>
      <c r="D3116" s="1">
        <v>44747</v>
      </c>
      <c r="E3116">
        <v>49.453699999999998</v>
      </c>
    </row>
    <row r="3117" spans="3:5" x14ac:dyDescent="0.35">
      <c r="C3117">
        <f t="shared" si="49"/>
        <v>2022</v>
      </c>
      <c r="D3117" s="1">
        <v>44748</v>
      </c>
      <c r="E3117">
        <v>51.0593</v>
      </c>
    </row>
    <row r="3118" spans="3:5" x14ac:dyDescent="0.35">
      <c r="C3118">
        <f t="shared" si="49"/>
        <v>2022</v>
      </c>
      <c r="D3118" s="1">
        <v>44749</v>
      </c>
      <c r="E3118">
        <v>51.1571</v>
      </c>
    </row>
    <row r="3119" spans="3:5" x14ac:dyDescent="0.35">
      <c r="C3119">
        <f t="shared" si="49"/>
        <v>2022</v>
      </c>
      <c r="D3119" s="1">
        <v>44750</v>
      </c>
      <c r="E3119">
        <v>51.292400000000001</v>
      </c>
    </row>
    <row r="3120" spans="3:5" x14ac:dyDescent="0.35">
      <c r="C3120">
        <f t="shared" si="49"/>
        <v>2022</v>
      </c>
      <c r="D3120" s="1">
        <v>44755</v>
      </c>
      <c r="E3120">
        <v>51.064500000000002</v>
      </c>
    </row>
    <row r="3121" spans="3:5" x14ac:dyDescent="0.35">
      <c r="C3121">
        <f t="shared" si="49"/>
        <v>2022</v>
      </c>
      <c r="D3121" s="1">
        <v>44756</v>
      </c>
      <c r="E3121">
        <v>50.243699999999997</v>
      </c>
    </row>
    <row r="3122" spans="3:5" x14ac:dyDescent="0.35">
      <c r="C3122">
        <f t="shared" si="49"/>
        <v>2022</v>
      </c>
      <c r="D3122" s="1">
        <v>44760</v>
      </c>
      <c r="E3122">
        <v>52.453400000000002</v>
      </c>
    </row>
    <row r="3123" spans="3:5" x14ac:dyDescent="0.35">
      <c r="C3123">
        <f t="shared" si="49"/>
        <v>2022</v>
      </c>
      <c r="D3123" s="1">
        <v>44761</v>
      </c>
      <c r="E3123">
        <v>53.231000000000002</v>
      </c>
    </row>
    <row r="3124" spans="3:5" x14ac:dyDescent="0.35">
      <c r="C3124">
        <f t="shared" si="49"/>
        <v>2022</v>
      </c>
      <c r="D3124" s="1">
        <v>44762</v>
      </c>
      <c r="E3124">
        <v>53.575899999999997</v>
      </c>
    </row>
    <row r="3125" spans="3:5" x14ac:dyDescent="0.35">
      <c r="C3125">
        <f t="shared" si="49"/>
        <v>2022</v>
      </c>
      <c r="D3125" s="1">
        <v>44763</v>
      </c>
      <c r="E3125">
        <v>53.258400000000002</v>
      </c>
    </row>
    <row r="3126" spans="3:5" x14ac:dyDescent="0.35">
      <c r="C3126">
        <f t="shared" si="49"/>
        <v>2022</v>
      </c>
      <c r="D3126" s="1">
        <v>44764</v>
      </c>
      <c r="E3126">
        <v>50.865200000000002</v>
      </c>
    </row>
    <row r="3127" spans="3:5" x14ac:dyDescent="0.35">
      <c r="C3127">
        <f t="shared" si="49"/>
        <v>2022</v>
      </c>
      <c r="D3127" s="1">
        <v>44767</v>
      </c>
      <c r="E3127">
        <v>50.479199999999999</v>
      </c>
    </row>
    <row r="3128" spans="3:5" x14ac:dyDescent="0.35">
      <c r="C3128">
        <f t="shared" si="49"/>
        <v>2022</v>
      </c>
      <c r="D3128" s="1">
        <v>44768</v>
      </c>
      <c r="E3128">
        <v>49.7652</v>
      </c>
    </row>
    <row r="3129" spans="3:5" x14ac:dyDescent="0.35">
      <c r="C3129">
        <f t="shared" si="49"/>
        <v>2022</v>
      </c>
      <c r="D3129" s="1">
        <v>44769</v>
      </c>
      <c r="E3129">
        <v>50.314300000000003</v>
      </c>
    </row>
    <row r="3130" spans="3:5" x14ac:dyDescent="0.35">
      <c r="C3130">
        <f t="shared" si="49"/>
        <v>2022</v>
      </c>
      <c r="D3130" s="1">
        <v>44770</v>
      </c>
      <c r="E3130">
        <v>49.430100000000003</v>
      </c>
    </row>
    <row r="3131" spans="3:5" x14ac:dyDescent="0.35">
      <c r="C3131">
        <f t="shared" si="49"/>
        <v>2022</v>
      </c>
      <c r="D3131" s="1">
        <v>44771</v>
      </c>
      <c r="E3131">
        <v>49.552300000000002</v>
      </c>
    </row>
    <row r="3132" spans="3:5" x14ac:dyDescent="0.35">
      <c r="C3132">
        <f t="shared" si="49"/>
        <v>2022</v>
      </c>
      <c r="D3132" s="1">
        <v>44774</v>
      </c>
      <c r="E3132">
        <v>50.523099999999999</v>
      </c>
    </row>
    <row r="3133" spans="3:5" x14ac:dyDescent="0.35">
      <c r="C3133">
        <f t="shared" si="49"/>
        <v>2022</v>
      </c>
      <c r="D3133" s="1">
        <v>44775</v>
      </c>
      <c r="E3133">
        <v>51.379199999999997</v>
      </c>
    </row>
    <row r="3134" spans="3:5" x14ac:dyDescent="0.35">
      <c r="C3134">
        <f t="shared" si="49"/>
        <v>2022</v>
      </c>
      <c r="D3134" s="1">
        <v>44776</v>
      </c>
      <c r="E3134">
        <v>54.231999999999999</v>
      </c>
    </row>
    <row r="3135" spans="3:5" x14ac:dyDescent="0.35">
      <c r="C3135">
        <f t="shared" si="49"/>
        <v>2022</v>
      </c>
      <c r="D3135" s="1">
        <v>44777</v>
      </c>
      <c r="E3135">
        <v>53.634999999999998</v>
      </c>
    </row>
    <row r="3136" spans="3:5" x14ac:dyDescent="0.35">
      <c r="C3136">
        <f t="shared" si="49"/>
        <v>2022</v>
      </c>
      <c r="D3136" s="1">
        <v>44778</v>
      </c>
      <c r="E3136">
        <v>56.909500000000001</v>
      </c>
    </row>
    <row r="3137" spans="3:5" x14ac:dyDescent="0.35">
      <c r="C3137">
        <f t="shared" si="49"/>
        <v>2022</v>
      </c>
      <c r="D3137" s="1">
        <v>44781</v>
      </c>
      <c r="E3137">
        <v>57.057600000000001</v>
      </c>
    </row>
    <row r="3138" spans="3:5" x14ac:dyDescent="0.35">
      <c r="C3138">
        <f t="shared" si="49"/>
        <v>2022</v>
      </c>
      <c r="D3138" s="1">
        <v>44782</v>
      </c>
      <c r="E3138">
        <v>56.639000000000003</v>
      </c>
    </row>
    <row r="3139" spans="3:5" x14ac:dyDescent="0.35">
      <c r="C3139">
        <f t="shared" ref="C3139:C3202" si="50">YEAR(D3139)</f>
        <v>2022</v>
      </c>
      <c r="D3139" s="1">
        <v>44783</v>
      </c>
      <c r="E3139">
        <v>58.13</v>
      </c>
    </row>
    <row r="3140" spans="3:5" x14ac:dyDescent="0.35">
      <c r="C3140">
        <f t="shared" si="50"/>
        <v>2022</v>
      </c>
      <c r="D3140" s="1">
        <v>44784</v>
      </c>
      <c r="E3140">
        <v>59.713200000000001</v>
      </c>
    </row>
    <row r="3141" spans="3:5" x14ac:dyDescent="0.35">
      <c r="C3141">
        <f t="shared" si="50"/>
        <v>2022</v>
      </c>
      <c r="D3141" s="1">
        <v>44785</v>
      </c>
      <c r="E3141">
        <v>60.119700000000002</v>
      </c>
    </row>
    <row r="3142" spans="3:5" x14ac:dyDescent="0.35">
      <c r="C3142">
        <f t="shared" si="50"/>
        <v>2022</v>
      </c>
      <c r="D3142" s="1">
        <v>44788</v>
      </c>
      <c r="E3142">
        <v>61.898800000000001</v>
      </c>
    </row>
    <row r="3143" spans="3:5" x14ac:dyDescent="0.35">
      <c r="C3143">
        <f t="shared" si="50"/>
        <v>2022</v>
      </c>
      <c r="D3143" s="1">
        <v>44789</v>
      </c>
      <c r="E3143">
        <v>66.296700000000001</v>
      </c>
    </row>
    <row r="3144" spans="3:5" x14ac:dyDescent="0.35">
      <c r="C3144">
        <f t="shared" si="50"/>
        <v>2022</v>
      </c>
      <c r="D3144" s="1">
        <v>44790</v>
      </c>
      <c r="E3144">
        <v>67.791399999999996</v>
      </c>
    </row>
    <row r="3145" spans="3:5" x14ac:dyDescent="0.35">
      <c r="C3145">
        <f t="shared" si="50"/>
        <v>2022</v>
      </c>
      <c r="D3145" s="1">
        <v>44791</v>
      </c>
      <c r="E3145">
        <v>68.779600000000002</v>
      </c>
    </row>
    <row r="3146" spans="3:5" x14ac:dyDescent="0.35">
      <c r="C3146">
        <f t="shared" si="50"/>
        <v>2022</v>
      </c>
      <c r="D3146" s="1">
        <v>44792</v>
      </c>
      <c r="E3146">
        <v>67.443299999999994</v>
      </c>
    </row>
    <row r="3147" spans="3:5" x14ac:dyDescent="0.35">
      <c r="C3147">
        <f t="shared" si="50"/>
        <v>2022</v>
      </c>
      <c r="D3147" s="1">
        <v>44795</v>
      </c>
      <c r="E3147">
        <v>67.186800000000005</v>
      </c>
    </row>
    <row r="3148" spans="3:5" x14ac:dyDescent="0.35">
      <c r="C3148">
        <f t="shared" si="50"/>
        <v>2022</v>
      </c>
      <c r="D3148" s="1">
        <v>44796</v>
      </c>
      <c r="E3148">
        <v>66.731899999999996</v>
      </c>
    </row>
    <row r="3149" spans="3:5" x14ac:dyDescent="0.35">
      <c r="C3149">
        <f t="shared" si="50"/>
        <v>2022</v>
      </c>
      <c r="D3149" s="1">
        <v>44797</v>
      </c>
      <c r="E3149">
        <v>67.418400000000005</v>
      </c>
    </row>
    <row r="3150" spans="3:5" x14ac:dyDescent="0.35">
      <c r="C3150">
        <f t="shared" si="50"/>
        <v>2022</v>
      </c>
      <c r="D3150" s="1">
        <v>44798</v>
      </c>
      <c r="E3150">
        <v>68.547399999999996</v>
      </c>
    </row>
    <row r="3151" spans="3:5" x14ac:dyDescent="0.35">
      <c r="C3151">
        <f t="shared" si="50"/>
        <v>2022</v>
      </c>
      <c r="D3151" s="1">
        <v>44799</v>
      </c>
      <c r="E3151">
        <v>68.740499999999997</v>
      </c>
    </row>
    <row r="3152" spans="3:5" x14ac:dyDescent="0.35">
      <c r="C3152">
        <f t="shared" si="50"/>
        <v>2022</v>
      </c>
      <c r="D3152" s="1">
        <v>44802</v>
      </c>
      <c r="E3152">
        <v>69.453599999999994</v>
      </c>
    </row>
    <row r="3153" spans="3:5" x14ac:dyDescent="0.35">
      <c r="C3153">
        <f t="shared" si="50"/>
        <v>2022</v>
      </c>
      <c r="D3153" s="1">
        <v>44804</v>
      </c>
      <c r="E3153">
        <v>73.137</v>
      </c>
    </row>
    <row r="3154" spans="3:5" x14ac:dyDescent="0.35">
      <c r="C3154">
        <f t="shared" si="50"/>
        <v>2022</v>
      </c>
      <c r="D3154" s="1">
        <v>44805</v>
      </c>
      <c r="E3154">
        <v>71.661500000000004</v>
      </c>
    </row>
    <row r="3155" spans="3:5" x14ac:dyDescent="0.35">
      <c r="C3155">
        <f t="shared" si="50"/>
        <v>2022</v>
      </c>
      <c r="D3155" s="1">
        <v>44806</v>
      </c>
      <c r="E3155">
        <v>71.737700000000004</v>
      </c>
    </row>
    <row r="3156" spans="3:5" x14ac:dyDescent="0.35">
      <c r="C3156">
        <f t="shared" si="50"/>
        <v>2022</v>
      </c>
      <c r="D3156" s="1">
        <v>44810</v>
      </c>
      <c r="E3156">
        <v>73.964299999999994</v>
      </c>
    </row>
    <row r="3157" spans="3:5" x14ac:dyDescent="0.35">
      <c r="C3157">
        <f t="shared" si="50"/>
        <v>2022</v>
      </c>
      <c r="D3157" s="1">
        <v>44811</v>
      </c>
      <c r="E3157">
        <v>74.317899999999995</v>
      </c>
    </row>
    <row r="3158" spans="3:5" x14ac:dyDescent="0.35">
      <c r="C3158">
        <f t="shared" si="50"/>
        <v>2022</v>
      </c>
      <c r="D3158" s="1">
        <v>44812</v>
      </c>
      <c r="E3158">
        <v>72.956999999999994</v>
      </c>
    </row>
    <row r="3159" spans="3:5" x14ac:dyDescent="0.35">
      <c r="C3159">
        <f t="shared" si="50"/>
        <v>2022</v>
      </c>
      <c r="D3159" s="1">
        <v>44813</v>
      </c>
      <c r="E3159">
        <v>72.936300000000003</v>
      </c>
    </row>
    <row r="3160" spans="3:5" x14ac:dyDescent="0.35">
      <c r="C3160">
        <f t="shared" si="50"/>
        <v>2022</v>
      </c>
      <c r="D3160" s="1">
        <v>44816</v>
      </c>
      <c r="E3160">
        <v>74.033799999999999</v>
      </c>
    </row>
    <row r="3161" spans="3:5" x14ac:dyDescent="0.35">
      <c r="C3161">
        <f t="shared" si="50"/>
        <v>2022</v>
      </c>
      <c r="D3161" s="1">
        <v>44817</v>
      </c>
      <c r="E3161">
        <v>71.178100000000001</v>
      </c>
    </row>
    <row r="3162" spans="3:5" x14ac:dyDescent="0.35">
      <c r="C3162">
        <f t="shared" si="50"/>
        <v>2022</v>
      </c>
      <c r="D3162" s="1">
        <v>44818</v>
      </c>
      <c r="E3162">
        <v>74.656400000000005</v>
      </c>
    </row>
    <row r="3163" spans="3:5" x14ac:dyDescent="0.35">
      <c r="C3163">
        <f t="shared" si="50"/>
        <v>2022</v>
      </c>
      <c r="D3163" s="1">
        <v>44819</v>
      </c>
      <c r="E3163">
        <v>75.969200000000001</v>
      </c>
    </row>
    <row r="3164" spans="3:5" x14ac:dyDescent="0.35">
      <c r="C3164">
        <f t="shared" si="50"/>
        <v>2022</v>
      </c>
      <c r="D3164" s="1">
        <v>44820</v>
      </c>
      <c r="E3164">
        <v>75.296400000000006</v>
      </c>
    </row>
    <row r="3165" spans="3:5" x14ac:dyDescent="0.35">
      <c r="C3165">
        <f t="shared" si="50"/>
        <v>2022</v>
      </c>
      <c r="D3165" s="1">
        <v>44823</v>
      </c>
      <c r="E3165">
        <v>70.305599999999998</v>
      </c>
    </row>
    <row r="3166" spans="3:5" x14ac:dyDescent="0.35">
      <c r="C3166">
        <f t="shared" si="50"/>
        <v>2022</v>
      </c>
      <c r="D3166" s="1">
        <v>44824</v>
      </c>
      <c r="E3166">
        <v>74.222499999999997</v>
      </c>
    </row>
    <row r="3167" spans="3:5" x14ac:dyDescent="0.35">
      <c r="C3167">
        <f t="shared" si="50"/>
        <v>2022</v>
      </c>
      <c r="D3167" s="1">
        <v>44825</v>
      </c>
      <c r="E3167">
        <v>71.1768</v>
      </c>
    </row>
    <row r="3168" spans="3:5" x14ac:dyDescent="0.35">
      <c r="C3168">
        <f t="shared" si="50"/>
        <v>2022</v>
      </c>
      <c r="D3168" s="1">
        <v>44826</v>
      </c>
      <c r="E3168">
        <v>72.471500000000006</v>
      </c>
    </row>
    <row r="3169" spans="3:5" x14ac:dyDescent="0.35">
      <c r="C3169">
        <f t="shared" si="50"/>
        <v>2022</v>
      </c>
      <c r="D3169" s="1">
        <v>44827</v>
      </c>
      <c r="E3169">
        <v>73.038499999999999</v>
      </c>
    </row>
    <row r="3170" spans="3:5" x14ac:dyDescent="0.35">
      <c r="C3170">
        <f t="shared" si="50"/>
        <v>2022</v>
      </c>
      <c r="D3170" s="1">
        <v>44830</v>
      </c>
      <c r="E3170">
        <v>72.141599999999997</v>
      </c>
    </row>
    <row r="3171" spans="3:5" x14ac:dyDescent="0.35">
      <c r="C3171">
        <f t="shared" si="50"/>
        <v>2022</v>
      </c>
      <c r="D3171" s="1">
        <v>44831</v>
      </c>
      <c r="E3171">
        <v>73.582700000000003</v>
      </c>
    </row>
    <row r="3172" spans="3:5" x14ac:dyDescent="0.35">
      <c r="C3172">
        <f t="shared" si="50"/>
        <v>2022</v>
      </c>
      <c r="D3172" s="1">
        <v>44832</v>
      </c>
      <c r="E3172">
        <v>70.032799999999995</v>
      </c>
    </row>
    <row r="3173" spans="3:5" x14ac:dyDescent="0.35">
      <c r="C3173">
        <f t="shared" si="50"/>
        <v>2022</v>
      </c>
      <c r="D3173" s="1">
        <v>44833</v>
      </c>
      <c r="E3173">
        <v>69.454400000000007</v>
      </c>
    </row>
    <row r="3174" spans="3:5" x14ac:dyDescent="0.35">
      <c r="C3174">
        <f t="shared" si="50"/>
        <v>2022</v>
      </c>
      <c r="D3174" s="1">
        <v>44834</v>
      </c>
      <c r="E3174">
        <v>71.411000000000001</v>
      </c>
    </row>
    <row r="3175" spans="3:5" x14ac:dyDescent="0.35">
      <c r="C3175">
        <f t="shared" si="50"/>
        <v>2022</v>
      </c>
      <c r="D3175" s="1">
        <v>44837</v>
      </c>
      <c r="E3175">
        <v>77.049099999999996</v>
      </c>
    </row>
    <row r="3176" spans="3:5" x14ac:dyDescent="0.35">
      <c r="C3176">
        <f t="shared" si="50"/>
        <v>2022</v>
      </c>
      <c r="D3176" s="1">
        <v>44838</v>
      </c>
      <c r="E3176">
        <v>78.829099999999997</v>
      </c>
    </row>
    <row r="3177" spans="3:5" x14ac:dyDescent="0.35">
      <c r="C3177">
        <f t="shared" si="50"/>
        <v>2022</v>
      </c>
      <c r="D3177" s="1">
        <v>44839</v>
      </c>
      <c r="E3177">
        <v>82.994399999999999</v>
      </c>
    </row>
    <row r="3178" spans="3:5" x14ac:dyDescent="0.35">
      <c r="C3178">
        <f t="shared" si="50"/>
        <v>2022</v>
      </c>
      <c r="D3178" s="1">
        <v>44840</v>
      </c>
      <c r="E3178">
        <v>82.977400000000003</v>
      </c>
    </row>
    <row r="3179" spans="3:5" x14ac:dyDescent="0.35">
      <c r="C3179">
        <f t="shared" si="50"/>
        <v>2022</v>
      </c>
      <c r="D3179" s="1">
        <v>44841</v>
      </c>
      <c r="E3179">
        <v>82.910399999999996</v>
      </c>
    </row>
    <row r="3180" spans="3:5" x14ac:dyDescent="0.35">
      <c r="C3180">
        <f t="shared" si="50"/>
        <v>2022</v>
      </c>
      <c r="D3180" s="1">
        <v>44844</v>
      </c>
      <c r="E3180">
        <v>86.507099999999994</v>
      </c>
    </row>
    <row r="3181" spans="3:5" x14ac:dyDescent="0.35">
      <c r="C3181">
        <f t="shared" si="50"/>
        <v>2022</v>
      </c>
      <c r="D3181" s="1">
        <v>44845</v>
      </c>
      <c r="E3181">
        <v>84.250900000000001</v>
      </c>
    </row>
    <row r="3182" spans="3:5" x14ac:dyDescent="0.35">
      <c r="C3182">
        <f t="shared" si="50"/>
        <v>2022</v>
      </c>
      <c r="D3182" s="1">
        <v>44846</v>
      </c>
      <c r="E3182">
        <v>85.271299999999997</v>
      </c>
    </row>
    <row r="3183" spans="3:5" x14ac:dyDescent="0.35">
      <c r="C3183">
        <f t="shared" si="50"/>
        <v>2022</v>
      </c>
      <c r="D3183" s="1">
        <v>44847</v>
      </c>
      <c r="E3183">
        <v>88.546499999999995</v>
      </c>
    </row>
    <row r="3184" spans="3:5" x14ac:dyDescent="0.35">
      <c r="C3184">
        <f t="shared" si="50"/>
        <v>2022</v>
      </c>
      <c r="D3184" s="1">
        <v>44848</v>
      </c>
      <c r="E3184">
        <v>91.906499999999994</v>
      </c>
    </row>
    <row r="3185" spans="3:5" x14ac:dyDescent="0.35">
      <c r="C3185">
        <f t="shared" si="50"/>
        <v>2022</v>
      </c>
      <c r="D3185" s="1">
        <v>44851</v>
      </c>
      <c r="E3185">
        <v>99.424999999999997</v>
      </c>
    </row>
    <row r="3186" spans="3:5" x14ac:dyDescent="0.35">
      <c r="C3186">
        <f t="shared" si="50"/>
        <v>2022</v>
      </c>
      <c r="D3186" s="1">
        <v>44852</v>
      </c>
      <c r="E3186">
        <v>98.8917</v>
      </c>
    </row>
    <row r="3187" spans="3:5" x14ac:dyDescent="0.35">
      <c r="C3187">
        <f t="shared" si="50"/>
        <v>2022</v>
      </c>
      <c r="D3187" s="1">
        <v>44853</v>
      </c>
      <c r="E3187">
        <v>100.1853</v>
      </c>
    </row>
    <row r="3188" spans="3:5" x14ac:dyDescent="0.35">
      <c r="C3188">
        <f t="shared" si="50"/>
        <v>2022</v>
      </c>
      <c r="D3188" s="1">
        <v>44854</v>
      </c>
      <c r="E3188">
        <v>101.6041</v>
      </c>
    </row>
    <row r="3189" spans="3:5" x14ac:dyDescent="0.35">
      <c r="C3189">
        <f t="shared" si="50"/>
        <v>2022</v>
      </c>
      <c r="D3189" s="1">
        <v>44855</v>
      </c>
      <c r="E3189">
        <v>99.285899999999998</v>
      </c>
    </row>
    <row r="3190" spans="3:5" x14ac:dyDescent="0.35">
      <c r="C3190">
        <f t="shared" si="50"/>
        <v>2022</v>
      </c>
      <c r="D3190" s="1">
        <v>44858</v>
      </c>
      <c r="E3190">
        <v>101.16849999999999</v>
      </c>
    </row>
    <row r="3191" spans="3:5" x14ac:dyDescent="0.35">
      <c r="C3191">
        <f t="shared" si="50"/>
        <v>2022</v>
      </c>
      <c r="D3191" s="1">
        <v>44859</v>
      </c>
      <c r="E3191">
        <v>101.7319</v>
      </c>
    </row>
    <row r="3192" spans="3:5" x14ac:dyDescent="0.35">
      <c r="C3192">
        <f t="shared" si="50"/>
        <v>2022</v>
      </c>
      <c r="D3192" s="1">
        <v>44860</v>
      </c>
      <c r="E3192">
        <v>99.252399999999994</v>
      </c>
    </row>
    <row r="3193" spans="3:5" x14ac:dyDescent="0.35">
      <c r="C3193">
        <f t="shared" si="50"/>
        <v>2022</v>
      </c>
      <c r="D3193" s="1">
        <v>44861</v>
      </c>
      <c r="E3193">
        <v>100.14190000000001</v>
      </c>
    </row>
    <row r="3194" spans="3:5" x14ac:dyDescent="0.35">
      <c r="C3194">
        <f t="shared" si="50"/>
        <v>2022</v>
      </c>
      <c r="D3194" s="1">
        <v>44862</v>
      </c>
      <c r="E3194">
        <v>98.8322</v>
      </c>
    </row>
    <row r="3195" spans="3:5" x14ac:dyDescent="0.35">
      <c r="C3195">
        <f t="shared" si="50"/>
        <v>2022</v>
      </c>
      <c r="D3195" s="1">
        <v>44865</v>
      </c>
      <c r="E3195">
        <v>103.7004</v>
      </c>
    </row>
    <row r="3196" spans="3:5" x14ac:dyDescent="0.35">
      <c r="C3196">
        <f t="shared" si="50"/>
        <v>2022</v>
      </c>
      <c r="D3196" s="1">
        <v>44866</v>
      </c>
      <c r="E3196">
        <v>104.00190000000001</v>
      </c>
    </row>
    <row r="3197" spans="3:5" x14ac:dyDescent="0.35">
      <c r="C3197">
        <f t="shared" si="50"/>
        <v>2022</v>
      </c>
      <c r="D3197" s="1">
        <v>44867</v>
      </c>
      <c r="E3197">
        <v>102.4014</v>
      </c>
    </row>
    <row r="3198" spans="3:5" x14ac:dyDescent="0.35">
      <c r="C3198">
        <f t="shared" si="50"/>
        <v>2022</v>
      </c>
      <c r="D3198" s="1">
        <v>44868</v>
      </c>
      <c r="E3198">
        <v>104.5265</v>
      </c>
    </row>
    <row r="3199" spans="3:5" x14ac:dyDescent="0.35">
      <c r="C3199">
        <f t="shared" si="50"/>
        <v>2022</v>
      </c>
      <c r="D3199" s="1">
        <v>44869</v>
      </c>
      <c r="E3199">
        <v>104.1317</v>
      </c>
    </row>
    <row r="3200" spans="3:5" x14ac:dyDescent="0.35">
      <c r="C3200">
        <f t="shared" si="50"/>
        <v>2022</v>
      </c>
      <c r="D3200" s="1">
        <v>44872</v>
      </c>
      <c r="E3200">
        <v>106.92659999999999</v>
      </c>
    </row>
    <row r="3201" spans="3:5" x14ac:dyDescent="0.35">
      <c r="C3201">
        <f t="shared" si="50"/>
        <v>2022</v>
      </c>
      <c r="D3201" s="1">
        <v>44873</v>
      </c>
      <c r="E3201">
        <v>111.3021</v>
      </c>
    </row>
    <row r="3202" spans="3:5" x14ac:dyDescent="0.35">
      <c r="C3202">
        <f t="shared" si="50"/>
        <v>2022</v>
      </c>
      <c r="D3202" s="1">
        <v>44874</v>
      </c>
      <c r="E3202">
        <v>109.4789</v>
      </c>
    </row>
    <row r="3203" spans="3:5" x14ac:dyDescent="0.35">
      <c r="C3203">
        <f t="shared" ref="C3203:C3266" si="51">YEAR(D3203)</f>
        <v>2022</v>
      </c>
      <c r="D3203" s="1">
        <v>44875</v>
      </c>
      <c r="E3203">
        <v>108.42919999999999</v>
      </c>
    </row>
    <row r="3204" spans="3:5" x14ac:dyDescent="0.35">
      <c r="C3204">
        <f t="shared" si="51"/>
        <v>2022</v>
      </c>
      <c r="D3204" s="1">
        <v>44876</v>
      </c>
      <c r="E3204">
        <v>106.2501</v>
      </c>
    </row>
    <row r="3205" spans="3:5" x14ac:dyDescent="0.35">
      <c r="C3205">
        <f t="shared" si="51"/>
        <v>2022</v>
      </c>
      <c r="D3205" s="1">
        <v>44879</v>
      </c>
      <c r="E3205">
        <v>104.0364</v>
      </c>
    </row>
    <row r="3206" spans="3:5" x14ac:dyDescent="0.35">
      <c r="C3206">
        <f t="shared" si="51"/>
        <v>2022</v>
      </c>
      <c r="D3206" s="1">
        <v>44880</v>
      </c>
      <c r="E3206">
        <v>102.8078</v>
      </c>
    </row>
    <row r="3207" spans="3:5" x14ac:dyDescent="0.35">
      <c r="C3207">
        <f t="shared" si="51"/>
        <v>2022</v>
      </c>
      <c r="D3207" s="1">
        <v>44881</v>
      </c>
      <c r="E3207">
        <v>98.614199999999997</v>
      </c>
    </row>
    <row r="3208" spans="3:5" x14ac:dyDescent="0.35">
      <c r="C3208">
        <f t="shared" si="51"/>
        <v>2022</v>
      </c>
      <c r="D3208" s="1">
        <v>44882</v>
      </c>
      <c r="E3208">
        <v>101.7877</v>
      </c>
    </row>
    <row r="3209" spans="3:5" x14ac:dyDescent="0.35">
      <c r="C3209">
        <f t="shared" si="51"/>
        <v>2022</v>
      </c>
      <c r="D3209" s="1">
        <v>44883</v>
      </c>
      <c r="E3209">
        <v>101.7567</v>
      </c>
    </row>
    <row r="3210" spans="3:5" x14ac:dyDescent="0.35">
      <c r="C3210">
        <f t="shared" si="51"/>
        <v>2022</v>
      </c>
      <c r="D3210" s="1">
        <v>44886</v>
      </c>
      <c r="E3210">
        <v>102.8326</v>
      </c>
    </row>
    <row r="3211" spans="3:5" x14ac:dyDescent="0.35">
      <c r="C3211">
        <f t="shared" si="51"/>
        <v>2022</v>
      </c>
      <c r="D3211" s="1">
        <v>44887</v>
      </c>
      <c r="E3211">
        <v>106.9701</v>
      </c>
    </row>
    <row r="3212" spans="3:5" x14ac:dyDescent="0.35">
      <c r="C3212">
        <f t="shared" si="51"/>
        <v>2022</v>
      </c>
      <c r="D3212" s="1">
        <v>44888</v>
      </c>
      <c r="E3212">
        <v>107.74469999999999</v>
      </c>
    </row>
    <row r="3213" spans="3:5" x14ac:dyDescent="0.35">
      <c r="C3213">
        <f t="shared" si="51"/>
        <v>2022</v>
      </c>
      <c r="D3213" s="1">
        <v>44890</v>
      </c>
      <c r="E3213">
        <v>108.38200000000001</v>
      </c>
    </row>
    <row r="3214" spans="3:5" x14ac:dyDescent="0.35">
      <c r="C3214">
        <f t="shared" si="51"/>
        <v>2022</v>
      </c>
      <c r="D3214" s="1">
        <v>44893</v>
      </c>
      <c r="E3214">
        <v>110.6344</v>
      </c>
    </row>
    <row r="3215" spans="3:5" x14ac:dyDescent="0.35">
      <c r="C3215">
        <f t="shared" si="51"/>
        <v>2022</v>
      </c>
      <c r="D3215" s="1">
        <v>44894</v>
      </c>
      <c r="E3215">
        <v>113.6071</v>
      </c>
    </row>
    <row r="3216" spans="3:5" x14ac:dyDescent="0.35">
      <c r="C3216">
        <f t="shared" si="51"/>
        <v>2022</v>
      </c>
      <c r="D3216" s="1">
        <v>44895</v>
      </c>
      <c r="E3216">
        <v>114.684</v>
      </c>
    </row>
    <row r="3217" spans="3:5" x14ac:dyDescent="0.35">
      <c r="C3217">
        <f t="shared" si="51"/>
        <v>2022</v>
      </c>
      <c r="D3217" s="1">
        <v>44896</v>
      </c>
      <c r="E3217">
        <v>115.31319999999999</v>
      </c>
    </row>
    <row r="3218" spans="3:5" x14ac:dyDescent="0.35">
      <c r="C3218">
        <f t="shared" si="51"/>
        <v>2022</v>
      </c>
      <c r="D3218" s="1">
        <v>44897</v>
      </c>
      <c r="E3218">
        <v>119.256</v>
      </c>
    </row>
    <row r="3219" spans="3:5" x14ac:dyDescent="0.35">
      <c r="C3219">
        <f t="shared" si="51"/>
        <v>2022</v>
      </c>
      <c r="D3219" s="1">
        <v>44900</v>
      </c>
      <c r="E3219">
        <v>130.92080000000001</v>
      </c>
    </row>
    <row r="3220" spans="3:5" x14ac:dyDescent="0.35">
      <c r="C3220">
        <f t="shared" si="51"/>
        <v>2022</v>
      </c>
      <c r="D3220" s="1">
        <v>44901</v>
      </c>
      <c r="E3220">
        <v>127.9913</v>
      </c>
    </row>
    <row r="3221" spans="3:5" x14ac:dyDescent="0.35">
      <c r="C3221">
        <f t="shared" si="51"/>
        <v>2022</v>
      </c>
      <c r="D3221" s="1">
        <v>44902</v>
      </c>
      <c r="E3221">
        <v>125.9747</v>
      </c>
    </row>
    <row r="3222" spans="3:5" x14ac:dyDescent="0.35">
      <c r="C3222">
        <f t="shared" si="51"/>
        <v>2022</v>
      </c>
      <c r="D3222" s="1">
        <v>44903</v>
      </c>
      <c r="E3222">
        <v>126.4003</v>
      </c>
    </row>
    <row r="3223" spans="3:5" x14ac:dyDescent="0.35">
      <c r="C3223">
        <f t="shared" si="51"/>
        <v>2022</v>
      </c>
      <c r="D3223" s="1">
        <v>44904</v>
      </c>
      <c r="E3223">
        <v>130.8588</v>
      </c>
    </row>
    <row r="3224" spans="3:5" x14ac:dyDescent="0.35">
      <c r="C3224">
        <f t="shared" si="51"/>
        <v>2022</v>
      </c>
      <c r="D3224" s="1">
        <v>44907</v>
      </c>
      <c r="E3224">
        <v>136.7662</v>
      </c>
    </row>
    <row r="3225" spans="3:5" x14ac:dyDescent="0.35">
      <c r="C3225">
        <f t="shared" si="51"/>
        <v>2022</v>
      </c>
      <c r="D3225" s="1">
        <v>44908</v>
      </c>
      <c r="E3225">
        <v>132.62569999999999</v>
      </c>
    </row>
    <row r="3226" spans="3:5" x14ac:dyDescent="0.35">
      <c r="C3226">
        <f t="shared" si="51"/>
        <v>2022</v>
      </c>
      <c r="D3226" s="1">
        <v>44909</v>
      </c>
      <c r="E3226">
        <v>126.5466</v>
      </c>
    </row>
    <row r="3227" spans="3:5" x14ac:dyDescent="0.35">
      <c r="C3227">
        <f t="shared" si="51"/>
        <v>2022</v>
      </c>
      <c r="D3227" s="1">
        <v>44910</v>
      </c>
      <c r="E3227">
        <v>131.77010000000001</v>
      </c>
    </row>
    <row r="3228" spans="3:5" x14ac:dyDescent="0.35">
      <c r="C3228">
        <f t="shared" si="51"/>
        <v>2022</v>
      </c>
      <c r="D3228" s="1">
        <v>44911</v>
      </c>
      <c r="E3228">
        <v>129.73060000000001</v>
      </c>
    </row>
    <row r="3229" spans="3:5" x14ac:dyDescent="0.35">
      <c r="C3229">
        <f t="shared" si="51"/>
        <v>2022</v>
      </c>
      <c r="D3229" s="1">
        <v>44914</v>
      </c>
      <c r="E3229">
        <v>133.8793</v>
      </c>
    </row>
    <row r="3230" spans="3:5" x14ac:dyDescent="0.35">
      <c r="C3230">
        <f t="shared" si="51"/>
        <v>2022</v>
      </c>
      <c r="D3230" s="1">
        <v>44915</v>
      </c>
      <c r="E3230">
        <v>134.03110000000001</v>
      </c>
    </row>
    <row r="3231" spans="3:5" x14ac:dyDescent="0.35">
      <c r="C3231">
        <f t="shared" si="51"/>
        <v>2022</v>
      </c>
      <c r="D3231" s="1">
        <v>44916</v>
      </c>
      <c r="E3231">
        <v>131.33519999999999</v>
      </c>
    </row>
    <row r="3232" spans="3:5" x14ac:dyDescent="0.35">
      <c r="C3232">
        <f t="shared" si="51"/>
        <v>2022</v>
      </c>
      <c r="D3232" s="1">
        <v>44917</v>
      </c>
      <c r="E3232">
        <v>132.5831</v>
      </c>
    </row>
    <row r="3233" spans="3:5" x14ac:dyDescent="0.35">
      <c r="C3233">
        <f t="shared" si="51"/>
        <v>2022</v>
      </c>
      <c r="D3233" s="1">
        <v>44918</v>
      </c>
      <c r="E3233">
        <v>131.54300000000001</v>
      </c>
    </row>
    <row r="3234" spans="3:5" x14ac:dyDescent="0.35">
      <c r="C3234">
        <f t="shared" si="51"/>
        <v>2022</v>
      </c>
      <c r="D3234" s="1">
        <v>44922</v>
      </c>
      <c r="E3234">
        <v>131.45679999999999</v>
      </c>
    </row>
    <row r="3235" spans="3:5" x14ac:dyDescent="0.35">
      <c r="C3235">
        <f t="shared" si="51"/>
        <v>2022</v>
      </c>
      <c r="D3235" s="1">
        <v>44923</v>
      </c>
      <c r="E3235">
        <v>129.19069999999999</v>
      </c>
    </row>
    <row r="3236" spans="3:5" x14ac:dyDescent="0.35">
      <c r="C3236">
        <f t="shared" si="51"/>
        <v>2022</v>
      </c>
      <c r="D3236" s="1">
        <v>44924</v>
      </c>
      <c r="E3236">
        <v>130.12700000000001</v>
      </c>
    </row>
    <row r="3237" spans="3:5" x14ac:dyDescent="0.35">
      <c r="C3237">
        <f t="shared" si="51"/>
        <v>2022</v>
      </c>
      <c r="D3237" s="1">
        <v>44925</v>
      </c>
      <c r="E3237">
        <v>128.76840000000001</v>
      </c>
    </row>
    <row r="3238" spans="3:5" x14ac:dyDescent="0.35">
      <c r="C3238">
        <f t="shared" si="51"/>
        <v>2023</v>
      </c>
      <c r="D3238" s="1">
        <v>44929</v>
      </c>
      <c r="E3238">
        <v>132.95779999999999</v>
      </c>
    </row>
    <row r="3239" spans="3:5" x14ac:dyDescent="0.35">
      <c r="C3239">
        <f t="shared" si="51"/>
        <v>2023</v>
      </c>
      <c r="D3239" s="1">
        <v>44930</v>
      </c>
      <c r="E3239">
        <v>129.67240000000001</v>
      </c>
    </row>
    <row r="3240" spans="3:5" x14ac:dyDescent="0.35">
      <c r="C3240">
        <f t="shared" si="51"/>
        <v>2023</v>
      </c>
      <c r="D3240" s="1">
        <v>44931</v>
      </c>
      <c r="E3240">
        <v>128.29830000000001</v>
      </c>
    </row>
    <row r="3241" spans="3:5" x14ac:dyDescent="0.35">
      <c r="C3241">
        <f t="shared" si="51"/>
        <v>2023</v>
      </c>
      <c r="D3241" s="1">
        <v>44932</v>
      </c>
      <c r="E3241">
        <v>126.69110000000001</v>
      </c>
    </row>
    <row r="3242" spans="3:5" x14ac:dyDescent="0.35">
      <c r="C3242">
        <f t="shared" si="51"/>
        <v>2023</v>
      </c>
      <c r="D3242" s="1">
        <v>44935</v>
      </c>
      <c r="E3242">
        <v>122.4751</v>
      </c>
    </row>
    <row r="3243" spans="3:5" x14ac:dyDescent="0.35">
      <c r="C3243">
        <f t="shared" si="51"/>
        <v>2023</v>
      </c>
      <c r="D3243" s="1">
        <v>44936</v>
      </c>
      <c r="E3243">
        <v>116.2337</v>
      </c>
    </row>
    <row r="3244" spans="3:5" x14ac:dyDescent="0.35">
      <c r="C3244">
        <f t="shared" si="51"/>
        <v>2023</v>
      </c>
      <c r="D3244" s="1">
        <v>44937</v>
      </c>
      <c r="E3244">
        <v>110.85290000000001</v>
      </c>
    </row>
    <row r="3245" spans="3:5" x14ac:dyDescent="0.35">
      <c r="C3245">
        <f t="shared" si="51"/>
        <v>2023</v>
      </c>
      <c r="D3245" s="1">
        <v>44938</v>
      </c>
      <c r="E3245">
        <v>118.6977</v>
      </c>
    </row>
    <row r="3246" spans="3:5" x14ac:dyDescent="0.35">
      <c r="C3246">
        <f t="shared" si="51"/>
        <v>2023</v>
      </c>
      <c r="D3246" s="1">
        <v>44939</v>
      </c>
      <c r="E3246">
        <v>116.298</v>
      </c>
    </row>
    <row r="3247" spans="3:5" x14ac:dyDescent="0.35">
      <c r="C3247">
        <f t="shared" si="51"/>
        <v>2023</v>
      </c>
      <c r="D3247" s="1">
        <v>44943</v>
      </c>
      <c r="E3247">
        <v>128.0077</v>
      </c>
    </row>
    <row r="3248" spans="3:5" x14ac:dyDescent="0.35">
      <c r="C3248">
        <f t="shared" si="51"/>
        <v>2023</v>
      </c>
      <c r="D3248" s="1">
        <v>44944</v>
      </c>
      <c r="E3248">
        <v>129.85740000000001</v>
      </c>
    </row>
    <row r="3249" spans="3:5" x14ac:dyDescent="0.35">
      <c r="C3249">
        <f t="shared" si="51"/>
        <v>2023</v>
      </c>
      <c r="D3249" s="1">
        <v>44945</v>
      </c>
      <c r="E3249">
        <v>133.33369999999999</v>
      </c>
    </row>
    <row r="3250" spans="3:5" x14ac:dyDescent="0.35">
      <c r="C3250">
        <f t="shared" si="51"/>
        <v>2023</v>
      </c>
      <c r="D3250" s="1">
        <v>44946</v>
      </c>
      <c r="E3250">
        <v>131.36539999999999</v>
      </c>
    </row>
    <row r="3251" spans="3:5" x14ac:dyDescent="0.35">
      <c r="C3251">
        <f t="shared" si="51"/>
        <v>2023</v>
      </c>
      <c r="D3251" s="1">
        <v>44949</v>
      </c>
      <c r="E3251">
        <v>129.85319999999999</v>
      </c>
    </row>
    <row r="3252" spans="3:5" x14ac:dyDescent="0.35">
      <c r="C3252">
        <f t="shared" si="51"/>
        <v>2023</v>
      </c>
      <c r="D3252" s="1">
        <v>44950</v>
      </c>
      <c r="E3252">
        <v>128.62010000000001</v>
      </c>
    </row>
    <row r="3253" spans="3:5" x14ac:dyDescent="0.35">
      <c r="C3253">
        <f t="shared" si="51"/>
        <v>2023</v>
      </c>
      <c r="D3253" s="1">
        <v>44951</v>
      </c>
      <c r="E3253">
        <v>129.40860000000001</v>
      </c>
    </row>
    <row r="3254" spans="3:5" x14ac:dyDescent="0.35">
      <c r="C3254">
        <f t="shared" si="51"/>
        <v>2023</v>
      </c>
      <c r="D3254" s="1">
        <v>44952</v>
      </c>
      <c r="E3254">
        <v>128.7876</v>
      </c>
    </row>
    <row r="3255" spans="3:5" x14ac:dyDescent="0.35">
      <c r="C3255">
        <f t="shared" si="51"/>
        <v>2023</v>
      </c>
      <c r="D3255" s="1">
        <v>44953</v>
      </c>
      <c r="E3255">
        <v>128.43360000000001</v>
      </c>
    </row>
    <row r="3256" spans="3:5" x14ac:dyDescent="0.35">
      <c r="C3256">
        <f t="shared" si="51"/>
        <v>2023</v>
      </c>
      <c r="D3256" s="1">
        <v>44956</v>
      </c>
      <c r="E3256">
        <v>124.5936</v>
      </c>
    </row>
    <row r="3257" spans="3:5" x14ac:dyDescent="0.35">
      <c r="C3257">
        <f t="shared" si="51"/>
        <v>2023</v>
      </c>
      <c r="D3257" s="1">
        <v>44957</v>
      </c>
      <c r="E3257">
        <v>117.93429999999999</v>
      </c>
    </row>
    <row r="3258" spans="3:5" x14ac:dyDescent="0.35">
      <c r="C3258">
        <f t="shared" si="51"/>
        <v>2023</v>
      </c>
      <c r="D3258" s="1">
        <v>44958</v>
      </c>
      <c r="E3258">
        <v>112.2289</v>
      </c>
    </row>
    <row r="3259" spans="3:5" x14ac:dyDescent="0.35">
      <c r="C3259">
        <f t="shared" si="51"/>
        <v>2023</v>
      </c>
      <c r="D3259" s="1">
        <v>44959</v>
      </c>
      <c r="E3259">
        <v>116.16119999999999</v>
      </c>
    </row>
    <row r="3260" spans="3:5" x14ac:dyDescent="0.35">
      <c r="C3260">
        <f t="shared" si="51"/>
        <v>2023</v>
      </c>
      <c r="D3260" s="1">
        <v>44960</v>
      </c>
      <c r="E3260">
        <v>126.6965</v>
      </c>
    </row>
    <row r="3261" spans="3:5" x14ac:dyDescent="0.35">
      <c r="C3261">
        <f t="shared" si="51"/>
        <v>2023</v>
      </c>
      <c r="D3261" s="1">
        <v>44963</v>
      </c>
      <c r="E3261">
        <v>123.8587</v>
      </c>
    </row>
    <row r="3262" spans="3:5" x14ac:dyDescent="0.35">
      <c r="C3262">
        <f t="shared" si="51"/>
        <v>2023</v>
      </c>
      <c r="D3262" s="1">
        <v>44964</v>
      </c>
      <c r="E3262">
        <v>112.26139999999999</v>
      </c>
    </row>
    <row r="3263" spans="3:5" x14ac:dyDescent="0.35">
      <c r="C3263">
        <f t="shared" si="51"/>
        <v>2023</v>
      </c>
      <c r="D3263" s="1">
        <v>44965</v>
      </c>
      <c r="E3263">
        <v>101.1726</v>
      </c>
    </row>
    <row r="3264" spans="3:5" x14ac:dyDescent="0.35">
      <c r="C3264">
        <f t="shared" si="51"/>
        <v>2023</v>
      </c>
      <c r="D3264" s="1">
        <v>44972</v>
      </c>
      <c r="E3264">
        <v>125.895</v>
      </c>
    </row>
    <row r="3265" spans="3:5" x14ac:dyDescent="0.35">
      <c r="C3265">
        <f t="shared" si="51"/>
        <v>2023</v>
      </c>
      <c r="D3265" s="1">
        <v>44973</v>
      </c>
      <c r="E3265">
        <v>125.40860000000001</v>
      </c>
    </row>
    <row r="3266" spans="3:5" x14ac:dyDescent="0.35">
      <c r="C3266">
        <f t="shared" si="51"/>
        <v>2023</v>
      </c>
      <c r="D3266" s="1">
        <v>44974</v>
      </c>
      <c r="E3266">
        <v>126.6534</v>
      </c>
    </row>
    <row r="3267" spans="3:5" x14ac:dyDescent="0.35">
      <c r="C3267">
        <f t="shared" ref="C3267:C3330" si="52">YEAR(D3267)</f>
        <v>2023</v>
      </c>
      <c r="D3267" s="1">
        <v>44978</v>
      </c>
      <c r="E3267">
        <v>123.6879</v>
      </c>
    </row>
    <row r="3268" spans="3:5" x14ac:dyDescent="0.35">
      <c r="C3268">
        <f t="shared" si="52"/>
        <v>2023</v>
      </c>
      <c r="D3268" s="1">
        <v>44979</v>
      </c>
      <c r="E3268">
        <v>122.7706</v>
      </c>
    </row>
    <row r="3269" spans="3:5" x14ac:dyDescent="0.35">
      <c r="C3269">
        <f t="shared" si="52"/>
        <v>2023</v>
      </c>
      <c r="D3269" s="1">
        <v>44980</v>
      </c>
      <c r="E3269">
        <v>123.8154</v>
      </c>
    </row>
    <row r="3270" spans="3:5" x14ac:dyDescent="0.35">
      <c r="C3270">
        <f t="shared" si="52"/>
        <v>2023</v>
      </c>
      <c r="D3270" s="1">
        <v>44981</v>
      </c>
      <c r="E3270">
        <v>123.0668</v>
      </c>
    </row>
    <row r="3271" spans="3:5" x14ac:dyDescent="0.35">
      <c r="C3271">
        <f t="shared" si="52"/>
        <v>2023</v>
      </c>
      <c r="D3271" s="1">
        <v>44984</v>
      </c>
      <c r="E3271">
        <v>130.0035</v>
      </c>
    </row>
    <row r="3272" spans="3:5" x14ac:dyDescent="0.35">
      <c r="C3272">
        <f t="shared" si="52"/>
        <v>2023</v>
      </c>
      <c r="D3272" s="1">
        <v>44985</v>
      </c>
      <c r="E3272">
        <v>129.3228</v>
      </c>
    </row>
    <row r="3273" spans="3:5" x14ac:dyDescent="0.35">
      <c r="C3273">
        <f t="shared" si="52"/>
        <v>2023</v>
      </c>
      <c r="D3273" s="1">
        <v>44986</v>
      </c>
      <c r="E3273">
        <v>132.2116</v>
      </c>
    </row>
    <row r="3274" spans="3:5" x14ac:dyDescent="0.35">
      <c r="C3274">
        <f t="shared" si="52"/>
        <v>2023</v>
      </c>
      <c r="D3274" s="1">
        <v>44987</v>
      </c>
      <c r="E3274">
        <v>127.5665</v>
      </c>
    </row>
    <row r="3275" spans="3:5" x14ac:dyDescent="0.35">
      <c r="C3275">
        <f t="shared" si="52"/>
        <v>2023</v>
      </c>
      <c r="D3275" s="1">
        <v>44988</v>
      </c>
      <c r="E3275">
        <v>123.6292</v>
      </c>
    </row>
    <row r="3276" spans="3:5" x14ac:dyDescent="0.35">
      <c r="C3276">
        <f t="shared" si="52"/>
        <v>2023</v>
      </c>
      <c r="D3276" s="1">
        <v>44991</v>
      </c>
      <c r="E3276">
        <v>126.9059</v>
      </c>
    </row>
    <row r="3277" spans="3:5" x14ac:dyDescent="0.35">
      <c r="C3277">
        <f t="shared" si="52"/>
        <v>2023</v>
      </c>
      <c r="D3277" s="1">
        <v>44992</v>
      </c>
      <c r="E3277">
        <v>128.1285</v>
      </c>
    </row>
    <row r="3278" spans="3:5" x14ac:dyDescent="0.35">
      <c r="C3278">
        <f t="shared" si="52"/>
        <v>2023</v>
      </c>
      <c r="D3278" s="1">
        <v>44993</v>
      </c>
      <c r="E3278">
        <v>127.0703</v>
      </c>
    </row>
    <row r="3279" spans="3:5" x14ac:dyDescent="0.35">
      <c r="C3279">
        <f t="shared" si="52"/>
        <v>2023</v>
      </c>
      <c r="D3279" s="1">
        <v>44994</v>
      </c>
      <c r="E3279">
        <v>126.1253</v>
      </c>
    </row>
    <row r="3280" spans="3:5" x14ac:dyDescent="0.35">
      <c r="C3280">
        <f t="shared" si="52"/>
        <v>2023</v>
      </c>
      <c r="D3280" s="1">
        <v>44995</v>
      </c>
      <c r="E3280">
        <v>122.2512</v>
      </c>
    </row>
    <row r="3281" spans="3:5" x14ac:dyDescent="0.35">
      <c r="C3281">
        <f t="shared" si="52"/>
        <v>2023</v>
      </c>
      <c r="D3281" s="1">
        <v>44998</v>
      </c>
      <c r="E3281">
        <v>116.52500000000001</v>
      </c>
    </row>
    <row r="3282" spans="3:5" x14ac:dyDescent="0.35">
      <c r="C3282">
        <f t="shared" si="52"/>
        <v>2023</v>
      </c>
      <c r="D3282" s="1">
        <v>44999</v>
      </c>
      <c r="E3282">
        <v>113.79170000000001</v>
      </c>
    </row>
    <row r="3283" spans="3:5" x14ac:dyDescent="0.35">
      <c r="C3283">
        <f t="shared" si="52"/>
        <v>2023</v>
      </c>
      <c r="D3283" s="1">
        <v>45000</v>
      </c>
      <c r="E3283">
        <v>111.3725</v>
      </c>
    </row>
    <row r="3284" spans="3:5" x14ac:dyDescent="0.35">
      <c r="C3284">
        <f t="shared" si="52"/>
        <v>2023</v>
      </c>
      <c r="D3284" s="1">
        <v>45001</v>
      </c>
      <c r="E3284">
        <v>112.852</v>
      </c>
    </row>
    <row r="3285" spans="3:5" x14ac:dyDescent="0.35">
      <c r="C3285">
        <f t="shared" si="52"/>
        <v>2023</v>
      </c>
      <c r="D3285" s="1">
        <v>45002</v>
      </c>
      <c r="E3285">
        <v>105.1183</v>
      </c>
    </row>
    <row r="3286" spans="3:5" x14ac:dyDescent="0.35">
      <c r="C3286">
        <f t="shared" si="52"/>
        <v>2023</v>
      </c>
      <c r="D3286" s="1">
        <v>45005</v>
      </c>
      <c r="E3286">
        <v>104.256</v>
      </c>
    </row>
    <row r="3287" spans="3:5" x14ac:dyDescent="0.35">
      <c r="C3287">
        <f t="shared" si="52"/>
        <v>2023</v>
      </c>
      <c r="D3287" s="1">
        <v>45006</v>
      </c>
      <c r="E3287">
        <v>104.6097</v>
      </c>
    </row>
    <row r="3288" spans="3:5" x14ac:dyDescent="0.35">
      <c r="C3288">
        <f t="shared" si="52"/>
        <v>2023</v>
      </c>
      <c r="D3288" s="1">
        <v>45007</v>
      </c>
      <c r="E3288">
        <v>107.361</v>
      </c>
    </row>
    <row r="3289" spans="3:5" x14ac:dyDescent="0.35">
      <c r="C3289">
        <f t="shared" si="52"/>
        <v>2023</v>
      </c>
      <c r="D3289" s="1">
        <v>45008</v>
      </c>
      <c r="E3289">
        <v>106</v>
      </c>
    </row>
    <row r="3290" spans="3:5" x14ac:dyDescent="0.35">
      <c r="C3290">
        <f t="shared" si="52"/>
        <v>2023</v>
      </c>
      <c r="D3290" s="1">
        <v>45009</v>
      </c>
      <c r="E3290">
        <v>105.72790000000001</v>
      </c>
    </row>
    <row r="3291" spans="3:5" x14ac:dyDescent="0.35">
      <c r="C3291">
        <f t="shared" si="52"/>
        <v>2023</v>
      </c>
      <c r="D3291" s="1">
        <v>45012</v>
      </c>
      <c r="E3291">
        <v>104.6185</v>
      </c>
    </row>
    <row r="3292" spans="3:5" x14ac:dyDescent="0.35">
      <c r="C3292">
        <f t="shared" si="52"/>
        <v>2023</v>
      </c>
      <c r="D3292" s="1">
        <v>45013</v>
      </c>
      <c r="E3292">
        <v>98.617500000000007</v>
      </c>
    </row>
    <row r="3293" spans="3:5" x14ac:dyDescent="0.35">
      <c r="C3293">
        <f t="shared" si="52"/>
        <v>2023</v>
      </c>
      <c r="D3293" s="1">
        <v>45014</v>
      </c>
      <c r="E3293">
        <v>103.0903</v>
      </c>
    </row>
    <row r="3294" spans="3:5" x14ac:dyDescent="0.35">
      <c r="C3294">
        <f t="shared" si="52"/>
        <v>2023</v>
      </c>
      <c r="D3294" s="1">
        <v>45015</v>
      </c>
      <c r="E3294">
        <v>99.996300000000005</v>
      </c>
    </row>
    <row r="3295" spans="3:5" x14ac:dyDescent="0.35">
      <c r="C3295">
        <f t="shared" si="52"/>
        <v>2023</v>
      </c>
      <c r="D3295" s="1">
        <v>45016</v>
      </c>
      <c r="E3295">
        <v>97.618200000000002</v>
      </c>
    </row>
    <row r="3296" spans="3:5" x14ac:dyDescent="0.35">
      <c r="C3296">
        <f t="shared" si="52"/>
        <v>2023</v>
      </c>
      <c r="D3296" s="1">
        <v>45019</v>
      </c>
      <c r="E3296">
        <v>98.674000000000007</v>
      </c>
    </row>
    <row r="3297" spans="3:5" x14ac:dyDescent="0.35">
      <c r="C3297">
        <f t="shared" si="52"/>
        <v>2023</v>
      </c>
      <c r="D3297" s="1">
        <v>45020</v>
      </c>
      <c r="E3297">
        <v>102.5946</v>
      </c>
    </row>
    <row r="3298" spans="3:5" x14ac:dyDescent="0.35">
      <c r="C3298">
        <f t="shared" si="52"/>
        <v>2023</v>
      </c>
      <c r="D3298" s="1">
        <v>45021</v>
      </c>
      <c r="E3298">
        <v>100.35290000000001</v>
      </c>
    </row>
    <row r="3299" spans="3:5" x14ac:dyDescent="0.35">
      <c r="C3299">
        <f t="shared" si="52"/>
        <v>2023</v>
      </c>
      <c r="D3299" s="1">
        <v>45022</v>
      </c>
      <c r="E3299">
        <v>102.1544</v>
      </c>
    </row>
    <row r="3300" spans="3:5" x14ac:dyDescent="0.35">
      <c r="C3300">
        <f t="shared" si="52"/>
        <v>2023</v>
      </c>
      <c r="D3300" s="1">
        <v>45026</v>
      </c>
      <c r="E3300">
        <v>108.4693</v>
      </c>
    </row>
    <row r="3301" spans="3:5" x14ac:dyDescent="0.35">
      <c r="C3301">
        <f t="shared" si="52"/>
        <v>2023</v>
      </c>
      <c r="D3301" s="1">
        <v>45027</v>
      </c>
      <c r="E3301">
        <v>107.1061</v>
      </c>
    </row>
    <row r="3302" spans="3:5" x14ac:dyDescent="0.35">
      <c r="C3302">
        <f t="shared" si="52"/>
        <v>2023</v>
      </c>
      <c r="D3302" s="1">
        <v>45028</v>
      </c>
      <c r="E3302">
        <v>106.9594</v>
      </c>
    </row>
    <row r="3303" spans="3:5" x14ac:dyDescent="0.35">
      <c r="C3303">
        <f t="shared" si="52"/>
        <v>2023</v>
      </c>
      <c r="D3303" s="1">
        <v>45029</v>
      </c>
      <c r="E3303">
        <v>108.1896</v>
      </c>
    </row>
    <row r="3304" spans="3:5" x14ac:dyDescent="0.35">
      <c r="C3304">
        <f t="shared" si="52"/>
        <v>2023</v>
      </c>
      <c r="D3304" s="1">
        <v>45030</v>
      </c>
      <c r="E3304">
        <v>107.9828</v>
      </c>
    </row>
    <row r="3305" spans="3:5" x14ac:dyDescent="0.35">
      <c r="C3305">
        <f t="shared" si="52"/>
        <v>2023</v>
      </c>
      <c r="D3305" s="1">
        <v>45033</v>
      </c>
      <c r="E3305">
        <v>109.2206</v>
      </c>
    </row>
    <row r="3306" spans="3:5" x14ac:dyDescent="0.35">
      <c r="C3306">
        <f t="shared" si="52"/>
        <v>2023</v>
      </c>
      <c r="D3306" s="1">
        <v>45034</v>
      </c>
      <c r="E3306">
        <v>108.8629</v>
      </c>
    </row>
    <row r="3307" spans="3:5" x14ac:dyDescent="0.35">
      <c r="C3307">
        <f t="shared" si="52"/>
        <v>2023</v>
      </c>
      <c r="D3307" s="1">
        <v>45035</v>
      </c>
      <c r="E3307">
        <v>108.24250000000001</v>
      </c>
    </row>
    <row r="3308" spans="3:5" x14ac:dyDescent="0.35">
      <c r="C3308">
        <f t="shared" si="52"/>
        <v>2023</v>
      </c>
      <c r="D3308" s="1">
        <v>45036</v>
      </c>
      <c r="E3308">
        <v>107.0226</v>
      </c>
    </row>
    <row r="3309" spans="3:5" x14ac:dyDescent="0.35">
      <c r="C3309">
        <f t="shared" si="52"/>
        <v>2023</v>
      </c>
      <c r="D3309" s="1">
        <v>45040</v>
      </c>
      <c r="E3309">
        <v>109.8325</v>
      </c>
    </row>
    <row r="3310" spans="3:5" x14ac:dyDescent="0.35">
      <c r="C3310">
        <f t="shared" si="52"/>
        <v>2023</v>
      </c>
      <c r="D3310" s="1">
        <v>45041</v>
      </c>
      <c r="E3310">
        <v>107.4864</v>
      </c>
    </row>
    <row r="3311" spans="3:5" x14ac:dyDescent="0.35">
      <c r="C3311">
        <f t="shared" si="52"/>
        <v>2023</v>
      </c>
      <c r="D3311" s="1">
        <v>45042</v>
      </c>
      <c r="E3311">
        <v>104.8668</v>
      </c>
    </row>
    <row r="3312" spans="3:5" x14ac:dyDescent="0.35">
      <c r="C3312">
        <f t="shared" si="52"/>
        <v>2023</v>
      </c>
      <c r="D3312" s="1">
        <v>45043</v>
      </c>
      <c r="E3312">
        <v>105.26090000000001</v>
      </c>
    </row>
    <row r="3313" spans="3:5" x14ac:dyDescent="0.35">
      <c r="C3313">
        <f t="shared" si="52"/>
        <v>2023</v>
      </c>
      <c r="D3313" s="1">
        <v>45044</v>
      </c>
      <c r="E3313">
        <v>102.77079999999999</v>
      </c>
    </row>
    <row r="3314" spans="3:5" x14ac:dyDescent="0.35">
      <c r="C3314">
        <f t="shared" si="52"/>
        <v>2023</v>
      </c>
      <c r="D3314" s="1">
        <v>45048</v>
      </c>
      <c r="E3314">
        <v>100.2589</v>
      </c>
    </row>
    <row r="3315" spans="3:5" x14ac:dyDescent="0.35">
      <c r="C3315">
        <f t="shared" si="52"/>
        <v>2023</v>
      </c>
      <c r="D3315" s="1">
        <v>45049</v>
      </c>
      <c r="E3315">
        <v>101.7256</v>
      </c>
    </row>
    <row r="3316" spans="3:5" x14ac:dyDescent="0.35">
      <c r="C3316">
        <f t="shared" si="52"/>
        <v>2023</v>
      </c>
      <c r="D3316" s="1">
        <v>45050</v>
      </c>
      <c r="E3316">
        <v>99.585300000000004</v>
      </c>
    </row>
    <row r="3317" spans="3:5" x14ac:dyDescent="0.35">
      <c r="C3317">
        <f t="shared" si="52"/>
        <v>2023</v>
      </c>
      <c r="D3317" s="1">
        <v>45051</v>
      </c>
      <c r="E3317">
        <v>99.291399999999996</v>
      </c>
    </row>
    <row r="3318" spans="3:5" x14ac:dyDescent="0.35">
      <c r="C3318">
        <f t="shared" si="52"/>
        <v>2023</v>
      </c>
      <c r="D3318" s="1">
        <v>45054</v>
      </c>
      <c r="E3318">
        <v>104.5421</v>
      </c>
    </row>
    <row r="3319" spans="3:5" x14ac:dyDescent="0.35">
      <c r="C3319">
        <f t="shared" si="52"/>
        <v>2023</v>
      </c>
      <c r="D3319" s="1">
        <v>45055</v>
      </c>
      <c r="E3319">
        <v>100.8853</v>
      </c>
    </row>
    <row r="3320" spans="3:5" x14ac:dyDescent="0.35">
      <c r="C3320">
        <f t="shared" si="52"/>
        <v>2023</v>
      </c>
      <c r="D3320" s="1">
        <v>45056</v>
      </c>
      <c r="E3320">
        <v>99.505200000000002</v>
      </c>
    </row>
    <row r="3321" spans="3:5" x14ac:dyDescent="0.35">
      <c r="C3321">
        <f t="shared" si="52"/>
        <v>2023</v>
      </c>
      <c r="D3321" s="1">
        <v>45057</v>
      </c>
      <c r="E3321">
        <v>107.6904</v>
      </c>
    </row>
    <row r="3322" spans="3:5" x14ac:dyDescent="0.35">
      <c r="C3322">
        <f t="shared" si="52"/>
        <v>2023</v>
      </c>
      <c r="D3322" s="1">
        <v>45058</v>
      </c>
      <c r="E3322">
        <v>104.63760000000001</v>
      </c>
    </row>
    <row r="3323" spans="3:5" x14ac:dyDescent="0.35">
      <c r="C3323">
        <f t="shared" si="52"/>
        <v>2023</v>
      </c>
      <c r="D3323" s="1">
        <v>45061</v>
      </c>
      <c r="E3323">
        <v>97.686000000000007</v>
      </c>
    </row>
    <row r="3324" spans="3:5" x14ac:dyDescent="0.35">
      <c r="C3324">
        <f t="shared" si="52"/>
        <v>2023</v>
      </c>
      <c r="D3324" s="1">
        <v>45062</v>
      </c>
      <c r="E3324">
        <v>108.0206</v>
      </c>
    </row>
    <row r="3325" spans="3:5" x14ac:dyDescent="0.35">
      <c r="C3325">
        <f t="shared" si="52"/>
        <v>2023</v>
      </c>
      <c r="D3325" s="1">
        <v>45063</v>
      </c>
      <c r="E3325">
        <v>109.11199999999999</v>
      </c>
    </row>
    <row r="3326" spans="3:5" x14ac:dyDescent="0.35">
      <c r="C3326">
        <f t="shared" si="52"/>
        <v>2023</v>
      </c>
      <c r="D3326" s="1">
        <v>45064</v>
      </c>
      <c r="E3326">
        <v>106.657</v>
      </c>
    </row>
    <row r="3327" spans="3:5" x14ac:dyDescent="0.35">
      <c r="C3327">
        <f t="shared" si="52"/>
        <v>2023</v>
      </c>
      <c r="D3327" s="1">
        <v>45068</v>
      </c>
      <c r="E3327">
        <v>107.699</v>
      </c>
    </row>
    <row r="3328" spans="3:5" x14ac:dyDescent="0.35">
      <c r="C3328">
        <f t="shared" si="52"/>
        <v>2023</v>
      </c>
      <c r="D3328" s="1">
        <v>45069</v>
      </c>
      <c r="E3328">
        <v>106.80029999999999</v>
      </c>
    </row>
    <row r="3329" spans="3:5" x14ac:dyDescent="0.35">
      <c r="C3329">
        <f t="shared" si="52"/>
        <v>2023</v>
      </c>
      <c r="D3329" s="1">
        <v>45070</v>
      </c>
      <c r="E3329">
        <v>105.9415</v>
      </c>
    </row>
    <row r="3330" spans="3:5" x14ac:dyDescent="0.35">
      <c r="C3330">
        <f t="shared" si="52"/>
        <v>2023</v>
      </c>
      <c r="D3330" s="1">
        <v>45071</v>
      </c>
      <c r="E3330">
        <v>107.8288</v>
      </c>
    </row>
    <row r="3331" spans="3:5" x14ac:dyDescent="0.35">
      <c r="C3331">
        <f t="shared" ref="C3331:C3394" si="53">YEAR(D3331)</f>
        <v>2023</v>
      </c>
      <c r="D3331" s="1">
        <v>45072</v>
      </c>
      <c r="E3331">
        <v>113.9782</v>
      </c>
    </row>
    <row r="3332" spans="3:5" x14ac:dyDescent="0.35">
      <c r="C3332">
        <f t="shared" si="53"/>
        <v>2023</v>
      </c>
      <c r="D3332" s="1">
        <v>45076</v>
      </c>
      <c r="E3332">
        <v>116.0201</v>
      </c>
    </row>
    <row r="3333" spans="3:5" x14ac:dyDescent="0.35">
      <c r="C3333">
        <f t="shared" si="53"/>
        <v>2023</v>
      </c>
      <c r="D3333" s="1">
        <v>45077</v>
      </c>
      <c r="E3333">
        <v>110.4936</v>
      </c>
    </row>
    <row r="3334" spans="3:5" x14ac:dyDescent="0.35">
      <c r="C3334">
        <f t="shared" si="53"/>
        <v>2023</v>
      </c>
      <c r="D3334" s="1">
        <v>45078</v>
      </c>
      <c r="E3334">
        <v>111.2042</v>
      </c>
    </row>
    <row r="3335" spans="3:5" x14ac:dyDescent="0.35">
      <c r="C3335">
        <f t="shared" si="53"/>
        <v>2023</v>
      </c>
      <c r="D3335" s="1">
        <v>45079</v>
      </c>
      <c r="E3335">
        <v>114.4665</v>
      </c>
    </row>
    <row r="3336" spans="3:5" x14ac:dyDescent="0.35">
      <c r="C3336">
        <f t="shared" si="53"/>
        <v>2023</v>
      </c>
      <c r="D3336" s="1">
        <v>45082</v>
      </c>
      <c r="E3336">
        <v>123.96120000000001</v>
      </c>
    </row>
    <row r="3337" spans="3:5" x14ac:dyDescent="0.35">
      <c r="C3337">
        <f t="shared" si="53"/>
        <v>2023</v>
      </c>
      <c r="D3337" s="1">
        <v>45083</v>
      </c>
      <c r="E3337">
        <v>123.05929999999999</v>
      </c>
    </row>
    <row r="3338" spans="3:5" x14ac:dyDescent="0.35">
      <c r="C3338">
        <f t="shared" si="53"/>
        <v>2023</v>
      </c>
      <c r="D3338" s="1">
        <v>45084</v>
      </c>
      <c r="E3338">
        <v>125.9119</v>
      </c>
    </row>
    <row r="3339" spans="3:5" x14ac:dyDescent="0.35">
      <c r="C3339">
        <f t="shared" si="53"/>
        <v>2023</v>
      </c>
      <c r="D3339" s="1">
        <v>45085</v>
      </c>
      <c r="E3339">
        <v>116.6812</v>
      </c>
    </row>
    <row r="3340" spans="3:5" x14ac:dyDescent="0.35">
      <c r="C3340">
        <f t="shared" si="53"/>
        <v>2023</v>
      </c>
      <c r="D3340" s="1">
        <v>45086</v>
      </c>
      <c r="E3340">
        <v>119.3301</v>
      </c>
    </row>
    <row r="3341" spans="3:5" x14ac:dyDescent="0.35">
      <c r="C3341">
        <f t="shared" si="53"/>
        <v>2023</v>
      </c>
      <c r="D3341" s="1">
        <v>45089</v>
      </c>
      <c r="E3341">
        <v>123.3107</v>
      </c>
    </row>
    <row r="3342" spans="3:5" x14ac:dyDescent="0.35">
      <c r="C3342">
        <f t="shared" si="53"/>
        <v>2023</v>
      </c>
      <c r="D3342" s="1">
        <v>45090</v>
      </c>
      <c r="E3342">
        <v>120.19710000000001</v>
      </c>
    </row>
    <row r="3343" spans="3:5" x14ac:dyDescent="0.35">
      <c r="C3343">
        <f t="shared" si="53"/>
        <v>2023</v>
      </c>
      <c r="D3343" s="1">
        <v>45091</v>
      </c>
      <c r="E3343">
        <v>123.0806</v>
      </c>
    </row>
    <row r="3344" spans="3:5" x14ac:dyDescent="0.35">
      <c r="C3344">
        <f t="shared" si="53"/>
        <v>2023</v>
      </c>
      <c r="D3344" s="1">
        <v>45092</v>
      </c>
      <c r="E3344">
        <v>123.35590000000001</v>
      </c>
    </row>
    <row r="3345" spans="3:5" x14ac:dyDescent="0.35">
      <c r="C3345">
        <f t="shared" si="53"/>
        <v>2023</v>
      </c>
      <c r="D3345" s="1">
        <v>45093</v>
      </c>
      <c r="E3345">
        <v>121.3445</v>
      </c>
    </row>
    <row r="3346" spans="3:5" x14ac:dyDescent="0.35">
      <c r="C3346">
        <f t="shared" si="53"/>
        <v>2023</v>
      </c>
      <c r="D3346" s="1">
        <v>45097</v>
      </c>
      <c r="E3346">
        <v>116.70440000000001</v>
      </c>
    </row>
    <row r="3347" spans="3:5" x14ac:dyDescent="0.35">
      <c r="C3347">
        <f t="shared" si="53"/>
        <v>2023</v>
      </c>
      <c r="D3347" s="1">
        <v>45098</v>
      </c>
      <c r="E3347">
        <v>115.61790000000001</v>
      </c>
    </row>
    <row r="3348" spans="3:5" x14ac:dyDescent="0.35">
      <c r="C3348">
        <f t="shared" si="53"/>
        <v>2023</v>
      </c>
      <c r="D3348" s="1">
        <v>45099</v>
      </c>
      <c r="E3348">
        <v>124.474</v>
      </c>
    </row>
    <row r="3349" spans="3:5" x14ac:dyDescent="0.35">
      <c r="C3349">
        <f t="shared" si="53"/>
        <v>2023</v>
      </c>
      <c r="D3349" s="1">
        <v>45100</v>
      </c>
      <c r="E3349">
        <v>120.2927</v>
      </c>
    </row>
    <row r="3350" spans="3:5" x14ac:dyDescent="0.35">
      <c r="C3350">
        <f t="shared" si="53"/>
        <v>2023</v>
      </c>
      <c r="D3350" s="1">
        <v>45103</v>
      </c>
      <c r="E3350">
        <v>121.9774</v>
      </c>
    </row>
    <row r="3351" spans="3:5" x14ac:dyDescent="0.35">
      <c r="C3351">
        <f t="shared" si="53"/>
        <v>2023</v>
      </c>
      <c r="D3351" s="1">
        <v>45104</v>
      </c>
      <c r="E3351">
        <v>121.2522</v>
      </c>
    </row>
    <row r="3352" spans="3:5" x14ac:dyDescent="0.35">
      <c r="C3352">
        <f t="shared" si="53"/>
        <v>2023</v>
      </c>
      <c r="D3352" s="1">
        <v>45110</v>
      </c>
      <c r="E3352">
        <v>134.01679999999999</v>
      </c>
    </row>
    <row r="3353" spans="3:5" x14ac:dyDescent="0.35">
      <c r="C3353">
        <f t="shared" si="53"/>
        <v>2023</v>
      </c>
      <c r="D3353" s="1">
        <v>45112</v>
      </c>
      <c r="E3353">
        <v>135.03579999999999</v>
      </c>
    </row>
    <row r="3354" spans="3:5" x14ac:dyDescent="0.35">
      <c r="C3354">
        <f t="shared" si="53"/>
        <v>2023</v>
      </c>
      <c r="D3354" s="1">
        <v>45113</v>
      </c>
      <c r="E3354">
        <v>135.3098</v>
      </c>
    </row>
    <row r="3355" spans="3:5" x14ac:dyDescent="0.35">
      <c r="C3355">
        <f t="shared" si="53"/>
        <v>2023</v>
      </c>
      <c r="D3355" s="1">
        <v>45114</v>
      </c>
      <c r="E3355">
        <v>132.98849999999999</v>
      </c>
    </row>
    <row r="3356" spans="3:5" x14ac:dyDescent="0.35">
      <c r="C3356">
        <f t="shared" si="53"/>
        <v>2023</v>
      </c>
      <c r="D3356" s="1">
        <v>45117</v>
      </c>
      <c r="E3356">
        <v>132.65979999999999</v>
      </c>
    </row>
    <row r="3357" spans="3:5" x14ac:dyDescent="0.35">
      <c r="C3357">
        <f t="shared" si="53"/>
        <v>2023</v>
      </c>
      <c r="D3357" s="1">
        <v>45118</v>
      </c>
      <c r="E3357">
        <v>133.17089999999999</v>
      </c>
    </row>
    <row r="3358" spans="3:5" x14ac:dyDescent="0.35">
      <c r="C3358">
        <f t="shared" si="53"/>
        <v>2023</v>
      </c>
      <c r="D3358" s="1">
        <v>45119</v>
      </c>
      <c r="E3358">
        <v>128.4298</v>
      </c>
    </row>
    <row r="3359" spans="3:5" x14ac:dyDescent="0.35">
      <c r="C3359">
        <f t="shared" si="53"/>
        <v>2023</v>
      </c>
      <c r="D3359" s="1">
        <v>45120</v>
      </c>
      <c r="E3359">
        <v>126.9462</v>
      </c>
    </row>
    <row r="3360" spans="3:5" x14ac:dyDescent="0.35">
      <c r="C3360">
        <f t="shared" si="53"/>
        <v>2023</v>
      </c>
      <c r="D3360" s="1">
        <v>45121</v>
      </c>
      <c r="E3360">
        <v>130.01730000000001</v>
      </c>
    </row>
    <row r="3361" spans="3:5" x14ac:dyDescent="0.35">
      <c r="C3361">
        <f t="shared" si="53"/>
        <v>2023</v>
      </c>
      <c r="D3361" s="1">
        <v>45124</v>
      </c>
      <c r="E3361">
        <v>132.78790000000001</v>
      </c>
    </row>
    <row r="3362" spans="3:5" x14ac:dyDescent="0.35">
      <c r="C3362">
        <f t="shared" si="53"/>
        <v>2023</v>
      </c>
      <c r="D3362" s="1">
        <v>45125</v>
      </c>
      <c r="E3362">
        <v>127.6032</v>
      </c>
    </row>
    <row r="3363" spans="3:5" x14ac:dyDescent="0.35">
      <c r="C3363">
        <f t="shared" si="53"/>
        <v>2023</v>
      </c>
      <c r="D3363" s="1">
        <v>45126</v>
      </c>
      <c r="E3363">
        <v>130.50919999999999</v>
      </c>
    </row>
    <row r="3364" spans="3:5" x14ac:dyDescent="0.35">
      <c r="C3364">
        <f t="shared" si="53"/>
        <v>2023</v>
      </c>
      <c r="D3364" s="1">
        <v>45127</v>
      </c>
      <c r="E3364">
        <v>132.68430000000001</v>
      </c>
    </row>
    <row r="3365" spans="3:5" x14ac:dyDescent="0.35">
      <c r="C3365">
        <f t="shared" si="53"/>
        <v>2023</v>
      </c>
      <c r="D3365" s="1">
        <v>45128</v>
      </c>
      <c r="E3365">
        <v>131.86240000000001</v>
      </c>
    </row>
    <row r="3366" spans="3:5" x14ac:dyDescent="0.35">
      <c r="C3366">
        <f t="shared" si="53"/>
        <v>2023</v>
      </c>
      <c r="D3366" s="1">
        <v>45131</v>
      </c>
      <c r="E3366">
        <v>130.57419999999999</v>
      </c>
    </row>
    <row r="3367" spans="3:5" x14ac:dyDescent="0.35">
      <c r="C3367">
        <f t="shared" si="53"/>
        <v>2023</v>
      </c>
      <c r="D3367" s="1">
        <v>45132</v>
      </c>
      <c r="E3367">
        <v>127.7252</v>
      </c>
    </row>
    <row r="3368" spans="3:5" x14ac:dyDescent="0.35">
      <c r="C3368">
        <f t="shared" si="53"/>
        <v>2023</v>
      </c>
      <c r="D3368" s="1">
        <v>45133</v>
      </c>
      <c r="E3368">
        <v>131.49100000000001</v>
      </c>
    </row>
    <row r="3369" spans="3:5" x14ac:dyDescent="0.35">
      <c r="C3369">
        <f t="shared" si="53"/>
        <v>2023</v>
      </c>
      <c r="D3369" s="1">
        <v>45134</v>
      </c>
      <c r="E3369">
        <v>135.83250000000001</v>
      </c>
    </row>
    <row r="3370" spans="3:5" x14ac:dyDescent="0.35">
      <c r="C3370">
        <f t="shared" si="53"/>
        <v>2023</v>
      </c>
      <c r="D3370" s="1">
        <v>45135</v>
      </c>
      <c r="E3370">
        <v>138.32159999999999</v>
      </c>
    </row>
    <row r="3371" spans="3:5" x14ac:dyDescent="0.35">
      <c r="C3371">
        <f t="shared" si="53"/>
        <v>2023</v>
      </c>
      <c r="D3371" s="1">
        <v>45138</v>
      </c>
      <c r="E3371">
        <v>137.7895</v>
      </c>
    </row>
    <row r="3372" spans="3:5" x14ac:dyDescent="0.35">
      <c r="C3372">
        <f t="shared" si="53"/>
        <v>2023</v>
      </c>
      <c r="D3372" s="1">
        <v>45139</v>
      </c>
      <c r="E3372">
        <v>137.49639999999999</v>
      </c>
    </row>
    <row r="3373" spans="3:5" x14ac:dyDescent="0.35">
      <c r="C3373">
        <f t="shared" si="53"/>
        <v>2023</v>
      </c>
      <c r="D3373" s="1">
        <v>45140</v>
      </c>
      <c r="E3373">
        <v>140.76150000000001</v>
      </c>
    </row>
    <row r="3374" spans="3:5" x14ac:dyDescent="0.35">
      <c r="C3374">
        <f t="shared" si="53"/>
        <v>2023</v>
      </c>
      <c r="D3374" s="1">
        <v>45141</v>
      </c>
      <c r="E3374">
        <v>140.31790000000001</v>
      </c>
    </row>
    <row r="3375" spans="3:5" x14ac:dyDescent="0.35">
      <c r="C3375">
        <f t="shared" si="53"/>
        <v>2023</v>
      </c>
      <c r="D3375" s="1">
        <v>45142</v>
      </c>
      <c r="E3375">
        <v>147.97030000000001</v>
      </c>
    </row>
    <row r="3376" spans="3:5" x14ac:dyDescent="0.35">
      <c r="C3376">
        <f t="shared" si="53"/>
        <v>2023</v>
      </c>
      <c r="D3376" s="1">
        <v>45145</v>
      </c>
      <c r="E3376">
        <v>159.05289999999999</v>
      </c>
    </row>
    <row r="3377" spans="3:5" x14ac:dyDescent="0.35">
      <c r="C3377">
        <f t="shared" si="53"/>
        <v>2023</v>
      </c>
      <c r="D3377" s="1">
        <v>45146</v>
      </c>
      <c r="E3377">
        <v>156.7114</v>
      </c>
    </row>
    <row r="3378" spans="3:5" x14ac:dyDescent="0.35">
      <c r="C3378">
        <f t="shared" si="53"/>
        <v>2023</v>
      </c>
      <c r="D3378" s="1">
        <v>45147</v>
      </c>
      <c r="E3378">
        <v>156.80670000000001</v>
      </c>
    </row>
    <row r="3379" spans="3:5" x14ac:dyDescent="0.35">
      <c r="C3379">
        <f t="shared" si="53"/>
        <v>2023</v>
      </c>
      <c r="D3379" s="1">
        <v>45148</v>
      </c>
      <c r="E3379">
        <v>155.8571</v>
      </c>
    </row>
    <row r="3380" spans="3:5" x14ac:dyDescent="0.35">
      <c r="C3380">
        <f t="shared" si="53"/>
        <v>2023</v>
      </c>
      <c r="D3380" s="1">
        <v>45149</v>
      </c>
      <c r="E3380">
        <v>159.7063</v>
      </c>
    </row>
    <row r="3381" spans="3:5" x14ac:dyDescent="0.35">
      <c r="C3381">
        <f t="shared" si="53"/>
        <v>2023</v>
      </c>
      <c r="D3381" s="1">
        <v>45152</v>
      </c>
      <c r="E3381">
        <v>156.95689999999999</v>
      </c>
    </row>
    <row r="3382" spans="3:5" x14ac:dyDescent="0.35">
      <c r="C3382">
        <f t="shared" si="53"/>
        <v>2023</v>
      </c>
      <c r="D3382" s="1">
        <v>45153</v>
      </c>
      <c r="E3382">
        <v>156.9288</v>
      </c>
    </row>
    <row r="3383" spans="3:5" x14ac:dyDescent="0.35">
      <c r="C3383">
        <f t="shared" si="53"/>
        <v>2023</v>
      </c>
      <c r="D3383" s="1">
        <v>45154</v>
      </c>
      <c r="E3383">
        <v>154.3485</v>
      </c>
    </row>
    <row r="3384" spans="3:5" x14ac:dyDescent="0.35">
      <c r="C3384">
        <f t="shared" si="53"/>
        <v>2023</v>
      </c>
      <c r="D3384" s="1">
        <v>45155</v>
      </c>
      <c r="E3384">
        <v>159.81790000000001</v>
      </c>
    </row>
    <row r="3385" spans="3:5" x14ac:dyDescent="0.35">
      <c r="C3385">
        <f t="shared" si="53"/>
        <v>2023</v>
      </c>
      <c r="D3385" s="1">
        <v>45156</v>
      </c>
      <c r="E3385">
        <v>152.84110000000001</v>
      </c>
    </row>
    <row r="3386" spans="3:5" x14ac:dyDescent="0.35">
      <c r="C3386">
        <f t="shared" si="53"/>
        <v>2023</v>
      </c>
      <c r="D3386" s="1">
        <v>45159</v>
      </c>
      <c r="E3386">
        <v>156.78530000000001</v>
      </c>
    </row>
    <row r="3387" spans="3:5" x14ac:dyDescent="0.35">
      <c r="C3387">
        <f t="shared" si="53"/>
        <v>2023</v>
      </c>
      <c r="D3387" s="1">
        <v>45160</v>
      </c>
      <c r="E3387">
        <v>153.6712</v>
      </c>
    </row>
    <row r="3388" spans="3:5" x14ac:dyDescent="0.35">
      <c r="C3388">
        <f t="shared" si="53"/>
        <v>2023</v>
      </c>
      <c r="D3388" s="1">
        <v>45161</v>
      </c>
      <c r="E3388">
        <v>142.84610000000001</v>
      </c>
    </row>
    <row r="3389" spans="3:5" x14ac:dyDescent="0.35">
      <c r="C3389">
        <f t="shared" si="53"/>
        <v>2023</v>
      </c>
      <c r="D3389" s="1">
        <v>45162</v>
      </c>
      <c r="E3389">
        <v>137.44309999999999</v>
      </c>
    </row>
    <row r="3390" spans="3:5" x14ac:dyDescent="0.35">
      <c r="C3390">
        <f t="shared" si="53"/>
        <v>2023</v>
      </c>
      <c r="D3390" s="1">
        <v>45163</v>
      </c>
      <c r="E3390">
        <v>149.52459999999999</v>
      </c>
    </row>
    <row r="3391" spans="3:5" x14ac:dyDescent="0.35">
      <c r="C3391">
        <f t="shared" si="53"/>
        <v>2023</v>
      </c>
      <c r="D3391" s="1">
        <v>45166</v>
      </c>
      <c r="E3391">
        <v>157.5367</v>
      </c>
    </row>
    <row r="3392" spans="3:5" x14ac:dyDescent="0.35">
      <c r="C3392">
        <f t="shared" si="53"/>
        <v>2023</v>
      </c>
      <c r="D3392" s="1">
        <v>45167</v>
      </c>
      <c r="E3392">
        <v>151.3407</v>
      </c>
    </row>
    <row r="3393" spans="3:5" x14ac:dyDescent="0.35">
      <c r="C3393">
        <f t="shared" si="53"/>
        <v>2023</v>
      </c>
      <c r="D3393" s="1">
        <v>45169</v>
      </c>
      <c r="E3393">
        <v>147.35669999999999</v>
      </c>
    </row>
    <row r="3394" spans="3:5" x14ac:dyDescent="0.35">
      <c r="C3394">
        <f t="shared" si="53"/>
        <v>2023</v>
      </c>
      <c r="D3394" s="1">
        <v>45170</v>
      </c>
      <c r="E3394">
        <v>152.60599999999999</v>
      </c>
    </row>
    <row r="3395" spans="3:5" x14ac:dyDescent="0.35">
      <c r="C3395">
        <f t="shared" ref="C3395:C3458" si="54">YEAR(D3395)</f>
        <v>2023</v>
      </c>
      <c r="D3395" s="1">
        <v>45174</v>
      </c>
      <c r="E3395">
        <v>151.999</v>
      </c>
    </row>
    <row r="3396" spans="3:5" x14ac:dyDescent="0.35">
      <c r="C3396">
        <f t="shared" si="54"/>
        <v>2023</v>
      </c>
      <c r="D3396" s="1">
        <v>45175</v>
      </c>
      <c r="E3396">
        <v>148.34870000000001</v>
      </c>
    </row>
    <row r="3397" spans="3:5" x14ac:dyDescent="0.35">
      <c r="C3397">
        <f t="shared" si="54"/>
        <v>2023</v>
      </c>
      <c r="D3397" s="1">
        <v>45176</v>
      </c>
      <c r="E3397">
        <v>147.9545</v>
      </c>
    </row>
    <row r="3398" spans="3:5" x14ac:dyDescent="0.35">
      <c r="C3398">
        <f t="shared" si="54"/>
        <v>2023</v>
      </c>
      <c r="D3398" s="1">
        <v>45177</v>
      </c>
      <c r="E3398">
        <v>146.87129999999999</v>
      </c>
    </row>
    <row r="3399" spans="3:5" x14ac:dyDescent="0.35">
      <c r="C3399">
        <f t="shared" si="54"/>
        <v>2023</v>
      </c>
      <c r="D3399" s="1">
        <v>45180</v>
      </c>
      <c r="E3399">
        <v>142.22040000000001</v>
      </c>
    </row>
    <row r="3400" spans="3:5" x14ac:dyDescent="0.35">
      <c r="C3400">
        <f t="shared" si="54"/>
        <v>2023</v>
      </c>
      <c r="D3400" s="1">
        <v>45181</v>
      </c>
      <c r="E3400">
        <v>142.94710000000001</v>
      </c>
    </row>
    <row r="3401" spans="3:5" x14ac:dyDescent="0.35">
      <c r="C3401">
        <f t="shared" si="54"/>
        <v>2023</v>
      </c>
      <c r="D3401" s="1">
        <v>45182</v>
      </c>
      <c r="E3401">
        <v>140.2311</v>
      </c>
    </row>
    <row r="3402" spans="3:5" x14ac:dyDescent="0.35">
      <c r="C3402">
        <f t="shared" si="54"/>
        <v>2023</v>
      </c>
      <c r="D3402" s="1">
        <v>45183</v>
      </c>
      <c r="E3402">
        <v>144.45949999999999</v>
      </c>
    </row>
    <row r="3403" spans="3:5" x14ac:dyDescent="0.35">
      <c r="C3403">
        <f t="shared" si="54"/>
        <v>2023</v>
      </c>
      <c r="D3403" s="1">
        <v>45184</v>
      </c>
      <c r="E3403">
        <v>136.2764</v>
      </c>
    </row>
    <row r="3404" spans="3:5" x14ac:dyDescent="0.35">
      <c r="C3404">
        <f t="shared" si="54"/>
        <v>2023</v>
      </c>
      <c r="D3404" s="1">
        <v>45187</v>
      </c>
      <c r="E3404">
        <v>131.11789999999999</v>
      </c>
    </row>
    <row r="3405" spans="3:5" x14ac:dyDescent="0.35">
      <c r="C3405">
        <f t="shared" si="54"/>
        <v>2023</v>
      </c>
      <c r="D3405" s="1">
        <v>45188</v>
      </c>
      <c r="E3405">
        <v>130.40360000000001</v>
      </c>
    </row>
    <row r="3406" spans="3:5" x14ac:dyDescent="0.35">
      <c r="C3406">
        <f t="shared" si="54"/>
        <v>2023</v>
      </c>
      <c r="D3406" s="1">
        <v>45189</v>
      </c>
      <c r="E3406">
        <v>132.12540000000001</v>
      </c>
    </row>
    <row r="3407" spans="3:5" x14ac:dyDescent="0.35">
      <c r="C3407">
        <f t="shared" si="54"/>
        <v>2023</v>
      </c>
      <c r="D3407" s="1">
        <v>45190</v>
      </c>
      <c r="E3407">
        <v>139.49809999999999</v>
      </c>
    </row>
    <row r="3408" spans="3:5" x14ac:dyDescent="0.35">
      <c r="C3408">
        <f t="shared" si="54"/>
        <v>2023</v>
      </c>
      <c r="D3408" s="1">
        <v>45191</v>
      </c>
      <c r="E3408">
        <v>134.7544</v>
      </c>
    </row>
    <row r="3409" spans="3:5" x14ac:dyDescent="0.35">
      <c r="C3409">
        <f t="shared" si="54"/>
        <v>2023</v>
      </c>
      <c r="D3409" s="1">
        <v>45194</v>
      </c>
      <c r="E3409">
        <v>138.8295</v>
      </c>
    </row>
    <row r="3410" spans="3:5" x14ac:dyDescent="0.35">
      <c r="C3410">
        <f t="shared" si="54"/>
        <v>2023</v>
      </c>
      <c r="D3410" s="1">
        <v>45195</v>
      </c>
      <c r="E3410">
        <v>136.8544</v>
      </c>
    </row>
    <row r="3411" spans="3:5" x14ac:dyDescent="0.35">
      <c r="C3411">
        <f t="shared" si="54"/>
        <v>2023</v>
      </c>
      <c r="D3411" s="1">
        <v>45196</v>
      </c>
      <c r="E3411">
        <v>140.03469999999999</v>
      </c>
    </row>
    <row r="3412" spans="3:5" x14ac:dyDescent="0.35">
      <c r="C3412">
        <f t="shared" si="54"/>
        <v>2023</v>
      </c>
      <c r="D3412" s="1">
        <v>45197</v>
      </c>
      <c r="E3412">
        <v>148.7587</v>
      </c>
    </row>
    <row r="3413" spans="3:5" x14ac:dyDescent="0.35">
      <c r="C3413">
        <f t="shared" si="54"/>
        <v>2023</v>
      </c>
      <c r="D3413" s="1">
        <v>45198</v>
      </c>
      <c r="E3413">
        <v>148.63200000000001</v>
      </c>
    </row>
    <row r="3414" spans="3:5" x14ac:dyDescent="0.35">
      <c r="C3414">
        <f t="shared" si="54"/>
        <v>2023</v>
      </c>
      <c r="D3414" s="1">
        <v>45201</v>
      </c>
      <c r="E3414">
        <v>156.72229999999999</v>
      </c>
    </row>
    <row r="3415" spans="3:5" x14ac:dyDescent="0.35">
      <c r="C3415">
        <f t="shared" si="54"/>
        <v>2023</v>
      </c>
      <c r="D3415" s="1">
        <v>45202</v>
      </c>
      <c r="E3415">
        <v>153.75720000000001</v>
      </c>
    </row>
    <row r="3416" spans="3:5" x14ac:dyDescent="0.35">
      <c r="C3416">
        <f t="shared" si="54"/>
        <v>2023</v>
      </c>
      <c r="D3416" s="1">
        <v>45203</v>
      </c>
      <c r="E3416">
        <v>148.18899999999999</v>
      </c>
    </row>
    <row r="3417" spans="3:5" x14ac:dyDescent="0.35">
      <c r="C3417">
        <f t="shared" si="54"/>
        <v>2023</v>
      </c>
      <c r="D3417" s="1">
        <v>45204</v>
      </c>
      <c r="E3417">
        <v>150.06280000000001</v>
      </c>
    </row>
    <row r="3418" spans="3:5" x14ac:dyDescent="0.35">
      <c r="C3418">
        <f t="shared" si="54"/>
        <v>2023</v>
      </c>
      <c r="D3418" s="1">
        <v>45205</v>
      </c>
      <c r="E3418">
        <v>146.88650000000001</v>
      </c>
    </row>
    <row r="3419" spans="3:5" x14ac:dyDescent="0.35">
      <c r="C3419">
        <f t="shared" si="54"/>
        <v>2023</v>
      </c>
      <c r="D3419" s="1">
        <v>45208</v>
      </c>
      <c r="E3419">
        <v>137.87459999999999</v>
      </c>
    </row>
    <row r="3420" spans="3:5" x14ac:dyDescent="0.35">
      <c r="C3420">
        <f t="shared" si="54"/>
        <v>2023</v>
      </c>
      <c r="D3420" s="1">
        <v>45209</v>
      </c>
      <c r="E3420">
        <v>143.56010000000001</v>
      </c>
    </row>
    <row r="3421" spans="3:5" x14ac:dyDescent="0.35">
      <c r="C3421">
        <f t="shared" si="54"/>
        <v>2023</v>
      </c>
      <c r="D3421" s="1">
        <v>45210</v>
      </c>
      <c r="E3421">
        <v>137.8237</v>
      </c>
    </row>
    <row r="3422" spans="3:5" x14ac:dyDescent="0.35">
      <c r="C3422">
        <f t="shared" si="54"/>
        <v>2023</v>
      </c>
      <c r="D3422" s="1">
        <v>45211</v>
      </c>
      <c r="E3422">
        <v>135.12360000000001</v>
      </c>
    </row>
    <row r="3423" spans="3:5" x14ac:dyDescent="0.35">
      <c r="C3423">
        <f t="shared" si="54"/>
        <v>2023</v>
      </c>
      <c r="D3423" s="1">
        <v>45212</v>
      </c>
      <c r="E3423">
        <v>128.78829999999999</v>
      </c>
    </row>
    <row r="3424" spans="3:5" x14ac:dyDescent="0.35">
      <c r="C3424">
        <f t="shared" si="54"/>
        <v>2023</v>
      </c>
      <c r="D3424" s="1">
        <v>45215</v>
      </c>
      <c r="E3424">
        <v>130.3124</v>
      </c>
    </row>
    <row r="3425" spans="3:5" x14ac:dyDescent="0.35">
      <c r="C3425">
        <f t="shared" si="54"/>
        <v>2023</v>
      </c>
      <c r="D3425" s="1">
        <v>45216</v>
      </c>
      <c r="E3425">
        <v>130.65710000000001</v>
      </c>
    </row>
    <row r="3426" spans="3:5" x14ac:dyDescent="0.35">
      <c r="C3426">
        <f t="shared" si="54"/>
        <v>2023</v>
      </c>
      <c r="D3426" s="1">
        <v>45217</v>
      </c>
      <c r="E3426">
        <v>123.1671</v>
      </c>
    </row>
    <row r="3427" spans="3:5" x14ac:dyDescent="0.35">
      <c r="C3427">
        <f t="shared" si="54"/>
        <v>2023</v>
      </c>
      <c r="D3427" s="1">
        <v>45218</v>
      </c>
      <c r="E3427">
        <v>120.4581</v>
      </c>
    </row>
    <row r="3428" spans="3:5" x14ac:dyDescent="0.35">
      <c r="C3428">
        <f t="shared" si="54"/>
        <v>2023</v>
      </c>
      <c r="D3428" s="1">
        <v>45219</v>
      </c>
      <c r="E3428">
        <v>115.9422</v>
      </c>
    </row>
    <row r="3429" spans="3:5" x14ac:dyDescent="0.35">
      <c r="C3429">
        <f t="shared" si="54"/>
        <v>2023</v>
      </c>
      <c r="D3429" s="1">
        <v>45222</v>
      </c>
      <c r="E3429">
        <v>119.9029</v>
      </c>
    </row>
    <row r="3430" spans="3:5" x14ac:dyDescent="0.35">
      <c r="C3430">
        <f t="shared" si="54"/>
        <v>2023</v>
      </c>
      <c r="D3430" s="1">
        <v>45223</v>
      </c>
      <c r="E3430">
        <v>122.2574</v>
      </c>
    </row>
    <row r="3431" spans="3:5" x14ac:dyDescent="0.35">
      <c r="C3431">
        <f t="shared" si="54"/>
        <v>2023</v>
      </c>
      <c r="D3431" s="1">
        <v>45224</v>
      </c>
      <c r="E3431">
        <v>113.1587</v>
      </c>
    </row>
    <row r="3432" spans="3:5" x14ac:dyDescent="0.35">
      <c r="C3432">
        <f t="shared" si="54"/>
        <v>2023</v>
      </c>
      <c r="D3432" s="1">
        <v>45225</v>
      </c>
      <c r="E3432">
        <v>119.10680000000001</v>
      </c>
    </row>
    <row r="3433" spans="3:5" x14ac:dyDescent="0.35">
      <c r="C3433">
        <f t="shared" si="54"/>
        <v>2023</v>
      </c>
      <c r="D3433" s="1">
        <v>45226</v>
      </c>
      <c r="E3433">
        <v>120.61069999999999</v>
      </c>
    </row>
    <row r="3434" spans="3:5" x14ac:dyDescent="0.35">
      <c r="C3434">
        <f t="shared" si="54"/>
        <v>2023</v>
      </c>
      <c r="D3434" s="1">
        <v>45229</v>
      </c>
      <c r="E3434">
        <v>120.9367</v>
      </c>
    </row>
    <row r="3435" spans="3:5" x14ac:dyDescent="0.35">
      <c r="C3435">
        <f t="shared" si="54"/>
        <v>2023</v>
      </c>
      <c r="D3435" s="1">
        <v>45230</v>
      </c>
      <c r="E3435">
        <v>120.485</v>
      </c>
    </row>
    <row r="3436" spans="3:5" x14ac:dyDescent="0.35">
      <c r="C3436">
        <f t="shared" si="54"/>
        <v>2023</v>
      </c>
      <c r="D3436" s="1">
        <v>45231</v>
      </c>
      <c r="E3436">
        <v>121.1267</v>
      </c>
    </row>
    <row r="3437" spans="3:5" x14ac:dyDescent="0.35">
      <c r="C3437">
        <f t="shared" si="54"/>
        <v>2023</v>
      </c>
      <c r="D3437" s="1">
        <v>45232</v>
      </c>
      <c r="E3437">
        <v>123.33369999999999</v>
      </c>
    </row>
    <row r="3438" spans="3:5" x14ac:dyDescent="0.35">
      <c r="C3438">
        <f t="shared" si="54"/>
        <v>2023</v>
      </c>
      <c r="D3438" s="1">
        <v>45233</v>
      </c>
      <c r="E3438">
        <v>124.3</v>
      </c>
    </row>
    <row r="3439" spans="3:5" x14ac:dyDescent="0.35">
      <c r="C3439">
        <f t="shared" si="54"/>
        <v>2023</v>
      </c>
      <c r="D3439" s="1">
        <v>45236</v>
      </c>
      <c r="E3439">
        <v>125.0908</v>
      </c>
    </row>
    <row r="3440" spans="3:5" x14ac:dyDescent="0.35">
      <c r="C3440">
        <f t="shared" si="54"/>
        <v>2023</v>
      </c>
      <c r="D3440" s="1">
        <v>45237</v>
      </c>
      <c r="E3440">
        <v>125.6354</v>
      </c>
    </row>
    <row r="3441" spans="3:5" x14ac:dyDescent="0.35">
      <c r="C3441">
        <f t="shared" si="54"/>
        <v>2023</v>
      </c>
      <c r="D3441" s="1">
        <v>45238</v>
      </c>
      <c r="E3441">
        <v>127.8631</v>
      </c>
    </row>
    <row r="3442" spans="3:5" x14ac:dyDescent="0.35">
      <c r="C3442">
        <f t="shared" si="54"/>
        <v>2023</v>
      </c>
      <c r="D3442" s="1">
        <v>45239</v>
      </c>
      <c r="E3442">
        <v>127.8263</v>
      </c>
    </row>
    <row r="3443" spans="3:5" x14ac:dyDescent="0.35">
      <c r="C3443">
        <f t="shared" si="54"/>
        <v>2023</v>
      </c>
      <c r="D3443" s="1">
        <v>45240</v>
      </c>
      <c r="E3443">
        <v>129.25710000000001</v>
      </c>
    </row>
    <row r="3444" spans="3:5" x14ac:dyDescent="0.35">
      <c r="C3444">
        <f t="shared" si="54"/>
        <v>2023</v>
      </c>
      <c r="D3444" s="1">
        <v>45243</v>
      </c>
      <c r="E3444">
        <v>130.19290000000001</v>
      </c>
    </row>
    <row r="3445" spans="3:5" x14ac:dyDescent="0.35">
      <c r="C3445">
        <f t="shared" si="54"/>
        <v>2023</v>
      </c>
      <c r="D3445" s="1">
        <v>45244</v>
      </c>
      <c r="E3445">
        <v>131.40969999999999</v>
      </c>
    </row>
    <row r="3446" spans="3:5" x14ac:dyDescent="0.35">
      <c r="C3446">
        <f t="shared" si="54"/>
        <v>2023</v>
      </c>
      <c r="D3446" s="1">
        <v>45245</v>
      </c>
      <c r="E3446">
        <v>130.53139999999999</v>
      </c>
    </row>
    <row r="3447" spans="3:5" x14ac:dyDescent="0.35">
      <c r="C3447">
        <f t="shared" si="54"/>
        <v>2023</v>
      </c>
      <c r="D3447" s="1">
        <v>45246</v>
      </c>
      <c r="E3447">
        <v>133.54830000000001</v>
      </c>
    </row>
    <row r="3448" spans="3:5" x14ac:dyDescent="0.35">
      <c r="C3448">
        <f t="shared" si="54"/>
        <v>2023</v>
      </c>
      <c r="D3448" s="1">
        <v>45247</v>
      </c>
      <c r="E3448">
        <v>139.0412</v>
      </c>
    </row>
    <row r="3449" spans="3:5" x14ac:dyDescent="0.35">
      <c r="C3449">
        <f t="shared" si="54"/>
        <v>2023</v>
      </c>
      <c r="D3449" s="1">
        <v>45250</v>
      </c>
      <c r="E3449">
        <v>139.85290000000001</v>
      </c>
    </row>
    <row r="3450" spans="3:5" x14ac:dyDescent="0.35">
      <c r="C3450">
        <f t="shared" si="54"/>
        <v>2023</v>
      </c>
      <c r="D3450" s="1">
        <v>45251</v>
      </c>
      <c r="E3450">
        <v>145.15020000000001</v>
      </c>
    </row>
    <row r="3451" spans="3:5" x14ac:dyDescent="0.35">
      <c r="C3451">
        <f t="shared" si="54"/>
        <v>2023</v>
      </c>
      <c r="D3451" s="1">
        <v>45252</v>
      </c>
      <c r="E3451">
        <v>142.11840000000001</v>
      </c>
    </row>
    <row r="3452" spans="3:5" x14ac:dyDescent="0.35">
      <c r="C3452">
        <f t="shared" si="54"/>
        <v>2023</v>
      </c>
      <c r="D3452" s="1">
        <v>45254</v>
      </c>
      <c r="E3452">
        <v>139.9109</v>
      </c>
    </row>
    <row r="3453" spans="3:5" x14ac:dyDescent="0.35">
      <c r="C3453">
        <f t="shared" si="54"/>
        <v>2023</v>
      </c>
      <c r="D3453" s="1">
        <v>45257</v>
      </c>
      <c r="E3453">
        <v>139.63630000000001</v>
      </c>
    </row>
    <row r="3454" spans="3:5" x14ac:dyDescent="0.35">
      <c r="C3454">
        <f t="shared" si="54"/>
        <v>2023</v>
      </c>
      <c r="D3454" s="1">
        <v>45258</v>
      </c>
      <c r="E3454">
        <v>137.67160000000001</v>
      </c>
    </row>
    <row r="3455" spans="3:5" x14ac:dyDescent="0.35">
      <c r="C3455">
        <f t="shared" si="54"/>
        <v>2023</v>
      </c>
      <c r="D3455" s="1">
        <v>45259</v>
      </c>
      <c r="E3455">
        <v>133.97790000000001</v>
      </c>
    </row>
    <row r="3456" spans="3:5" x14ac:dyDescent="0.35">
      <c r="C3456">
        <f t="shared" si="54"/>
        <v>2023</v>
      </c>
      <c r="D3456" s="1">
        <v>45260</v>
      </c>
      <c r="E3456">
        <v>132.35650000000001</v>
      </c>
    </row>
    <row r="3457" spans="3:5" x14ac:dyDescent="0.35">
      <c r="C3457">
        <f t="shared" si="54"/>
        <v>2023</v>
      </c>
      <c r="D3457" s="1">
        <v>45261</v>
      </c>
      <c r="E3457">
        <v>135.56890000000001</v>
      </c>
    </row>
    <row r="3458" spans="3:5" x14ac:dyDescent="0.35">
      <c r="C3458">
        <f t="shared" si="54"/>
        <v>2023</v>
      </c>
      <c r="D3458" s="1">
        <v>45264</v>
      </c>
      <c r="E3458">
        <v>139.3278</v>
      </c>
    </row>
    <row r="3459" spans="3:5" x14ac:dyDescent="0.35">
      <c r="C3459">
        <f t="shared" ref="C3459:C3522" si="55">YEAR(D3459)</f>
        <v>2023</v>
      </c>
      <c r="D3459" s="1">
        <v>45265</v>
      </c>
      <c r="E3459">
        <v>138.01140000000001</v>
      </c>
    </row>
    <row r="3460" spans="3:5" x14ac:dyDescent="0.35">
      <c r="C3460">
        <f t="shared" si="55"/>
        <v>2023</v>
      </c>
      <c r="D3460" s="1">
        <v>45266</v>
      </c>
      <c r="E3460">
        <v>133.10480000000001</v>
      </c>
    </row>
    <row r="3461" spans="3:5" x14ac:dyDescent="0.35">
      <c r="C3461">
        <f t="shared" si="55"/>
        <v>2023</v>
      </c>
      <c r="D3461" s="1">
        <v>45267</v>
      </c>
      <c r="E3461">
        <v>137.64750000000001</v>
      </c>
    </row>
    <row r="3462" spans="3:5" x14ac:dyDescent="0.35">
      <c r="C3462">
        <f t="shared" si="55"/>
        <v>2023</v>
      </c>
      <c r="D3462" s="1">
        <v>45268</v>
      </c>
      <c r="E3462">
        <v>136.74879999999999</v>
      </c>
    </row>
    <row r="3463" spans="3:5" x14ac:dyDescent="0.35">
      <c r="C3463">
        <f t="shared" si="55"/>
        <v>2023</v>
      </c>
      <c r="D3463" s="1">
        <v>45271</v>
      </c>
      <c r="E3463">
        <v>134.12469999999999</v>
      </c>
    </row>
    <row r="3464" spans="3:5" x14ac:dyDescent="0.35">
      <c r="C3464">
        <f t="shared" si="55"/>
        <v>2023</v>
      </c>
      <c r="D3464" s="1">
        <v>45272</v>
      </c>
      <c r="E3464">
        <v>135.2107</v>
      </c>
    </row>
    <row r="3465" spans="3:5" x14ac:dyDescent="0.35">
      <c r="C3465">
        <f t="shared" si="55"/>
        <v>2023</v>
      </c>
      <c r="D3465" s="1">
        <v>45273</v>
      </c>
      <c r="E3465">
        <v>130.4348</v>
      </c>
    </row>
    <row r="3466" spans="3:5" x14ac:dyDescent="0.35">
      <c r="C3466">
        <f t="shared" si="55"/>
        <v>2023</v>
      </c>
      <c r="D3466" s="1">
        <v>45274</v>
      </c>
      <c r="E3466">
        <v>133.2989</v>
      </c>
    </row>
    <row r="3467" spans="3:5" x14ac:dyDescent="0.35">
      <c r="C3467">
        <f t="shared" si="55"/>
        <v>2023</v>
      </c>
      <c r="D3467" s="1">
        <v>45275</v>
      </c>
      <c r="E3467">
        <v>134.50040000000001</v>
      </c>
    </row>
    <row r="3468" spans="3:5" x14ac:dyDescent="0.35">
      <c r="C3468">
        <f t="shared" si="55"/>
        <v>2023</v>
      </c>
      <c r="D3468" s="1">
        <v>45278</v>
      </c>
      <c r="E3468">
        <v>130.77029999999999</v>
      </c>
    </row>
    <row r="3469" spans="3:5" x14ac:dyDescent="0.35">
      <c r="C3469">
        <f t="shared" si="55"/>
        <v>2023</v>
      </c>
      <c r="D3469" s="1">
        <v>45279</v>
      </c>
      <c r="E3469">
        <v>128.8963</v>
      </c>
    </row>
    <row r="3470" spans="3:5" x14ac:dyDescent="0.35">
      <c r="C3470">
        <f t="shared" si="55"/>
        <v>2023</v>
      </c>
      <c r="D3470" s="1">
        <v>45280</v>
      </c>
      <c r="E3470">
        <v>127.1343</v>
      </c>
    </row>
    <row r="3471" spans="3:5" x14ac:dyDescent="0.35">
      <c r="C3471">
        <f t="shared" si="55"/>
        <v>2023</v>
      </c>
      <c r="D3471" s="1">
        <v>45281</v>
      </c>
      <c r="E3471">
        <v>128.3109</v>
      </c>
    </row>
    <row r="3472" spans="3:5" x14ac:dyDescent="0.35">
      <c r="C3472">
        <f t="shared" si="55"/>
        <v>2023</v>
      </c>
      <c r="D3472" s="1">
        <v>45282</v>
      </c>
      <c r="E3472">
        <v>121.0497</v>
      </c>
    </row>
    <row r="3473" spans="3:5" x14ac:dyDescent="0.35">
      <c r="C3473">
        <f t="shared" si="55"/>
        <v>2023</v>
      </c>
      <c r="D3473" s="1">
        <v>45286</v>
      </c>
      <c r="E3473">
        <v>117.3946</v>
      </c>
    </row>
    <row r="3474" spans="3:5" x14ac:dyDescent="0.35">
      <c r="C3474">
        <f t="shared" si="55"/>
        <v>2023</v>
      </c>
      <c r="D3474" s="1">
        <v>45287</v>
      </c>
      <c r="E3474">
        <v>113.2761</v>
      </c>
    </row>
    <row r="3475" spans="3:5" x14ac:dyDescent="0.35">
      <c r="C3475">
        <f t="shared" si="55"/>
        <v>2023</v>
      </c>
      <c r="D3475" s="1">
        <v>45288</v>
      </c>
      <c r="E3475">
        <v>116.8661</v>
      </c>
    </row>
    <row r="3476" spans="3:5" x14ac:dyDescent="0.35">
      <c r="C3476">
        <f t="shared" si="55"/>
        <v>2023</v>
      </c>
      <c r="D3476" s="1">
        <v>45289</v>
      </c>
      <c r="E3476">
        <v>116.78830000000001</v>
      </c>
    </row>
    <row r="3477" spans="3:5" x14ac:dyDescent="0.35">
      <c r="C3477">
        <f t="shared" si="55"/>
        <v>2024</v>
      </c>
      <c r="D3477" s="1">
        <v>45293</v>
      </c>
      <c r="E3477">
        <v>121.0317</v>
      </c>
    </row>
    <row r="3478" spans="3:5" x14ac:dyDescent="0.35">
      <c r="C3478">
        <f t="shared" si="55"/>
        <v>2024</v>
      </c>
      <c r="D3478" s="1">
        <v>45294</v>
      </c>
      <c r="E3478">
        <v>118.2825</v>
      </c>
    </row>
    <row r="3479" spans="3:5" x14ac:dyDescent="0.35">
      <c r="C3479">
        <f t="shared" si="55"/>
        <v>2024</v>
      </c>
      <c r="D3479" s="1">
        <v>45295</v>
      </c>
      <c r="E3479">
        <v>119.3145</v>
      </c>
    </row>
    <row r="3480" spans="3:5" x14ac:dyDescent="0.35">
      <c r="C3480">
        <f t="shared" si="55"/>
        <v>2024</v>
      </c>
      <c r="D3480" s="1">
        <v>45296</v>
      </c>
      <c r="E3480">
        <v>122.07250000000001</v>
      </c>
    </row>
    <row r="3481" spans="3:5" x14ac:dyDescent="0.35">
      <c r="C3481">
        <f t="shared" si="55"/>
        <v>2024</v>
      </c>
      <c r="D3481" s="1">
        <v>45299</v>
      </c>
      <c r="E3481">
        <v>125.01</v>
      </c>
    </row>
    <row r="3482" spans="3:5" x14ac:dyDescent="0.35">
      <c r="C3482">
        <f t="shared" si="55"/>
        <v>2024</v>
      </c>
      <c r="D3482" s="1">
        <v>45300</v>
      </c>
      <c r="E3482">
        <v>124.63460000000001</v>
      </c>
    </row>
    <row r="3483" spans="3:5" x14ac:dyDescent="0.35">
      <c r="C3483">
        <f t="shared" si="55"/>
        <v>2024</v>
      </c>
      <c r="D3483" s="1">
        <v>45301</v>
      </c>
      <c r="E3483">
        <v>128.31899999999999</v>
      </c>
    </row>
    <row r="3484" spans="3:5" x14ac:dyDescent="0.35">
      <c r="C3484">
        <f t="shared" si="55"/>
        <v>2024</v>
      </c>
      <c r="D3484" s="1">
        <v>45302</v>
      </c>
      <c r="E3484">
        <v>127.5994</v>
      </c>
    </row>
    <row r="3485" spans="3:5" x14ac:dyDescent="0.35">
      <c r="C3485">
        <f t="shared" si="55"/>
        <v>2024</v>
      </c>
      <c r="D3485" s="1">
        <v>45303</v>
      </c>
      <c r="E3485">
        <v>126.88979999999999</v>
      </c>
    </row>
    <row r="3486" spans="3:5" x14ac:dyDescent="0.35">
      <c r="C3486">
        <f t="shared" si="55"/>
        <v>2024</v>
      </c>
      <c r="D3486" s="1">
        <v>45307</v>
      </c>
      <c r="E3486">
        <v>127.5228</v>
      </c>
    </row>
    <row r="3487" spans="3:5" x14ac:dyDescent="0.35">
      <c r="C3487">
        <f t="shared" si="55"/>
        <v>2024</v>
      </c>
      <c r="D3487" s="1">
        <v>45308</v>
      </c>
      <c r="E3487">
        <v>130.2114</v>
      </c>
    </row>
    <row r="3488" spans="3:5" x14ac:dyDescent="0.35">
      <c r="C3488">
        <f t="shared" si="55"/>
        <v>2024</v>
      </c>
      <c r="D3488" s="1">
        <v>45309</v>
      </c>
      <c r="E3488">
        <v>128.19999999999999</v>
      </c>
    </row>
    <row r="3489" spans="3:5" x14ac:dyDescent="0.35">
      <c r="C3489">
        <f t="shared" si="55"/>
        <v>2024</v>
      </c>
      <c r="D3489" s="1">
        <v>45310</v>
      </c>
      <c r="E3489">
        <v>127.3789</v>
      </c>
    </row>
    <row r="3490" spans="3:5" x14ac:dyDescent="0.35">
      <c r="C3490">
        <f t="shared" si="55"/>
        <v>2024</v>
      </c>
      <c r="D3490" s="1">
        <v>45313</v>
      </c>
      <c r="E3490">
        <v>127.6416</v>
      </c>
    </row>
    <row r="3491" spans="3:5" x14ac:dyDescent="0.35">
      <c r="C3491">
        <f t="shared" si="55"/>
        <v>2024</v>
      </c>
      <c r="D3491" s="1">
        <v>45314</v>
      </c>
      <c r="E3491">
        <v>126.37520000000001</v>
      </c>
    </row>
    <row r="3492" spans="3:5" x14ac:dyDescent="0.35">
      <c r="C3492">
        <f t="shared" si="55"/>
        <v>2024</v>
      </c>
      <c r="D3492" s="1">
        <v>45315</v>
      </c>
      <c r="E3492">
        <v>128.02549999999999</v>
      </c>
    </row>
    <row r="3493" spans="3:5" x14ac:dyDescent="0.35">
      <c r="C3493">
        <f t="shared" si="55"/>
        <v>2024</v>
      </c>
      <c r="D3493" s="1">
        <v>45316</v>
      </c>
      <c r="E3493">
        <v>128.60550000000001</v>
      </c>
    </row>
    <row r="3494" spans="3:5" x14ac:dyDescent="0.35">
      <c r="C3494">
        <f t="shared" si="55"/>
        <v>2024</v>
      </c>
      <c r="D3494" s="1">
        <v>45317</v>
      </c>
      <c r="E3494">
        <v>132.3475</v>
      </c>
    </row>
    <row r="3495" spans="3:5" x14ac:dyDescent="0.35">
      <c r="C3495">
        <f t="shared" si="55"/>
        <v>2024</v>
      </c>
      <c r="D3495" s="1">
        <v>45320</v>
      </c>
      <c r="E3495">
        <v>138.77010000000001</v>
      </c>
    </row>
    <row r="3496" spans="3:5" x14ac:dyDescent="0.35">
      <c r="C3496">
        <f t="shared" si="55"/>
        <v>2024</v>
      </c>
      <c r="D3496" s="1">
        <v>45321</v>
      </c>
      <c r="E3496">
        <v>137.2379</v>
      </c>
    </row>
    <row r="3497" spans="3:5" x14ac:dyDescent="0.35">
      <c r="C3497">
        <f t="shared" si="55"/>
        <v>2024</v>
      </c>
      <c r="D3497" s="1">
        <v>45322</v>
      </c>
      <c r="E3497">
        <v>136.42070000000001</v>
      </c>
    </row>
    <row r="3498" spans="3:5" x14ac:dyDescent="0.35">
      <c r="C3498">
        <f t="shared" si="55"/>
        <v>2024</v>
      </c>
      <c r="D3498" s="1">
        <v>45323</v>
      </c>
      <c r="E3498">
        <v>136.9821</v>
      </c>
    </row>
    <row r="3499" spans="3:5" x14ac:dyDescent="0.35">
      <c r="C3499">
        <f t="shared" si="55"/>
        <v>2024</v>
      </c>
      <c r="D3499" s="1">
        <v>45324</v>
      </c>
      <c r="E3499">
        <v>141.25409999999999</v>
      </c>
    </row>
    <row r="3500" spans="3:5" x14ac:dyDescent="0.35">
      <c r="C3500">
        <f t="shared" si="55"/>
        <v>2024</v>
      </c>
      <c r="D3500" s="1">
        <v>45327</v>
      </c>
      <c r="E3500">
        <v>146.57220000000001</v>
      </c>
    </row>
    <row r="3501" spans="3:5" x14ac:dyDescent="0.35">
      <c r="C3501">
        <f t="shared" si="55"/>
        <v>2024</v>
      </c>
      <c r="D3501" s="1">
        <v>45328</v>
      </c>
      <c r="E3501">
        <v>145.68709999999999</v>
      </c>
    </row>
    <row r="3502" spans="3:5" x14ac:dyDescent="0.35">
      <c r="C3502">
        <f t="shared" si="55"/>
        <v>2024</v>
      </c>
      <c r="D3502" s="1">
        <v>45329</v>
      </c>
      <c r="E3502">
        <v>143.11439999999999</v>
      </c>
    </row>
    <row r="3503" spans="3:5" x14ac:dyDescent="0.35">
      <c r="C3503">
        <f t="shared" si="55"/>
        <v>2024</v>
      </c>
      <c r="D3503" s="1">
        <v>45330</v>
      </c>
      <c r="E3503">
        <v>143.4648</v>
      </c>
    </row>
    <row r="3504" spans="3:5" x14ac:dyDescent="0.35">
      <c r="C3504">
        <f t="shared" si="55"/>
        <v>2024</v>
      </c>
      <c r="D3504" s="1">
        <v>45331</v>
      </c>
      <c r="E3504">
        <v>147.74459999999999</v>
      </c>
    </row>
    <row r="3505" spans="3:5" x14ac:dyDescent="0.35">
      <c r="C3505">
        <f t="shared" si="55"/>
        <v>2024</v>
      </c>
      <c r="D3505" s="1">
        <v>45334</v>
      </c>
      <c r="E3505">
        <v>145.95189999999999</v>
      </c>
    </row>
    <row r="3506" spans="3:5" x14ac:dyDescent="0.35">
      <c r="C3506">
        <f t="shared" si="55"/>
        <v>2024</v>
      </c>
      <c r="D3506" s="1">
        <v>45335</v>
      </c>
      <c r="E3506">
        <v>142.92080000000001</v>
      </c>
    </row>
    <row r="3507" spans="3:5" x14ac:dyDescent="0.35">
      <c r="C3507">
        <f t="shared" si="55"/>
        <v>2024</v>
      </c>
      <c r="D3507" s="1">
        <v>45336</v>
      </c>
      <c r="E3507">
        <v>143.6968</v>
      </c>
    </row>
    <row r="3508" spans="3:5" x14ac:dyDescent="0.35">
      <c r="C3508">
        <f t="shared" si="55"/>
        <v>2024</v>
      </c>
      <c r="D3508" s="1">
        <v>45337</v>
      </c>
      <c r="E3508">
        <v>143.4813</v>
      </c>
    </row>
    <row r="3509" spans="3:5" x14ac:dyDescent="0.35">
      <c r="C3509">
        <f t="shared" si="55"/>
        <v>2024</v>
      </c>
      <c r="D3509" s="1">
        <v>45338</v>
      </c>
      <c r="E3509">
        <v>141.75729999999999</v>
      </c>
    </row>
    <row r="3510" spans="3:5" x14ac:dyDescent="0.35">
      <c r="C3510">
        <f t="shared" si="55"/>
        <v>2024</v>
      </c>
      <c r="D3510" s="1">
        <v>45342</v>
      </c>
      <c r="E3510">
        <v>139.7764</v>
      </c>
    </row>
    <row r="3511" spans="3:5" x14ac:dyDescent="0.35">
      <c r="C3511">
        <f t="shared" si="55"/>
        <v>2024</v>
      </c>
      <c r="D3511" s="1">
        <v>45343</v>
      </c>
      <c r="E3511">
        <v>138.9727</v>
      </c>
    </row>
    <row r="3512" spans="3:5" x14ac:dyDescent="0.35">
      <c r="C3512">
        <f t="shared" si="55"/>
        <v>2024</v>
      </c>
      <c r="D3512" s="1">
        <v>45344</v>
      </c>
      <c r="E3512">
        <v>141.5059</v>
      </c>
    </row>
    <row r="3513" spans="3:5" x14ac:dyDescent="0.35">
      <c r="C3513">
        <f t="shared" si="55"/>
        <v>2024</v>
      </c>
      <c r="D3513" s="1">
        <v>45345</v>
      </c>
      <c r="E3513">
        <v>140.67330000000001</v>
      </c>
    </row>
    <row r="3514" spans="3:5" x14ac:dyDescent="0.35">
      <c r="C3514">
        <f t="shared" si="55"/>
        <v>2024</v>
      </c>
      <c r="D3514" s="1">
        <v>45348</v>
      </c>
      <c r="E3514">
        <v>140.79140000000001</v>
      </c>
    </row>
    <row r="3515" spans="3:5" x14ac:dyDescent="0.35">
      <c r="C3515">
        <f t="shared" si="55"/>
        <v>2024</v>
      </c>
      <c r="D3515" s="1">
        <v>45349</v>
      </c>
      <c r="E3515">
        <v>137.7295</v>
      </c>
    </row>
    <row r="3516" spans="3:5" x14ac:dyDescent="0.35">
      <c r="C3516">
        <f t="shared" si="55"/>
        <v>2024</v>
      </c>
      <c r="D3516" s="1">
        <v>45350</v>
      </c>
      <c r="E3516">
        <v>135.57560000000001</v>
      </c>
    </row>
    <row r="3517" spans="3:5" x14ac:dyDescent="0.35">
      <c r="C3517">
        <f t="shared" si="55"/>
        <v>2024</v>
      </c>
      <c r="D3517" s="1">
        <v>45351</v>
      </c>
      <c r="E3517">
        <v>137.26300000000001</v>
      </c>
    </row>
    <row r="3518" spans="3:5" x14ac:dyDescent="0.35">
      <c r="C3518">
        <f t="shared" si="55"/>
        <v>2024</v>
      </c>
      <c r="D3518" s="1">
        <v>45352</v>
      </c>
      <c r="E3518">
        <v>132.34370000000001</v>
      </c>
    </row>
    <row r="3519" spans="3:5" x14ac:dyDescent="0.35">
      <c r="C3519">
        <f t="shared" si="55"/>
        <v>2024</v>
      </c>
      <c r="D3519" s="1">
        <v>45355</v>
      </c>
      <c r="E3519">
        <v>126.5656</v>
      </c>
    </row>
    <row r="3520" spans="3:5" x14ac:dyDescent="0.35">
      <c r="C3520">
        <f t="shared" si="55"/>
        <v>2024</v>
      </c>
      <c r="D3520" s="1">
        <v>45356</v>
      </c>
      <c r="E3520">
        <v>122.48399999999999</v>
      </c>
    </row>
    <row r="3521" spans="3:5" x14ac:dyDescent="0.35">
      <c r="C3521">
        <f t="shared" si="55"/>
        <v>2024</v>
      </c>
      <c r="D3521" s="1">
        <v>45357</v>
      </c>
      <c r="E3521">
        <v>119.1391</v>
      </c>
    </row>
    <row r="3522" spans="3:5" x14ac:dyDescent="0.35">
      <c r="C3522">
        <f t="shared" si="55"/>
        <v>2024</v>
      </c>
      <c r="D3522" s="1">
        <v>45358</v>
      </c>
      <c r="E3522">
        <v>123.6324</v>
      </c>
    </row>
    <row r="3523" spans="3:5" x14ac:dyDescent="0.35">
      <c r="C3523">
        <f t="shared" ref="C3523:C3586" si="56">YEAR(D3523)</f>
        <v>2024</v>
      </c>
      <c r="D3523" s="1">
        <v>45359</v>
      </c>
      <c r="E3523">
        <v>124.84829999999999</v>
      </c>
    </row>
    <row r="3524" spans="3:5" x14ac:dyDescent="0.35">
      <c r="C3524">
        <f t="shared" si="56"/>
        <v>2024</v>
      </c>
      <c r="D3524" s="1">
        <v>45362</v>
      </c>
      <c r="E3524">
        <v>125.04730000000001</v>
      </c>
    </row>
    <row r="3525" spans="3:5" x14ac:dyDescent="0.35">
      <c r="C3525">
        <f t="shared" si="56"/>
        <v>2024</v>
      </c>
      <c r="D3525" s="1">
        <v>45363</v>
      </c>
      <c r="E3525">
        <v>123.80540000000001</v>
      </c>
    </row>
    <row r="3526" spans="3:5" x14ac:dyDescent="0.35">
      <c r="C3526">
        <f t="shared" si="56"/>
        <v>2024</v>
      </c>
      <c r="D3526" s="1">
        <v>45364</v>
      </c>
      <c r="E3526">
        <v>121.1764</v>
      </c>
    </row>
    <row r="3527" spans="3:5" x14ac:dyDescent="0.35">
      <c r="C3527">
        <f t="shared" si="56"/>
        <v>2024</v>
      </c>
      <c r="D3527" s="1">
        <v>45365</v>
      </c>
      <c r="E3527">
        <v>121.6653</v>
      </c>
    </row>
    <row r="3528" spans="3:5" x14ac:dyDescent="0.35">
      <c r="C3528">
        <f t="shared" si="56"/>
        <v>2024</v>
      </c>
      <c r="D3528" s="1">
        <v>45366</v>
      </c>
      <c r="E3528">
        <v>121.0325</v>
      </c>
    </row>
    <row r="3529" spans="3:5" x14ac:dyDescent="0.35">
      <c r="C3529">
        <f t="shared" si="56"/>
        <v>2024</v>
      </c>
      <c r="D3529" s="1">
        <v>45369</v>
      </c>
      <c r="E3529">
        <v>119.7079</v>
      </c>
    </row>
    <row r="3530" spans="3:5" x14ac:dyDescent="0.35">
      <c r="C3530">
        <f t="shared" si="56"/>
        <v>2024</v>
      </c>
      <c r="D3530" s="1">
        <v>45370</v>
      </c>
      <c r="E3530">
        <v>124.1324</v>
      </c>
    </row>
    <row r="3531" spans="3:5" x14ac:dyDescent="0.35">
      <c r="C3531">
        <f t="shared" si="56"/>
        <v>2024</v>
      </c>
      <c r="D3531" s="1">
        <v>45371</v>
      </c>
      <c r="E3531">
        <v>123.8869</v>
      </c>
    </row>
    <row r="3532" spans="3:5" x14ac:dyDescent="0.35">
      <c r="C3532">
        <f t="shared" si="56"/>
        <v>2024</v>
      </c>
      <c r="D3532" s="1">
        <v>45372</v>
      </c>
      <c r="E3532">
        <v>125.5167</v>
      </c>
    </row>
    <row r="3533" spans="3:5" x14ac:dyDescent="0.35">
      <c r="C3533">
        <f t="shared" si="56"/>
        <v>2024</v>
      </c>
      <c r="D3533" s="1">
        <v>45373</v>
      </c>
      <c r="E3533">
        <v>130.53739999999999</v>
      </c>
    </row>
    <row r="3534" spans="3:5" x14ac:dyDescent="0.35">
      <c r="C3534">
        <f t="shared" si="56"/>
        <v>2024</v>
      </c>
      <c r="D3534" s="1">
        <v>45376</v>
      </c>
      <c r="E3534">
        <v>127.3708</v>
      </c>
    </row>
    <row r="3535" spans="3:5" x14ac:dyDescent="0.35">
      <c r="C3535">
        <f t="shared" si="56"/>
        <v>2024</v>
      </c>
      <c r="D3535" s="1">
        <v>45377</v>
      </c>
      <c r="E3535">
        <v>126.7752</v>
      </c>
    </row>
    <row r="3536" spans="3:5" x14ac:dyDescent="0.35">
      <c r="C3536">
        <f t="shared" si="56"/>
        <v>2024</v>
      </c>
      <c r="D3536" s="1">
        <v>45378</v>
      </c>
      <c r="E3536">
        <v>124.646</v>
      </c>
    </row>
    <row r="3537" spans="3:5" x14ac:dyDescent="0.35">
      <c r="C3537">
        <f t="shared" si="56"/>
        <v>2024</v>
      </c>
      <c r="D3537" s="1">
        <v>45379</v>
      </c>
      <c r="E3537">
        <v>129.30590000000001</v>
      </c>
    </row>
    <row r="3538" spans="3:5" x14ac:dyDescent="0.35">
      <c r="C3538">
        <f t="shared" si="56"/>
        <v>2024</v>
      </c>
      <c r="D3538" s="1">
        <v>45383</v>
      </c>
      <c r="E3538">
        <v>130.2861</v>
      </c>
    </row>
    <row r="3539" spans="3:5" x14ac:dyDescent="0.35">
      <c r="C3539">
        <f t="shared" si="56"/>
        <v>2024</v>
      </c>
      <c r="D3539" s="1">
        <v>45384</v>
      </c>
      <c r="E3539">
        <v>126.63930000000001</v>
      </c>
    </row>
    <row r="3540" spans="3:5" x14ac:dyDescent="0.35">
      <c r="C3540">
        <f t="shared" si="56"/>
        <v>2024</v>
      </c>
      <c r="D3540" s="1">
        <v>45385</v>
      </c>
      <c r="E3540">
        <v>126.88339999999999</v>
      </c>
    </row>
    <row r="3541" spans="3:5" x14ac:dyDescent="0.35">
      <c r="C3541">
        <f t="shared" si="56"/>
        <v>2024</v>
      </c>
      <c r="D3541" s="1">
        <v>45386</v>
      </c>
      <c r="E3541">
        <v>123.3651</v>
      </c>
    </row>
    <row r="3542" spans="3:5" x14ac:dyDescent="0.35">
      <c r="C3542">
        <f t="shared" si="56"/>
        <v>2024</v>
      </c>
      <c r="D3542" s="1">
        <v>45387</v>
      </c>
      <c r="E3542">
        <v>128.63069999999999</v>
      </c>
    </row>
    <row r="3543" spans="3:5" x14ac:dyDescent="0.35">
      <c r="C3543">
        <f t="shared" si="56"/>
        <v>2024</v>
      </c>
      <c r="D3543" s="1">
        <v>45390</v>
      </c>
      <c r="E3543">
        <v>129.19479999999999</v>
      </c>
    </row>
    <row r="3544" spans="3:5" x14ac:dyDescent="0.35">
      <c r="C3544">
        <f t="shared" si="56"/>
        <v>2024</v>
      </c>
      <c r="D3544" s="1">
        <v>45397</v>
      </c>
      <c r="E3544">
        <v>121.1357</v>
      </c>
    </row>
    <row r="3545" spans="3:5" x14ac:dyDescent="0.35">
      <c r="C3545">
        <f t="shared" si="56"/>
        <v>2024</v>
      </c>
      <c r="D3545" s="1">
        <v>45398</v>
      </c>
      <c r="E3545">
        <v>119.2294</v>
      </c>
    </row>
    <row r="3546" spans="3:5" x14ac:dyDescent="0.35">
      <c r="C3546">
        <f t="shared" si="56"/>
        <v>2024</v>
      </c>
      <c r="D3546" s="1">
        <v>45399</v>
      </c>
      <c r="E3546">
        <v>119.09780000000001</v>
      </c>
    </row>
    <row r="3547" spans="3:5" x14ac:dyDescent="0.35">
      <c r="C3547">
        <f t="shared" si="56"/>
        <v>2024</v>
      </c>
      <c r="D3547" s="1">
        <v>45400</v>
      </c>
      <c r="E3547">
        <v>119.11669999999999</v>
      </c>
    </row>
    <row r="3548" spans="3:5" x14ac:dyDescent="0.35">
      <c r="C3548">
        <f t="shared" si="56"/>
        <v>2024</v>
      </c>
      <c r="D3548" s="1">
        <v>45401</v>
      </c>
      <c r="E3548">
        <v>120.4716</v>
      </c>
    </row>
    <row r="3549" spans="3:5" x14ac:dyDescent="0.35">
      <c r="C3549">
        <f t="shared" si="56"/>
        <v>2024</v>
      </c>
      <c r="D3549" s="1">
        <v>45404</v>
      </c>
      <c r="E3549">
        <v>123.8413</v>
      </c>
    </row>
    <row r="3550" spans="3:5" x14ac:dyDescent="0.35">
      <c r="C3550">
        <f t="shared" si="56"/>
        <v>2024</v>
      </c>
      <c r="D3550" s="1">
        <v>45406</v>
      </c>
      <c r="E3550">
        <v>127.48739999999999</v>
      </c>
    </row>
    <row r="3551" spans="3:5" x14ac:dyDescent="0.35">
      <c r="C3551">
        <f t="shared" si="56"/>
        <v>2024</v>
      </c>
      <c r="D3551" s="1">
        <v>45407</v>
      </c>
      <c r="E3551">
        <v>128.4126</v>
      </c>
    </row>
    <row r="3552" spans="3:5" x14ac:dyDescent="0.35">
      <c r="C3552">
        <f t="shared" si="56"/>
        <v>2024</v>
      </c>
      <c r="D3552" s="1">
        <v>45408</v>
      </c>
      <c r="E3552">
        <v>129.79679999999999</v>
      </c>
    </row>
    <row r="3553" spans="3:5" x14ac:dyDescent="0.35">
      <c r="C3553">
        <f t="shared" si="56"/>
        <v>2024</v>
      </c>
      <c r="D3553" s="1">
        <v>45411</v>
      </c>
      <c r="E3553">
        <v>132.8954</v>
      </c>
    </row>
    <row r="3554" spans="3:5" x14ac:dyDescent="0.35">
      <c r="C3554">
        <f t="shared" si="56"/>
        <v>2024</v>
      </c>
      <c r="D3554" s="1">
        <v>45412</v>
      </c>
      <c r="E3554">
        <v>136.70500000000001</v>
      </c>
    </row>
    <row r="3555" spans="3:5" x14ac:dyDescent="0.35">
      <c r="C3555">
        <f t="shared" si="56"/>
        <v>2024</v>
      </c>
      <c r="D3555" s="1">
        <v>45414</v>
      </c>
      <c r="E3555">
        <v>136.33600000000001</v>
      </c>
    </row>
    <row r="3556" spans="3:5" x14ac:dyDescent="0.35">
      <c r="C3556">
        <f t="shared" si="56"/>
        <v>2024</v>
      </c>
      <c r="D3556" s="1">
        <v>45415</v>
      </c>
      <c r="E3556">
        <v>135.6952</v>
      </c>
    </row>
    <row r="3557" spans="3:5" x14ac:dyDescent="0.35">
      <c r="C3557">
        <f t="shared" si="56"/>
        <v>2024</v>
      </c>
      <c r="D3557" s="1">
        <v>45418</v>
      </c>
      <c r="E3557">
        <v>135.20869999999999</v>
      </c>
    </row>
    <row r="3558" spans="3:5" x14ac:dyDescent="0.35">
      <c r="C3558">
        <f t="shared" si="56"/>
        <v>2024</v>
      </c>
      <c r="D3558" s="1">
        <v>45419</v>
      </c>
      <c r="E3558">
        <v>137.33019999999999</v>
      </c>
    </row>
    <row r="3559" spans="3:5" x14ac:dyDescent="0.35">
      <c r="C3559">
        <f t="shared" si="56"/>
        <v>2024</v>
      </c>
      <c r="D3559" s="1">
        <v>45420</v>
      </c>
      <c r="E3559">
        <v>136.59989999999999</v>
      </c>
    </row>
    <row r="3560" spans="3:5" x14ac:dyDescent="0.35">
      <c r="C3560">
        <f t="shared" si="56"/>
        <v>2024</v>
      </c>
      <c r="D3560" s="1">
        <v>45421</v>
      </c>
      <c r="E3560">
        <v>134.09889999999999</v>
      </c>
    </row>
    <row r="3561" spans="3:5" x14ac:dyDescent="0.35">
      <c r="C3561">
        <f t="shared" si="56"/>
        <v>2024</v>
      </c>
      <c r="D3561" s="1">
        <v>45422</v>
      </c>
      <c r="E3561">
        <v>129.42189999999999</v>
      </c>
    </row>
    <row r="3562" spans="3:5" x14ac:dyDescent="0.35">
      <c r="C3562">
        <f t="shared" si="56"/>
        <v>2024</v>
      </c>
      <c r="D3562" s="1">
        <v>45425</v>
      </c>
      <c r="E3562">
        <v>130.01410000000001</v>
      </c>
    </row>
    <row r="3563" spans="3:5" x14ac:dyDescent="0.35">
      <c r="C3563">
        <f t="shared" si="56"/>
        <v>2024</v>
      </c>
      <c r="D3563" s="1">
        <v>45426</v>
      </c>
      <c r="E3563">
        <v>127.13720000000001</v>
      </c>
    </row>
    <row r="3564" spans="3:5" x14ac:dyDescent="0.35">
      <c r="C3564">
        <f t="shared" si="56"/>
        <v>2024</v>
      </c>
      <c r="D3564" s="1">
        <v>45427</v>
      </c>
      <c r="E3564">
        <v>123.22790000000001</v>
      </c>
    </row>
    <row r="3565" spans="3:5" x14ac:dyDescent="0.35">
      <c r="C3565">
        <f t="shared" si="56"/>
        <v>2024</v>
      </c>
      <c r="D3565" s="1">
        <v>45428</v>
      </c>
      <c r="E3565">
        <v>124.7521</v>
      </c>
    </row>
    <row r="3566" spans="3:5" x14ac:dyDescent="0.35">
      <c r="C3566">
        <f t="shared" si="56"/>
        <v>2024</v>
      </c>
      <c r="D3566" s="1">
        <v>45429</v>
      </c>
      <c r="E3566">
        <v>129.29060000000001</v>
      </c>
    </row>
    <row r="3567" spans="3:5" x14ac:dyDescent="0.35">
      <c r="C3567">
        <f t="shared" si="56"/>
        <v>2024</v>
      </c>
      <c r="D3567" s="1">
        <v>45432</v>
      </c>
      <c r="E3567">
        <v>128.25829999999999</v>
      </c>
    </row>
    <row r="3568" spans="3:5" x14ac:dyDescent="0.35">
      <c r="C3568">
        <f t="shared" si="56"/>
        <v>2024</v>
      </c>
      <c r="D3568" s="1">
        <v>45433</v>
      </c>
      <c r="E3568">
        <v>128.58770000000001</v>
      </c>
    </row>
    <row r="3569" spans="3:5" x14ac:dyDescent="0.35">
      <c r="C3569">
        <f t="shared" si="56"/>
        <v>2024</v>
      </c>
      <c r="D3569" s="1">
        <v>45434</v>
      </c>
      <c r="E3569">
        <v>130.01830000000001</v>
      </c>
    </row>
    <row r="3570" spans="3:5" x14ac:dyDescent="0.35">
      <c r="C3570">
        <f t="shared" si="56"/>
        <v>2024</v>
      </c>
      <c r="D3570" s="1">
        <v>45435</v>
      </c>
      <c r="E3570">
        <v>131.5444</v>
      </c>
    </row>
    <row r="3571" spans="3:5" x14ac:dyDescent="0.35">
      <c r="C3571">
        <f t="shared" si="56"/>
        <v>2024</v>
      </c>
      <c r="D3571" s="1">
        <v>45436</v>
      </c>
      <c r="E3571">
        <v>131.7054</v>
      </c>
    </row>
    <row r="3572" spans="3:5" x14ac:dyDescent="0.35">
      <c r="C3572">
        <f t="shared" si="56"/>
        <v>2024</v>
      </c>
      <c r="D3572" s="1">
        <v>45440</v>
      </c>
      <c r="E3572">
        <v>128.32839999999999</v>
      </c>
    </row>
    <row r="3573" spans="3:5" x14ac:dyDescent="0.35">
      <c r="C3573">
        <f t="shared" si="56"/>
        <v>2024</v>
      </c>
      <c r="D3573" s="1">
        <v>45441</v>
      </c>
      <c r="E3573">
        <v>126.13979999999999</v>
      </c>
    </row>
    <row r="3574" spans="3:5" x14ac:dyDescent="0.35">
      <c r="C3574">
        <f t="shared" si="56"/>
        <v>2024</v>
      </c>
      <c r="D3574" s="1">
        <v>45442</v>
      </c>
      <c r="E3574">
        <v>125.9248</v>
      </c>
    </row>
    <row r="3575" spans="3:5" x14ac:dyDescent="0.35">
      <c r="C3575">
        <f t="shared" si="56"/>
        <v>2024</v>
      </c>
      <c r="D3575" s="1">
        <v>45443</v>
      </c>
      <c r="E3575">
        <v>125.7236</v>
      </c>
    </row>
    <row r="3576" spans="3:5" x14ac:dyDescent="0.35">
      <c r="C3576">
        <f t="shared" si="56"/>
        <v>2024</v>
      </c>
      <c r="D3576" s="1">
        <v>45446</v>
      </c>
      <c r="E3576">
        <v>128.28809999999999</v>
      </c>
    </row>
    <row r="3577" spans="3:5" x14ac:dyDescent="0.35">
      <c r="C3577">
        <f t="shared" si="56"/>
        <v>2024</v>
      </c>
      <c r="D3577" s="1">
        <v>45447</v>
      </c>
      <c r="E3577">
        <v>127.1883</v>
      </c>
    </row>
    <row r="3578" spans="3:5" x14ac:dyDescent="0.35">
      <c r="C3578">
        <f t="shared" si="56"/>
        <v>2024</v>
      </c>
      <c r="D3578" s="1">
        <v>45448</v>
      </c>
      <c r="E3578">
        <v>126.42100000000001</v>
      </c>
    </row>
    <row r="3579" spans="3:5" x14ac:dyDescent="0.35">
      <c r="C3579">
        <f t="shared" si="56"/>
        <v>2024</v>
      </c>
      <c r="D3579" s="1">
        <v>45449</v>
      </c>
      <c r="E3579">
        <v>124.2107</v>
      </c>
    </row>
    <row r="3580" spans="3:5" x14ac:dyDescent="0.35">
      <c r="C3580">
        <f t="shared" si="56"/>
        <v>2024</v>
      </c>
      <c r="D3580" s="1">
        <v>45450</v>
      </c>
      <c r="E3580">
        <v>126.4079</v>
      </c>
    </row>
    <row r="3581" spans="3:5" x14ac:dyDescent="0.35">
      <c r="C3581">
        <f t="shared" si="56"/>
        <v>2024</v>
      </c>
      <c r="D3581" s="1">
        <v>45453</v>
      </c>
      <c r="E3581">
        <v>124.67010000000001</v>
      </c>
    </row>
    <row r="3582" spans="3:5" x14ac:dyDescent="0.35">
      <c r="C3582">
        <f t="shared" si="56"/>
        <v>2024</v>
      </c>
      <c r="D3582" s="1">
        <v>45454</v>
      </c>
      <c r="E3582">
        <v>125.9153</v>
      </c>
    </row>
    <row r="3583" spans="3:5" x14ac:dyDescent="0.35">
      <c r="C3583">
        <f t="shared" si="56"/>
        <v>2024</v>
      </c>
      <c r="D3583" s="1">
        <v>45455</v>
      </c>
      <c r="E3583">
        <v>125.4764</v>
      </c>
    </row>
    <row r="3584" spans="3:5" x14ac:dyDescent="0.35">
      <c r="C3584">
        <f t="shared" si="56"/>
        <v>2024</v>
      </c>
      <c r="D3584" s="1">
        <v>45456</v>
      </c>
      <c r="E3584">
        <v>129.45419999999999</v>
      </c>
    </row>
    <row r="3585" spans="3:5" x14ac:dyDescent="0.35">
      <c r="C3585">
        <f t="shared" si="56"/>
        <v>2024</v>
      </c>
      <c r="D3585" s="1">
        <v>45457</v>
      </c>
      <c r="E3585">
        <v>128.0112</v>
      </c>
    </row>
    <row r="3586" spans="3:5" x14ac:dyDescent="0.35">
      <c r="C3586">
        <f t="shared" si="56"/>
        <v>2024</v>
      </c>
      <c r="D3586" s="1">
        <v>45463</v>
      </c>
      <c r="E3586">
        <v>128.4298</v>
      </c>
    </row>
    <row r="3587" spans="3:5" x14ac:dyDescent="0.35">
      <c r="C3587">
        <f t="shared" ref="C3587:C3650" si="57">YEAR(D3587)</f>
        <v>2024</v>
      </c>
      <c r="D3587" s="1">
        <v>45464</v>
      </c>
      <c r="E3587">
        <v>129.24639999999999</v>
      </c>
    </row>
    <row r="3588" spans="3:5" x14ac:dyDescent="0.35">
      <c r="C3588">
        <f t="shared" si="57"/>
        <v>2024</v>
      </c>
      <c r="D3588" s="1">
        <v>45467</v>
      </c>
      <c r="E3588">
        <v>126.1662</v>
      </c>
    </row>
    <row r="3589" spans="3:5" x14ac:dyDescent="0.35">
      <c r="C3589">
        <f t="shared" si="57"/>
        <v>2024</v>
      </c>
      <c r="D3589" s="1">
        <v>45468</v>
      </c>
      <c r="E3589">
        <v>124.69589999999999</v>
      </c>
    </row>
    <row r="3590" spans="3:5" x14ac:dyDescent="0.35">
      <c r="C3590">
        <f t="shared" si="57"/>
        <v>2024</v>
      </c>
      <c r="D3590" s="1">
        <v>45469</v>
      </c>
      <c r="E3590">
        <v>123.599</v>
      </c>
    </row>
    <row r="3591" spans="3:5" x14ac:dyDescent="0.35">
      <c r="C3591">
        <f t="shared" si="57"/>
        <v>2024</v>
      </c>
      <c r="D3591" s="1">
        <v>45470</v>
      </c>
      <c r="E3591">
        <v>124.5842</v>
      </c>
    </row>
    <row r="3592" spans="3:5" x14ac:dyDescent="0.35">
      <c r="C3592">
        <f t="shared" si="57"/>
        <v>2024</v>
      </c>
      <c r="D3592" s="1">
        <v>45471</v>
      </c>
      <c r="E3592">
        <v>125.4453</v>
      </c>
    </row>
    <row r="3593" spans="3:5" x14ac:dyDescent="0.35">
      <c r="C3593">
        <f t="shared" si="57"/>
        <v>2024</v>
      </c>
      <c r="D3593" s="1">
        <v>45474</v>
      </c>
      <c r="E3593">
        <v>120.59869999999999</v>
      </c>
    </row>
    <row r="3594" spans="3:5" x14ac:dyDescent="0.35">
      <c r="C3594">
        <f t="shared" si="57"/>
        <v>2024</v>
      </c>
      <c r="D3594" s="1">
        <v>45475</v>
      </c>
      <c r="E3594">
        <v>122.1104</v>
      </c>
    </row>
    <row r="3595" spans="3:5" x14ac:dyDescent="0.35">
      <c r="C3595">
        <f t="shared" si="57"/>
        <v>2024</v>
      </c>
      <c r="D3595" s="1">
        <v>45476</v>
      </c>
      <c r="E3595">
        <v>122.8201</v>
      </c>
    </row>
    <row r="3596" spans="3:5" x14ac:dyDescent="0.35">
      <c r="C3596">
        <f t="shared" si="57"/>
        <v>2024</v>
      </c>
      <c r="D3596" s="1">
        <v>45478</v>
      </c>
      <c r="E3596">
        <v>122.88849999999999</v>
      </c>
    </row>
    <row r="3597" spans="3:5" x14ac:dyDescent="0.35">
      <c r="C3597">
        <f t="shared" si="57"/>
        <v>2024</v>
      </c>
      <c r="D3597" s="1">
        <v>45481</v>
      </c>
      <c r="E3597">
        <v>123.6781</v>
      </c>
    </row>
    <row r="3598" spans="3:5" x14ac:dyDescent="0.35">
      <c r="C3598">
        <f t="shared" si="57"/>
        <v>2024</v>
      </c>
      <c r="D3598" s="1">
        <v>45482</v>
      </c>
      <c r="E3598">
        <v>125.1735</v>
      </c>
    </row>
    <row r="3599" spans="3:5" x14ac:dyDescent="0.35">
      <c r="C3599">
        <f t="shared" si="57"/>
        <v>2024</v>
      </c>
      <c r="D3599" s="1">
        <v>45483</v>
      </c>
      <c r="E3599">
        <v>121.4383</v>
      </c>
    </row>
    <row r="3600" spans="3:5" x14ac:dyDescent="0.35">
      <c r="C3600">
        <f t="shared" si="57"/>
        <v>2024</v>
      </c>
      <c r="D3600" s="1">
        <v>45484</v>
      </c>
      <c r="E3600">
        <v>121.42959999999999</v>
      </c>
    </row>
    <row r="3601" spans="3:5" x14ac:dyDescent="0.35">
      <c r="C3601">
        <f t="shared" si="57"/>
        <v>2024</v>
      </c>
      <c r="D3601" s="1">
        <v>45485</v>
      </c>
      <c r="E3601">
        <v>120.1493</v>
      </c>
    </row>
    <row r="3602" spans="3:5" x14ac:dyDescent="0.35">
      <c r="C3602">
        <f t="shared" si="57"/>
        <v>2024</v>
      </c>
      <c r="D3602" s="1">
        <v>45489</v>
      </c>
      <c r="E3602">
        <v>117.6391</v>
      </c>
    </row>
    <row r="3603" spans="3:5" x14ac:dyDescent="0.35">
      <c r="C3603">
        <f t="shared" si="57"/>
        <v>2024</v>
      </c>
      <c r="D3603" s="1">
        <v>45490</v>
      </c>
      <c r="E3603">
        <v>118.59220000000001</v>
      </c>
    </row>
    <row r="3604" spans="3:5" x14ac:dyDescent="0.35">
      <c r="C3604">
        <f t="shared" si="57"/>
        <v>2024</v>
      </c>
      <c r="D3604" s="1">
        <v>45491</v>
      </c>
      <c r="E3604">
        <v>121.3775</v>
      </c>
    </row>
    <row r="3605" spans="3:5" x14ac:dyDescent="0.35">
      <c r="C3605">
        <f t="shared" si="57"/>
        <v>2024</v>
      </c>
      <c r="D3605" s="1">
        <v>45492</v>
      </c>
      <c r="E3605">
        <v>123.8056</v>
      </c>
    </row>
    <row r="3606" spans="3:5" x14ac:dyDescent="0.35">
      <c r="C3606">
        <f t="shared" si="57"/>
        <v>2024</v>
      </c>
      <c r="D3606" s="1">
        <v>45495</v>
      </c>
      <c r="E3606">
        <v>122.06010000000001</v>
      </c>
    </row>
    <row r="3607" spans="3:5" x14ac:dyDescent="0.35">
      <c r="C3607">
        <f t="shared" si="57"/>
        <v>2024</v>
      </c>
      <c r="D3607" s="1">
        <v>45496</v>
      </c>
      <c r="E3607">
        <v>120.2116</v>
      </c>
    </row>
    <row r="3608" spans="3:5" x14ac:dyDescent="0.35">
      <c r="C3608">
        <f t="shared" si="57"/>
        <v>2024</v>
      </c>
      <c r="D3608" s="1">
        <v>45497</v>
      </c>
      <c r="E3608">
        <v>119.6969</v>
      </c>
    </row>
    <row r="3609" spans="3:5" x14ac:dyDescent="0.35">
      <c r="C3609">
        <f t="shared" si="57"/>
        <v>2024</v>
      </c>
      <c r="D3609" s="1">
        <v>45498</v>
      </c>
      <c r="E3609">
        <v>120.8523</v>
      </c>
    </row>
    <row r="3610" spans="3:5" x14ac:dyDescent="0.35">
      <c r="C3610">
        <f t="shared" si="57"/>
        <v>2024</v>
      </c>
      <c r="D3610" s="1">
        <v>45499</v>
      </c>
      <c r="E3610">
        <v>118.9803</v>
      </c>
    </row>
    <row r="3611" spans="3:5" x14ac:dyDescent="0.35">
      <c r="C3611">
        <f t="shared" si="57"/>
        <v>2024</v>
      </c>
      <c r="D3611" s="1">
        <v>45502</v>
      </c>
      <c r="E3611">
        <v>116.4777</v>
      </c>
    </row>
    <row r="3612" spans="3:5" x14ac:dyDescent="0.35">
      <c r="C3612">
        <f t="shared" si="57"/>
        <v>2024</v>
      </c>
      <c r="D3612" s="1">
        <v>45503</v>
      </c>
      <c r="E3612">
        <v>114.8308</v>
      </c>
    </row>
    <row r="3613" spans="3:5" x14ac:dyDescent="0.35">
      <c r="C3613">
        <f t="shared" si="57"/>
        <v>2024</v>
      </c>
      <c r="D3613" s="1">
        <v>45504</v>
      </c>
      <c r="E3613">
        <v>112.0196</v>
      </c>
    </row>
    <row r="3614" spans="3:5" x14ac:dyDescent="0.35">
      <c r="C3614">
        <f t="shared" si="57"/>
        <v>2024</v>
      </c>
      <c r="D3614" s="1">
        <v>45505</v>
      </c>
      <c r="E3614">
        <v>114.5442</v>
      </c>
    </row>
    <row r="3615" spans="3:5" x14ac:dyDescent="0.35">
      <c r="C3615">
        <f t="shared" si="57"/>
        <v>2024</v>
      </c>
      <c r="D3615" s="1">
        <v>45506</v>
      </c>
      <c r="E3615">
        <v>112.72110000000001</v>
      </c>
    </row>
    <row r="3616" spans="3:5" x14ac:dyDescent="0.35">
      <c r="C3616">
        <f t="shared" si="57"/>
        <v>2024</v>
      </c>
      <c r="D3616" s="1">
        <v>45509</v>
      </c>
      <c r="E3616">
        <v>107.9053</v>
      </c>
    </row>
    <row r="3617" spans="3:5" x14ac:dyDescent="0.35">
      <c r="C3617">
        <f t="shared" si="57"/>
        <v>2024</v>
      </c>
      <c r="D3617" s="1">
        <v>45510</v>
      </c>
      <c r="E3617">
        <v>108.96469999999999</v>
      </c>
    </row>
    <row r="3618" spans="3:5" x14ac:dyDescent="0.35">
      <c r="C3618">
        <f t="shared" si="57"/>
        <v>2024</v>
      </c>
      <c r="D3618" s="1">
        <v>45511</v>
      </c>
      <c r="E3618">
        <v>115.3319</v>
      </c>
    </row>
    <row r="3619" spans="3:5" x14ac:dyDescent="0.35">
      <c r="C3619">
        <f t="shared" si="57"/>
        <v>2024</v>
      </c>
      <c r="D3619" s="1">
        <v>45512</v>
      </c>
      <c r="E3619">
        <v>115.7182</v>
      </c>
    </row>
    <row r="3620" spans="3:5" x14ac:dyDescent="0.35">
      <c r="C3620">
        <f t="shared" si="57"/>
        <v>2024</v>
      </c>
      <c r="D3620" s="1">
        <v>45513</v>
      </c>
      <c r="E3620">
        <v>115.08199999999999</v>
      </c>
    </row>
    <row r="3621" spans="3:5" x14ac:dyDescent="0.35">
      <c r="C3621">
        <f t="shared" si="57"/>
        <v>2024</v>
      </c>
      <c r="D3621" s="1">
        <v>45516</v>
      </c>
      <c r="E3621">
        <v>113.1331</v>
      </c>
    </row>
    <row r="3622" spans="3:5" x14ac:dyDescent="0.35">
      <c r="C3622">
        <f t="shared" si="57"/>
        <v>2024</v>
      </c>
      <c r="D3622" s="1">
        <v>45517</v>
      </c>
      <c r="E3622">
        <v>112.2274</v>
      </c>
    </row>
    <row r="3623" spans="3:5" x14ac:dyDescent="0.35">
      <c r="C3623">
        <f t="shared" si="57"/>
        <v>2024</v>
      </c>
      <c r="D3623" s="1">
        <v>45518</v>
      </c>
      <c r="E3623">
        <v>111.01179999999999</v>
      </c>
    </row>
    <row r="3624" spans="3:5" x14ac:dyDescent="0.35">
      <c r="C3624">
        <f t="shared" si="57"/>
        <v>2024</v>
      </c>
      <c r="D3624" s="1">
        <v>45519</v>
      </c>
      <c r="E3624">
        <v>108.8935</v>
      </c>
    </row>
    <row r="3625" spans="3:5" x14ac:dyDescent="0.35">
      <c r="C3625">
        <f t="shared" si="57"/>
        <v>2024</v>
      </c>
      <c r="D3625" s="1">
        <v>45520</v>
      </c>
      <c r="E3625">
        <v>108.6146</v>
      </c>
    </row>
    <row r="3626" spans="3:5" x14ac:dyDescent="0.35">
      <c r="C3626">
        <f t="shared" si="57"/>
        <v>2024</v>
      </c>
      <c r="D3626" s="1">
        <v>45523</v>
      </c>
      <c r="E3626">
        <v>109.6066</v>
      </c>
    </row>
    <row r="3627" spans="3:5" x14ac:dyDescent="0.35">
      <c r="C3627">
        <f t="shared" si="57"/>
        <v>2024</v>
      </c>
      <c r="D3627" s="1">
        <v>45524</v>
      </c>
      <c r="E3627">
        <v>109.9722</v>
      </c>
    </row>
    <row r="3628" spans="3:5" x14ac:dyDescent="0.35">
      <c r="C3628">
        <f t="shared" si="57"/>
        <v>2024</v>
      </c>
      <c r="D3628" s="1">
        <v>45525</v>
      </c>
      <c r="E3628">
        <v>108.91379999999999</v>
      </c>
    </row>
    <row r="3629" spans="3:5" x14ac:dyDescent="0.35">
      <c r="C3629">
        <f t="shared" si="57"/>
        <v>2024</v>
      </c>
      <c r="D3629" s="1">
        <v>45526</v>
      </c>
      <c r="E3629">
        <v>108.922</v>
      </c>
    </row>
    <row r="3630" spans="3:5" x14ac:dyDescent="0.35">
      <c r="C3630">
        <f t="shared" si="57"/>
        <v>2024</v>
      </c>
      <c r="D3630" s="1">
        <v>45527</v>
      </c>
      <c r="E3630">
        <v>107.7206</v>
      </c>
    </row>
    <row r="3631" spans="3:5" x14ac:dyDescent="0.35">
      <c r="C3631">
        <f t="shared" si="57"/>
        <v>2024</v>
      </c>
      <c r="D3631" s="1">
        <v>45530</v>
      </c>
      <c r="E3631">
        <v>104.8485</v>
      </c>
    </row>
    <row r="3632" spans="3:5" x14ac:dyDescent="0.35">
      <c r="C3632">
        <f t="shared" si="57"/>
        <v>2024</v>
      </c>
      <c r="D3632" s="1">
        <v>45531</v>
      </c>
      <c r="E3632">
        <v>108.18040000000001</v>
      </c>
    </row>
    <row r="3633" spans="3:5" x14ac:dyDescent="0.35">
      <c r="C3633">
        <f t="shared" si="57"/>
        <v>2024</v>
      </c>
      <c r="D3633" s="1">
        <v>45532</v>
      </c>
      <c r="E3633">
        <v>110.50020000000001</v>
      </c>
    </row>
    <row r="3634" spans="3:5" x14ac:dyDescent="0.35">
      <c r="C3634">
        <f t="shared" si="57"/>
        <v>2024</v>
      </c>
      <c r="D3634" s="1">
        <v>45533</v>
      </c>
      <c r="E3634">
        <v>108.3967</v>
      </c>
    </row>
    <row r="3635" spans="3:5" x14ac:dyDescent="0.35">
      <c r="C3635">
        <f t="shared" si="57"/>
        <v>2024</v>
      </c>
      <c r="D3635" s="1">
        <v>45538</v>
      </c>
      <c r="E3635">
        <v>111.5168</v>
      </c>
    </row>
    <row r="3636" spans="3:5" x14ac:dyDescent="0.35">
      <c r="C3636">
        <f t="shared" si="57"/>
        <v>2024</v>
      </c>
      <c r="D3636" s="1">
        <v>45539</v>
      </c>
      <c r="E3636">
        <v>110.4423</v>
      </c>
    </row>
    <row r="3637" spans="3:5" x14ac:dyDescent="0.35">
      <c r="C3637">
        <f t="shared" si="57"/>
        <v>2024</v>
      </c>
      <c r="D3637" s="1">
        <v>45540</v>
      </c>
      <c r="E3637">
        <v>107.9783</v>
      </c>
    </row>
    <row r="3638" spans="3:5" x14ac:dyDescent="0.35">
      <c r="C3638">
        <f t="shared" si="57"/>
        <v>2024</v>
      </c>
      <c r="D3638" s="1">
        <v>45541</v>
      </c>
      <c r="E3638">
        <v>108.0013</v>
      </c>
    </row>
    <row r="3639" spans="3:5" x14ac:dyDescent="0.35">
      <c r="C3639">
        <f t="shared" si="57"/>
        <v>2024</v>
      </c>
      <c r="D3639" s="1">
        <v>45544</v>
      </c>
      <c r="E3639">
        <v>105.6866</v>
      </c>
    </row>
    <row r="3640" spans="3:5" x14ac:dyDescent="0.35">
      <c r="C3640">
        <f t="shared" si="57"/>
        <v>2024</v>
      </c>
      <c r="D3640" s="1">
        <v>45545</v>
      </c>
      <c r="E3640">
        <v>103.1232</v>
      </c>
    </row>
    <row r="3641" spans="3:5" x14ac:dyDescent="0.35">
      <c r="C3641">
        <f t="shared" si="57"/>
        <v>2024</v>
      </c>
      <c r="D3641" s="1">
        <v>45546</v>
      </c>
      <c r="E3641">
        <v>101.8321</v>
      </c>
    </row>
    <row r="3642" spans="3:5" x14ac:dyDescent="0.35">
      <c r="C3642">
        <f t="shared" si="57"/>
        <v>2024</v>
      </c>
      <c r="D3642" s="1">
        <v>45547</v>
      </c>
      <c r="E3642">
        <v>102.6459</v>
      </c>
    </row>
    <row r="3643" spans="3:5" x14ac:dyDescent="0.35">
      <c r="C3643">
        <f t="shared" si="57"/>
        <v>2024</v>
      </c>
      <c r="D3643" s="1">
        <v>45548</v>
      </c>
      <c r="E3643">
        <v>103.6504</v>
      </c>
    </row>
    <row r="3644" spans="3:5" x14ac:dyDescent="0.35">
      <c r="C3644">
        <f t="shared" si="57"/>
        <v>2024</v>
      </c>
      <c r="D3644" s="1">
        <v>45551</v>
      </c>
      <c r="E3644">
        <v>101.616</v>
      </c>
    </row>
    <row r="3645" spans="3:5" x14ac:dyDescent="0.35">
      <c r="C3645">
        <f t="shared" si="57"/>
        <v>2024</v>
      </c>
      <c r="D3645" s="1">
        <v>45552</v>
      </c>
      <c r="E3645">
        <v>103.6979</v>
      </c>
    </row>
    <row r="3646" spans="3:5" x14ac:dyDescent="0.35">
      <c r="C3646">
        <f t="shared" si="57"/>
        <v>2024</v>
      </c>
      <c r="D3646" s="1">
        <v>45553</v>
      </c>
      <c r="E3646">
        <v>103.5227</v>
      </c>
    </row>
    <row r="3647" spans="3:5" x14ac:dyDescent="0.35">
      <c r="C3647">
        <f t="shared" si="57"/>
        <v>2024</v>
      </c>
      <c r="D3647" s="1">
        <v>45554</v>
      </c>
      <c r="E3647">
        <v>106.1767</v>
      </c>
    </row>
    <row r="3648" spans="3:5" x14ac:dyDescent="0.35">
      <c r="C3648">
        <f t="shared" si="57"/>
        <v>2024</v>
      </c>
      <c r="D3648" s="1">
        <v>45555</v>
      </c>
      <c r="E3648">
        <v>104.333</v>
      </c>
    </row>
    <row r="3649" spans="3:5" x14ac:dyDescent="0.35">
      <c r="C3649">
        <f t="shared" si="57"/>
        <v>2024</v>
      </c>
      <c r="D3649" s="1">
        <v>45558</v>
      </c>
      <c r="E3649">
        <v>102.92789999999999</v>
      </c>
    </row>
    <row r="3650" spans="3:5" x14ac:dyDescent="0.35">
      <c r="C3650">
        <f t="shared" si="57"/>
        <v>2024</v>
      </c>
      <c r="D3650" s="1">
        <v>45559</v>
      </c>
      <c r="E3650">
        <v>101.7743</v>
      </c>
    </row>
    <row r="3651" spans="3:5" x14ac:dyDescent="0.35">
      <c r="C3651">
        <f t="shared" ref="C3651:C3714" si="58">YEAR(D3651)</f>
        <v>2024</v>
      </c>
      <c r="D3651" s="1">
        <v>45560</v>
      </c>
      <c r="E3651">
        <v>99.864999999999995</v>
      </c>
    </row>
    <row r="3652" spans="3:5" x14ac:dyDescent="0.35">
      <c r="C3652">
        <f t="shared" si="58"/>
        <v>2024</v>
      </c>
      <c r="D3652" s="1">
        <v>45561</v>
      </c>
      <c r="E3652">
        <v>99.323800000000006</v>
      </c>
    </row>
    <row r="3653" spans="3:5" x14ac:dyDescent="0.35">
      <c r="C3653">
        <f t="shared" si="58"/>
        <v>2024</v>
      </c>
      <c r="D3653" s="1">
        <v>45562</v>
      </c>
      <c r="E3653">
        <v>100.5864</v>
      </c>
    </row>
    <row r="3654" spans="3:5" x14ac:dyDescent="0.35">
      <c r="C3654">
        <f t="shared" si="58"/>
        <v>2024</v>
      </c>
      <c r="D3654" s="1">
        <v>45565</v>
      </c>
      <c r="E3654">
        <v>98.472200000000001</v>
      </c>
    </row>
    <row r="3655" spans="3:5" x14ac:dyDescent="0.35">
      <c r="C3655">
        <f t="shared" si="58"/>
        <v>2024</v>
      </c>
      <c r="D3655" s="1">
        <v>45566</v>
      </c>
      <c r="E3655">
        <v>94.692300000000003</v>
      </c>
    </row>
    <row r="3656" spans="3:5" x14ac:dyDescent="0.35">
      <c r="C3656">
        <f t="shared" si="58"/>
        <v>2024</v>
      </c>
      <c r="D3656" s="1">
        <v>45567</v>
      </c>
      <c r="E3656">
        <v>93.316400000000002</v>
      </c>
    </row>
    <row r="3657" spans="3:5" x14ac:dyDescent="0.35">
      <c r="C3657">
        <f t="shared" si="58"/>
        <v>2024</v>
      </c>
      <c r="D3657" s="1">
        <v>45568</v>
      </c>
      <c r="E3657">
        <v>91.904200000000003</v>
      </c>
    </row>
    <row r="3658" spans="3:5" x14ac:dyDescent="0.35">
      <c r="C3658">
        <f t="shared" si="58"/>
        <v>2024</v>
      </c>
      <c r="D3658" s="1">
        <v>45569</v>
      </c>
      <c r="E3658">
        <v>94.024299999999997</v>
      </c>
    </row>
    <row r="3659" spans="3:5" x14ac:dyDescent="0.35">
      <c r="C3659">
        <f t="shared" si="58"/>
        <v>2024</v>
      </c>
      <c r="D3659" s="1">
        <v>45572</v>
      </c>
      <c r="E3659">
        <v>92.944599999999994</v>
      </c>
    </row>
    <row r="3660" spans="3:5" x14ac:dyDescent="0.35">
      <c r="C3660">
        <f t="shared" si="58"/>
        <v>2024</v>
      </c>
      <c r="D3660" s="1">
        <v>45573</v>
      </c>
      <c r="E3660">
        <v>94.037199999999999</v>
      </c>
    </row>
    <row r="3661" spans="3:5" x14ac:dyDescent="0.35">
      <c r="C3661">
        <f t="shared" si="58"/>
        <v>2024</v>
      </c>
      <c r="D3661" s="1">
        <v>45574</v>
      </c>
      <c r="E3661">
        <v>94.138800000000003</v>
      </c>
    </row>
    <row r="3662" spans="3:5" x14ac:dyDescent="0.35">
      <c r="C3662">
        <f t="shared" si="58"/>
        <v>2024</v>
      </c>
      <c r="D3662" s="1">
        <v>45575</v>
      </c>
      <c r="E3662">
        <v>92.334999999999994</v>
      </c>
    </row>
    <row r="3663" spans="3:5" x14ac:dyDescent="0.35">
      <c r="C3663">
        <f t="shared" si="58"/>
        <v>2024</v>
      </c>
      <c r="D3663" s="1">
        <v>45576</v>
      </c>
      <c r="E3663">
        <v>90.461799999999997</v>
      </c>
    </row>
    <row r="3664" spans="3:5" x14ac:dyDescent="0.35">
      <c r="C3664">
        <f t="shared" si="58"/>
        <v>2024</v>
      </c>
      <c r="D3664" s="1">
        <v>45579</v>
      </c>
      <c r="E3664">
        <v>88.334400000000002</v>
      </c>
    </row>
    <row r="3665" spans="3:5" x14ac:dyDescent="0.35">
      <c r="C3665">
        <f t="shared" si="58"/>
        <v>2024</v>
      </c>
      <c r="D3665" s="1">
        <v>45580</v>
      </c>
      <c r="E3665">
        <v>91.442099999999996</v>
      </c>
    </row>
    <row r="3666" spans="3:5" x14ac:dyDescent="0.35">
      <c r="C3666">
        <f t="shared" si="58"/>
        <v>2024</v>
      </c>
      <c r="D3666" s="1">
        <v>45581</v>
      </c>
      <c r="E3666">
        <v>91.589100000000002</v>
      </c>
    </row>
    <row r="3667" spans="3:5" x14ac:dyDescent="0.35">
      <c r="C3667">
        <f t="shared" si="58"/>
        <v>2024</v>
      </c>
      <c r="D3667" s="1">
        <v>45582</v>
      </c>
      <c r="E3667">
        <v>92.528700000000001</v>
      </c>
    </row>
    <row r="3668" spans="3:5" x14ac:dyDescent="0.35">
      <c r="C3668">
        <f t="shared" si="58"/>
        <v>2024</v>
      </c>
      <c r="D3668" s="1">
        <v>45583</v>
      </c>
      <c r="E3668">
        <v>89.837000000000003</v>
      </c>
    </row>
    <row r="3669" spans="3:5" x14ac:dyDescent="0.35">
      <c r="C3669">
        <f t="shared" si="58"/>
        <v>2024</v>
      </c>
      <c r="D3669" s="1">
        <v>45586</v>
      </c>
      <c r="E3669">
        <v>89.807599999999994</v>
      </c>
    </row>
    <row r="3670" spans="3:5" x14ac:dyDescent="0.35">
      <c r="C3670">
        <f t="shared" si="58"/>
        <v>2024</v>
      </c>
      <c r="D3670" s="1">
        <v>45587</v>
      </c>
      <c r="E3670">
        <v>90.933800000000005</v>
      </c>
    </row>
    <row r="3671" spans="3:5" x14ac:dyDescent="0.35">
      <c r="C3671">
        <f t="shared" si="58"/>
        <v>2024</v>
      </c>
      <c r="D3671" s="1">
        <v>45588</v>
      </c>
      <c r="E3671">
        <v>89.570499999999996</v>
      </c>
    </row>
    <row r="3672" spans="3:5" x14ac:dyDescent="0.35">
      <c r="C3672">
        <f t="shared" si="58"/>
        <v>2024</v>
      </c>
      <c r="D3672" s="1">
        <v>45589</v>
      </c>
      <c r="E3672">
        <v>90.850700000000003</v>
      </c>
    </row>
    <row r="3673" spans="3:5" x14ac:dyDescent="0.35">
      <c r="C3673">
        <f t="shared" si="58"/>
        <v>2024</v>
      </c>
      <c r="D3673" s="1">
        <v>45590</v>
      </c>
      <c r="E3673">
        <v>91.345399999999998</v>
      </c>
    </row>
    <row r="3674" spans="3:5" x14ac:dyDescent="0.35">
      <c r="C3674">
        <f t="shared" si="58"/>
        <v>2024</v>
      </c>
      <c r="D3674" s="1">
        <v>45593</v>
      </c>
      <c r="E3674">
        <v>91.951999999999998</v>
      </c>
    </row>
    <row r="3675" spans="3:5" x14ac:dyDescent="0.35">
      <c r="C3675">
        <f t="shared" si="58"/>
        <v>2024</v>
      </c>
      <c r="D3675" s="1">
        <v>45595</v>
      </c>
      <c r="E3675">
        <v>90.308099999999996</v>
      </c>
    </row>
    <row r="3676" spans="3:5" x14ac:dyDescent="0.35">
      <c r="C3676">
        <f t="shared" si="58"/>
        <v>2024</v>
      </c>
      <c r="D3676" s="1">
        <v>45596</v>
      </c>
      <c r="E3676">
        <v>90.284499999999994</v>
      </c>
    </row>
    <row r="3677" spans="3:5" x14ac:dyDescent="0.35">
      <c r="C3677">
        <f t="shared" si="58"/>
        <v>2024</v>
      </c>
      <c r="D3677" s="1">
        <v>45597</v>
      </c>
      <c r="E3677">
        <v>90.412400000000005</v>
      </c>
    </row>
    <row r="3678" spans="3:5" x14ac:dyDescent="0.35">
      <c r="C3678">
        <f t="shared" si="58"/>
        <v>2024</v>
      </c>
      <c r="D3678" s="1">
        <v>45600</v>
      </c>
      <c r="E3678">
        <v>88.914199999999994</v>
      </c>
    </row>
    <row r="3679" spans="3:5" x14ac:dyDescent="0.35">
      <c r="C3679">
        <f t="shared" si="58"/>
        <v>2024</v>
      </c>
      <c r="D3679" s="1">
        <v>45601</v>
      </c>
      <c r="E3679">
        <v>89.961100000000002</v>
      </c>
    </row>
    <row r="3680" spans="3:5" x14ac:dyDescent="0.35">
      <c r="C3680">
        <f t="shared" si="58"/>
        <v>2024</v>
      </c>
      <c r="D3680" s="1">
        <v>45602</v>
      </c>
      <c r="E3680">
        <v>94.226100000000002</v>
      </c>
    </row>
    <row r="3681" spans="3:5" x14ac:dyDescent="0.35">
      <c r="C3681">
        <f t="shared" si="58"/>
        <v>2024</v>
      </c>
      <c r="D3681" s="1">
        <v>45603</v>
      </c>
      <c r="E3681">
        <v>95.294499999999999</v>
      </c>
    </row>
    <row r="3682" spans="3:5" x14ac:dyDescent="0.35">
      <c r="C3682">
        <f t="shared" si="58"/>
        <v>2024</v>
      </c>
      <c r="D3682" s="1">
        <v>45604</v>
      </c>
      <c r="E3682">
        <v>97.821100000000001</v>
      </c>
    </row>
    <row r="3683" spans="3:5" x14ac:dyDescent="0.35">
      <c r="C3683">
        <f t="shared" si="58"/>
        <v>2024</v>
      </c>
      <c r="D3683" s="1">
        <v>45607</v>
      </c>
      <c r="E3683">
        <v>99.866600000000005</v>
      </c>
    </row>
    <row r="3684" spans="3:5" x14ac:dyDescent="0.35">
      <c r="C3684">
        <f t="shared" si="58"/>
        <v>2024</v>
      </c>
      <c r="D3684" s="1">
        <v>45608</v>
      </c>
      <c r="E3684">
        <v>99.845799999999997</v>
      </c>
    </row>
    <row r="3685" spans="3:5" x14ac:dyDescent="0.35">
      <c r="C3685">
        <f t="shared" si="58"/>
        <v>2024</v>
      </c>
      <c r="D3685" s="1">
        <v>45609</v>
      </c>
      <c r="E3685">
        <v>99.495000000000005</v>
      </c>
    </row>
    <row r="3686" spans="3:5" x14ac:dyDescent="0.35">
      <c r="C3686">
        <f t="shared" si="58"/>
        <v>2024</v>
      </c>
      <c r="D3686" s="1">
        <v>45610</v>
      </c>
      <c r="E3686">
        <v>101.0274</v>
      </c>
    </row>
    <row r="3687" spans="3:5" x14ac:dyDescent="0.35">
      <c r="C3687">
        <f t="shared" si="58"/>
        <v>2024</v>
      </c>
      <c r="D3687" s="1">
        <v>45611</v>
      </c>
      <c r="E3687">
        <v>102.41759999999999</v>
      </c>
    </row>
    <row r="3688" spans="3:5" x14ac:dyDescent="0.35">
      <c r="C3688">
        <f t="shared" si="58"/>
        <v>2024</v>
      </c>
      <c r="D3688" s="1">
        <v>45614</v>
      </c>
      <c r="E3688">
        <v>100.15519999999999</v>
      </c>
    </row>
    <row r="3689" spans="3:5" x14ac:dyDescent="0.35">
      <c r="C3689">
        <f t="shared" si="58"/>
        <v>2024</v>
      </c>
      <c r="D3689" s="1">
        <v>45615</v>
      </c>
      <c r="E3689">
        <v>95.546000000000006</v>
      </c>
    </row>
    <row r="3690" spans="3:5" x14ac:dyDescent="0.35">
      <c r="C3690">
        <f t="shared" si="58"/>
        <v>2024</v>
      </c>
      <c r="D3690" s="1">
        <v>45616</v>
      </c>
      <c r="E3690">
        <v>92.260900000000007</v>
      </c>
    </row>
    <row r="3691" spans="3:5" x14ac:dyDescent="0.35">
      <c r="C3691">
        <f t="shared" si="58"/>
        <v>2024</v>
      </c>
      <c r="D3691" s="1">
        <v>45617</v>
      </c>
      <c r="E3691">
        <v>94.470200000000006</v>
      </c>
    </row>
    <row r="3692" spans="3:5" x14ac:dyDescent="0.35">
      <c r="C3692">
        <f t="shared" si="58"/>
        <v>2024</v>
      </c>
      <c r="D3692" s="1">
        <v>45618</v>
      </c>
      <c r="E3692">
        <v>92.913300000000007</v>
      </c>
    </row>
    <row r="3693" spans="3:5" x14ac:dyDescent="0.35">
      <c r="C3693">
        <f t="shared" si="58"/>
        <v>2024</v>
      </c>
      <c r="D3693" s="1">
        <v>45621</v>
      </c>
      <c r="E3693">
        <v>102.30240000000001</v>
      </c>
    </row>
    <row r="3694" spans="3:5" x14ac:dyDescent="0.35">
      <c r="C3694">
        <f t="shared" si="58"/>
        <v>2024</v>
      </c>
      <c r="D3694" s="1">
        <v>45622</v>
      </c>
      <c r="E3694">
        <v>100.86960000000001</v>
      </c>
    </row>
    <row r="3695" spans="3:5" x14ac:dyDescent="0.35">
      <c r="C3695">
        <f t="shared" si="58"/>
        <v>2024</v>
      </c>
      <c r="D3695" s="1">
        <v>45623</v>
      </c>
      <c r="E3695">
        <v>99.448800000000006</v>
      </c>
    </row>
    <row r="3696" spans="3:5" x14ac:dyDescent="0.35">
      <c r="C3696">
        <f t="shared" si="58"/>
        <v>2024</v>
      </c>
      <c r="D3696" s="1">
        <v>45625</v>
      </c>
      <c r="E3696">
        <v>96.289699999999996</v>
      </c>
    </row>
    <row r="3697" spans="3:5" x14ac:dyDescent="0.35">
      <c r="C3697">
        <f t="shared" si="58"/>
        <v>2024</v>
      </c>
      <c r="D3697" s="1">
        <v>45628</v>
      </c>
      <c r="E3697">
        <v>97.141400000000004</v>
      </c>
    </row>
    <row r="3698" spans="3:5" x14ac:dyDescent="0.35">
      <c r="C3698">
        <f t="shared" si="58"/>
        <v>2024</v>
      </c>
      <c r="D3698" s="1">
        <v>45629</v>
      </c>
      <c r="E3698">
        <v>97.137299999999996</v>
      </c>
    </row>
    <row r="3699" spans="3:5" x14ac:dyDescent="0.35">
      <c r="C3699">
        <f t="shared" si="58"/>
        <v>2024</v>
      </c>
      <c r="D3699" s="1">
        <v>45630</v>
      </c>
      <c r="E3699">
        <v>97.479699999999994</v>
      </c>
    </row>
    <row r="3700" spans="3:5" x14ac:dyDescent="0.35">
      <c r="C3700">
        <f t="shared" si="58"/>
        <v>2024</v>
      </c>
      <c r="D3700" s="1">
        <v>45631</v>
      </c>
      <c r="E3700">
        <v>100.0547</v>
      </c>
    </row>
    <row r="3701" spans="3:5" x14ac:dyDescent="0.35">
      <c r="C3701">
        <f t="shared" si="58"/>
        <v>2024</v>
      </c>
      <c r="D3701" s="1">
        <v>45632</v>
      </c>
      <c r="E3701">
        <v>101.8862</v>
      </c>
    </row>
    <row r="3702" spans="3:5" x14ac:dyDescent="0.35">
      <c r="C3702">
        <f t="shared" si="58"/>
        <v>2024</v>
      </c>
      <c r="D3702" s="1">
        <v>45635</v>
      </c>
      <c r="E3702">
        <v>100.84569999999999</v>
      </c>
    </row>
    <row r="3703" spans="3:5" x14ac:dyDescent="0.35">
      <c r="C3703">
        <f t="shared" si="58"/>
        <v>2024</v>
      </c>
      <c r="D3703" s="1">
        <v>45636</v>
      </c>
      <c r="E3703">
        <v>99.0929</v>
      </c>
    </row>
    <row r="3704" spans="3:5" x14ac:dyDescent="0.35">
      <c r="C3704">
        <f t="shared" si="58"/>
        <v>2024</v>
      </c>
      <c r="D3704" s="1">
        <v>45637</v>
      </c>
      <c r="E3704">
        <v>98.362099999999998</v>
      </c>
    </row>
    <row r="3705" spans="3:5" x14ac:dyDescent="0.35">
      <c r="C3705">
        <f t="shared" si="58"/>
        <v>2024</v>
      </c>
      <c r="D3705" s="1">
        <v>45638</v>
      </c>
      <c r="E3705">
        <v>99.087599999999995</v>
      </c>
    </row>
    <row r="3706" spans="3:5" x14ac:dyDescent="0.35">
      <c r="C3706">
        <f t="shared" si="58"/>
        <v>2024</v>
      </c>
      <c r="D3706" s="1">
        <v>45639</v>
      </c>
      <c r="E3706">
        <v>100.2791</v>
      </c>
    </row>
    <row r="3707" spans="3:5" x14ac:dyDescent="0.35">
      <c r="C3707">
        <f t="shared" si="58"/>
        <v>2024</v>
      </c>
      <c r="D3707" s="1">
        <v>45642</v>
      </c>
      <c r="E3707">
        <v>99.184200000000004</v>
      </c>
    </row>
    <row r="3708" spans="3:5" x14ac:dyDescent="0.35">
      <c r="C3708">
        <f t="shared" si="58"/>
        <v>2024</v>
      </c>
      <c r="D3708" s="1">
        <v>45643</v>
      </c>
      <c r="E3708">
        <v>100.1855</v>
      </c>
    </row>
    <row r="3709" spans="3:5" x14ac:dyDescent="0.35">
      <c r="C3709">
        <f t="shared" si="58"/>
        <v>2024</v>
      </c>
      <c r="D3709" s="1">
        <v>45644</v>
      </c>
      <c r="E3709">
        <v>97.891300000000001</v>
      </c>
    </row>
    <row r="3710" spans="3:5" x14ac:dyDescent="0.35">
      <c r="C3710">
        <f t="shared" si="58"/>
        <v>2024</v>
      </c>
      <c r="D3710" s="1">
        <v>45645</v>
      </c>
      <c r="E3710">
        <v>99.109099999999998</v>
      </c>
    </row>
    <row r="3711" spans="3:5" x14ac:dyDescent="0.35">
      <c r="C3711">
        <f t="shared" si="58"/>
        <v>2024</v>
      </c>
      <c r="D3711" s="1">
        <v>45646</v>
      </c>
      <c r="E3711">
        <v>97.565100000000001</v>
      </c>
    </row>
    <row r="3712" spans="3:5" x14ac:dyDescent="0.35">
      <c r="C3712">
        <f t="shared" si="58"/>
        <v>2024</v>
      </c>
      <c r="D3712" s="1">
        <v>45649</v>
      </c>
      <c r="E3712">
        <v>96.930400000000006</v>
      </c>
    </row>
    <row r="3713" spans="3:5" x14ac:dyDescent="0.35">
      <c r="C3713">
        <f t="shared" si="58"/>
        <v>2024</v>
      </c>
      <c r="D3713" s="1">
        <v>45650</v>
      </c>
      <c r="E3713">
        <v>96.201499999999996</v>
      </c>
    </row>
    <row r="3714" spans="3:5" x14ac:dyDescent="0.35">
      <c r="C3714">
        <f t="shared" si="58"/>
        <v>2024</v>
      </c>
      <c r="D3714" s="1">
        <v>45652</v>
      </c>
      <c r="E3714">
        <v>97.331299999999999</v>
      </c>
    </row>
    <row r="3715" spans="3:5" x14ac:dyDescent="0.35">
      <c r="C3715">
        <f t="shared" ref="C3715:C3778" si="59">YEAR(D3715)</f>
        <v>2024</v>
      </c>
      <c r="D3715" s="1">
        <v>45653</v>
      </c>
      <c r="E3715">
        <v>98.067800000000005</v>
      </c>
    </row>
    <row r="3716" spans="3:5" x14ac:dyDescent="0.35">
      <c r="C3716">
        <f t="shared" si="59"/>
        <v>2024</v>
      </c>
      <c r="D3716" s="1">
        <v>45656</v>
      </c>
      <c r="E3716">
        <v>95.807500000000005</v>
      </c>
    </row>
    <row r="3717" spans="3:5" x14ac:dyDescent="0.35">
      <c r="C3717">
        <f t="shared" si="59"/>
        <v>2024</v>
      </c>
      <c r="D3717" s="1">
        <v>45657</v>
      </c>
      <c r="E3717">
        <v>94.156999999999996</v>
      </c>
    </row>
    <row r="3718" spans="3:5" x14ac:dyDescent="0.35">
      <c r="C3718">
        <f t="shared" si="59"/>
        <v>2025</v>
      </c>
      <c r="D3718" s="1">
        <v>45659</v>
      </c>
      <c r="E3718">
        <v>95.073800000000006</v>
      </c>
    </row>
    <row r="3719" spans="3:5" x14ac:dyDescent="0.35">
      <c r="C3719">
        <f t="shared" si="59"/>
        <v>2025</v>
      </c>
      <c r="D3719" s="1">
        <v>45660</v>
      </c>
      <c r="E3719">
        <v>99.013000000000005</v>
      </c>
    </row>
    <row r="3720" spans="3:5" x14ac:dyDescent="0.35">
      <c r="C3720">
        <f t="shared" si="59"/>
        <v>2025</v>
      </c>
      <c r="D3720" s="1">
        <v>45663</v>
      </c>
      <c r="E3720">
        <v>99.216099999999997</v>
      </c>
    </row>
    <row r="3721" spans="3:5" x14ac:dyDescent="0.35">
      <c r="C3721">
        <f t="shared" si="59"/>
        <v>2025</v>
      </c>
      <c r="D3721" s="1">
        <v>45664</v>
      </c>
      <c r="E3721">
        <v>97.218599999999995</v>
      </c>
    </row>
    <row r="3722" spans="3:5" x14ac:dyDescent="0.35">
      <c r="C3722">
        <f t="shared" si="59"/>
        <v>2025</v>
      </c>
      <c r="D3722" s="1">
        <v>45665</v>
      </c>
      <c r="E3722">
        <v>96.831800000000001</v>
      </c>
    </row>
    <row r="3723" spans="3:5" x14ac:dyDescent="0.35">
      <c r="C3723">
        <f t="shared" si="59"/>
        <v>2025</v>
      </c>
      <c r="D3723" s="1">
        <v>45666</v>
      </c>
      <c r="E3723">
        <v>96.633099999999999</v>
      </c>
    </row>
    <row r="3724" spans="3:5" x14ac:dyDescent="0.35">
      <c r="C3724">
        <f t="shared" si="59"/>
        <v>2025</v>
      </c>
      <c r="D3724" s="1">
        <v>45667</v>
      </c>
      <c r="E3724">
        <v>95.262799999999999</v>
      </c>
    </row>
    <row r="3725" spans="3:5" x14ac:dyDescent="0.35">
      <c r="C3725">
        <f t="shared" si="59"/>
        <v>2025</v>
      </c>
      <c r="D3725" s="1">
        <v>45670</v>
      </c>
      <c r="E3725">
        <v>95.248699999999999</v>
      </c>
    </row>
    <row r="3726" spans="3:5" x14ac:dyDescent="0.35">
      <c r="C3726">
        <f t="shared" si="59"/>
        <v>2025</v>
      </c>
      <c r="D3726" s="1">
        <v>45671</v>
      </c>
      <c r="E3726">
        <v>96.084400000000002</v>
      </c>
    </row>
    <row r="3727" spans="3:5" x14ac:dyDescent="0.35">
      <c r="C3727">
        <f t="shared" si="59"/>
        <v>2025</v>
      </c>
      <c r="D3727" s="1">
        <v>45672</v>
      </c>
      <c r="E3727">
        <v>95.369100000000003</v>
      </c>
    </row>
    <row r="3728" spans="3:5" x14ac:dyDescent="0.35">
      <c r="C3728">
        <f t="shared" si="59"/>
        <v>2025</v>
      </c>
      <c r="D3728" s="1">
        <v>45673</v>
      </c>
      <c r="E3728">
        <v>95.060599999999994</v>
      </c>
    </row>
    <row r="3729" spans="3:5" x14ac:dyDescent="0.35">
      <c r="C3729">
        <f t="shared" si="59"/>
        <v>2025</v>
      </c>
      <c r="D3729" s="1">
        <v>45674</v>
      </c>
      <c r="E3729">
        <v>96.770799999999994</v>
      </c>
    </row>
    <row r="3730" spans="3:5" x14ac:dyDescent="0.35">
      <c r="C3730">
        <f t="shared" si="59"/>
        <v>2025</v>
      </c>
      <c r="D3730" s="1">
        <v>45678</v>
      </c>
      <c r="E3730">
        <v>95.588899999999995</v>
      </c>
    </row>
    <row r="3731" spans="3:5" x14ac:dyDescent="0.35">
      <c r="C3731">
        <f t="shared" si="59"/>
        <v>2025</v>
      </c>
      <c r="D3731" s="1">
        <v>45679</v>
      </c>
      <c r="E3731">
        <v>96.268900000000002</v>
      </c>
    </row>
    <row r="3732" spans="3:5" x14ac:dyDescent="0.35">
      <c r="C3732">
        <f t="shared" si="59"/>
        <v>2025</v>
      </c>
      <c r="D3732" s="1">
        <v>45680</v>
      </c>
      <c r="E3732">
        <v>97.820300000000003</v>
      </c>
    </row>
    <row r="3733" spans="3:5" x14ac:dyDescent="0.35">
      <c r="C3733">
        <f t="shared" si="59"/>
        <v>2025</v>
      </c>
      <c r="D3733" s="1">
        <v>45681</v>
      </c>
      <c r="E3733">
        <v>97.004000000000005</v>
      </c>
    </row>
    <row r="3734" spans="3:5" x14ac:dyDescent="0.35">
      <c r="C3734">
        <f t="shared" si="59"/>
        <v>2025</v>
      </c>
      <c r="D3734" s="1">
        <v>45684</v>
      </c>
      <c r="E3734">
        <v>97.839399999999998</v>
      </c>
    </row>
    <row r="3735" spans="3:5" x14ac:dyDescent="0.35">
      <c r="C3735">
        <f t="shared" si="59"/>
        <v>2025</v>
      </c>
      <c r="D3735" s="1">
        <v>45685</v>
      </c>
      <c r="E3735">
        <v>98.0244</v>
      </c>
    </row>
    <row r="3736" spans="3:5" x14ac:dyDescent="0.35">
      <c r="C3736">
        <f t="shared" si="59"/>
        <v>2025</v>
      </c>
      <c r="D3736" s="1">
        <v>45686</v>
      </c>
      <c r="E3736">
        <v>98.471500000000006</v>
      </c>
    </row>
    <row r="3737" spans="3:5" x14ac:dyDescent="0.35">
      <c r="C3737">
        <f t="shared" si="59"/>
        <v>2025</v>
      </c>
      <c r="D3737" s="1">
        <v>45687</v>
      </c>
      <c r="E3737">
        <v>96.349299999999999</v>
      </c>
    </row>
    <row r="3738" spans="3:5" x14ac:dyDescent="0.35">
      <c r="C3738">
        <f t="shared" si="59"/>
        <v>2025</v>
      </c>
      <c r="D3738" s="1">
        <v>45688</v>
      </c>
      <c r="E3738">
        <v>97.78</v>
      </c>
    </row>
    <row r="3739" spans="3:5" x14ac:dyDescent="0.35">
      <c r="C3739">
        <f t="shared" si="59"/>
        <v>2025</v>
      </c>
      <c r="D3739" s="1">
        <v>45691</v>
      </c>
      <c r="E3739">
        <v>95.996399999999994</v>
      </c>
    </row>
    <row r="3740" spans="3:5" x14ac:dyDescent="0.35">
      <c r="C3740">
        <f t="shared" si="59"/>
        <v>2025</v>
      </c>
      <c r="D3740" s="1">
        <v>45692</v>
      </c>
      <c r="E3740">
        <v>91.968500000000006</v>
      </c>
    </row>
    <row r="3741" spans="3:5" x14ac:dyDescent="0.35">
      <c r="C3741">
        <f t="shared" si="59"/>
        <v>2025</v>
      </c>
      <c r="D3741" s="1">
        <v>45693</v>
      </c>
      <c r="E3741">
        <v>91.467600000000004</v>
      </c>
    </row>
    <row r="3742" spans="3:5" x14ac:dyDescent="0.35">
      <c r="C3742">
        <f t="shared" si="59"/>
        <v>2025</v>
      </c>
      <c r="D3742" s="1">
        <v>45694</v>
      </c>
      <c r="E3742">
        <v>95.075699999999998</v>
      </c>
    </row>
    <row r="3743" spans="3:5" x14ac:dyDescent="0.35">
      <c r="C3743">
        <f t="shared" si="59"/>
        <v>2025</v>
      </c>
      <c r="D3743" s="1">
        <v>45695</v>
      </c>
      <c r="E3743">
        <v>97.221599999999995</v>
      </c>
    </row>
    <row r="3744" spans="3:5" x14ac:dyDescent="0.35">
      <c r="C3744">
        <f t="shared" si="59"/>
        <v>2025</v>
      </c>
      <c r="D3744" s="1">
        <v>45698</v>
      </c>
      <c r="E3744">
        <v>95.207999999999998</v>
      </c>
    </row>
    <row r="3745" spans="3:5" x14ac:dyDescent="0.35">
      <c r="C3745">
        <f t="shared" si="59"/>
        <v>2025</v>
      </c>
      <c r="D3745" s="1">
        <v>45699</v>
      </c>
      <c r="E3745">
        <v>94.798299999999998</v>
      </c>
    </row>
    <row r="3746" spans="3:5" x14ac:dyDescent="0.35">
      <c r="C3746">
        <f t="shared" si="59"/>
        <v>2025</v>
      </c>
      <c r="D3746" s="1">
        <v>45700</v>
      </c>
      <c r="E3746">
        <v>94.164299999999997</v>
      </c>
    </row>
    <row r="3747" spans="3:5" x14ac:dyDescent="0.35">
      <c r="C3747">
        <f t="shared" si="59"/>
        <v>2025</v>
      </c>
      <c r="D3747" s="1">
        <v>45701</v>
      </c>
      <c r="E3747">
        <v>93.968199999999996</v>
      </c>
    </row>
    <row r="3748" spans="3:5" x14ac:dyDescent="0.35">
      <c r="C3748">
        <f t="shared" si="59"/>
        <v>2025</v>
      </c>
      <c r="D3748" s="1">
        <v>45702</v>
      </c>
      <c r="E3748">
        <v>94.390100000000004</v>
      </c>
    </row>
    <row r="3749" spans="3:5" x14ac:dyDescent="0.35">
      <c r="C3749">
        <f t="shared" si="59"/>
        <v>2025</v>
      </c>
      <c r="D3749" s="1">
        <v>45706</v>
      </c>
      <c r="E3749">
        <v>95.165700000000001</v>
      </c>
    </row>
    <row r="3750" spans="3:5" x14ac:dyDescent="0.35">
      <c r="C3750">
        <f t="shared" si="59"/>
        <v>2025</v>
      </c>
      <c r="D3750" s="1">
        <v>45707</v>
      </c>
      <c r="E3750">
        <v>93.4251</v>
      </c>
    </row>
    <row r="3751" spans="3:5" x14ac:dyDescent="0.35">
      <c r="C3751">
        <f t="shared" si="59"/>
        <v>2025</v>
      </c>
      <c r="D3751" s="1">
        <v>45708</v>
      </c>
      <c r="E3751">
        <v>92.005200000000002</v>
      </c>
    </row>
    <row r="3752" spans="3:5" x14ac:dyDescent="0.35">
      <c r="C3752">
        <f t="shared" si="59"/>
        <v>2025</v>
      </c>
      <c r="D3752" s="1">
        <v>45709</v>
      </c>
      <c r="E3752">
        <v>89.990399999999994</v>
      </c>
    </row>
    <row r="3753" spans="3:5" x14ac:dyDescent="0.35">
      <c r="C3753">
        <f t="shared" si="59"/>
        <v>2025</v>
      </c>
      <c r="D3753" s="1">
        <v>45712</v>
      </c>
      <c r="E3753">
        <v>89.597399999999993</v>
      </c>
    </row>
    <row r="3754" spans="3:5" x14ac:dyDescent="0.35">
      <c r="C3754">
        <f t="shared" si="59"/>
        <v>2025</v>
      </c>
      <c r="D3754" s="1">
        <v>45713</v>
      </c>
      <c r="E3754">
        <v>89.522499999999994</v>
      </c>
    </row>
    <row r="3755" spans="3:5" x14ac:dyDescent="0.35">
      <c r="C3755">
        <f t="shared" si="59"/>
        <v>2025</v>
      </c>
      <c r="D3755" s="1">
        <v>45714</v>
      </c>
      <c r="E3755">
        <v>90.151600000000002</v>
      </c>
    </row>
    <row r="3756" spans="3:5" x14ac:dyDescent="0.35">
      <c r="C3756">
        <f t="shared" si="59"/>
        <v>2025</v>
      </c>
      <c r="D3756" s="1">
        <v>45715</v>
      </c>
      <c r="E3756">
        <v>93.426100000000005</v>
      </c>
    </row>
    <row r="3757" spans="3:5" x14ac:dyDescent="0.35">
      <c r="C3757">
        <f t="shared" si="59"/>
        <v>2025</v>
      </c>
      <c r="D3757" s="1">
        <v>45716</v>
      </c>
      <c r="E3757">
        <v>92.550600000000003</v>
      </c>
    </row>
    <row r="3758" spans="3:5" x14ac:dyDescent="0.35">
      <c r="C3758">
        <f t="shared" si="59"/>
        <v>2025</v>
      </c>
      <c r="D3758" s="1">
        <v>45719</v>
      </c>
      <c r="E3758">
        <v>92.71</v>
      </c>
    </row>
    <row r="3759" spans="3:5" x14ac:dyDescent="0.35">
      <c r="C3759">
        <f t="shared" si="59"/>
        <v>2025</v>
      </c>
      <c r="D3759" s="1">
        <v>45720</v>
      </c>
      <c r="E3759">
        <v>93.075199999999995</v>
      </c>
    </row>
    <row r="3760" spans="3:5" x14ac:dyDescent="0.35">
      <c r="C3760">
        <f t="shared" si="59"/>
        <v>2025</v>
      </c>
      <c r="D3760" s="1">
        <v>45721</v>
      </c>
      <c r="E3760">
        <v>95.540499999999994</v>
      </c>
    </row>
    <row r="3761" spans="3:5" x14ac:dyDescent="0.35">
      <c r="C3761">
        <f t="shared" si="59"/>
        <v>2025</v>
      </c>
      <c r="D3761" s="1">
        <v>45722</v>
      </c>
      <c r="E3761">
        <v>98.408600000000007</v>
      </c>
    </row>
    <row r="3762" spans="3:5" x14ac:dyDescent="0.35">
      <c r="C3762">
        <f t="shared" si="59"/>
        <v>2025</v>
      </c>
      <c r="D3762" s="1">
        <v>45723</v>
      </c>
      <c r="E3762">
        <v>98.531999999999996</v>
      </c>
    </row>
    <row r="3763" spans="3:5" x14ac:dyDescent="0.35">
      <c r="C3763">
        <f t="shared" si="59"/>
        <v>2025</v>
      </c>
      <c r="D3763" s="1">
        <v>45726</v>
      </c>
      <c r="E3763">
        <v>98.193100000000001</v>
      </c>
    </row>
    <row r="3764" spans="3:5" x14ac:dyDescent="0.35">
      <c r="C3764">
        <f t="shared" si="59"/>
        <v>2025</v>
      </c>
      <c r="D3764" s="1">
        <v>45727</v>
      </c>
      <c r="E3764">
        <v>96.497</v>
      </c>
    </row>
    <row r="3765" spans="3:5" x14ac:dyDescent="0.35">
      <c r="C3765">
        <f t="shared" si="59"/>
        <v>2025</v>
      </c>
      <c r="D3765" s="1">
        <v>45728</v>
      </c>
      <c r="E3765">
        <v>96.439499999999995</v>
      </c>
    </row>
    <row r="3766" spans="3:5" x14ac:dyDescent="0.35">
      <c r="C3766">
        <f t="shared" si="59"/>
        <v>2025</v>
      </c>
      <c r="D3766" s="1">
        <v>45729</v>
      </c>
      <c r="E3766">
        <v>96.199399999999997</v>
      </c>
    </row>
    <row r="3767" spans="3:5" x14ac:dyDescent="0.35">
      <c r="C3767">
        <f t="shared" si="59"/>
        <v>2025</v>
      </c>
      <c r="D3767" s="1">
        <v>45730</v>
      </c>
      <c r="E3767">
        <v>95.431200000000004</v>
      </c>
    </row>
    <row r="3768" spans="3:5" x14ac:dyDescent="0.35">
      <c r="C3768">
        <f t="shared" si="59"/>
        <v>2025</v>
      </c>
      <c r="D3768" s="1">
        <v>45733</v>
      </c>
      <c r="E3768">
        <v>94.5124</v>
      </c>
    </row>
    <row r="3769" spans="3:5" x14ac:dyDescent="0.35">
      <c r="C3769">
        <f t="shared" si="59"/>
        <v>2025</v>
      </c>
      <c r="D3769" s="1">
        <v>45734</v>
      </c>
      <c r="E3769">
        <v>91.479399999999998</v>
      </c>
    </row>
    <row r="3770" spans="3:5" x14ac:dyDescent="0.35">
      <c r="C3770">
        <f t="shared" si="59"/>
        <v>2025</v>
      </c>
      <c r="D3770" s="1">
        <v>45735</v>
      </c>
      <c r="E3770">
        <v>84.107500000000002</v>
      </c>
    </row>
    <row r="3771" spans="3:5" x14ac:dyDescent="0.35">
      <c r="C3771">
        <f t="shared" si="59"/>
        <v>2025</v>
      </c>
      <c r="D3771" s="1">
        <v>45736</v>
      </c>
      <c r="E3771">
        <v>82.943200000000004</v>
      </c>
    </row>
    <row r="3772" spans="3:5" x14ac:dyDescent="0.35">
      <c r="C3772">
        <f t="shared" si="59"/>
        <v>2025</v>
      </c>
      <c r="D3772" s="1">
        <v>45737</v>
      </c>
      <c r="E3772">
        <v>77.603700000000003</v>
      </c>
    </row>
    <row r="3773" spans="3:5" x14ac:dyDescent="0.35">
      <c r="C3773">
        <f t="shared" si="59"/>
        <v>2025</v>
      </c>
      <c r="D3773" s="1">
        <v>45740</v>
      </c>
      <c r="E3773">
        <v>82.360900000000001</v>
      </c>
    </row>
    <row r="3774" spans="3:5" x14ac:dyDescent="0.35">
      <c r="C3774">
        <f t="shared" si="59"/>
        <v>2025</v>
      </c>
      <c r="D3774" s="1">
        <v>45741</v>
      </c>
      <c r="E3774">
        <v>84.796099999999996</v>
      </c>
    </row>
    <row r="3775" spans="3:5" x14ac:dyDescent="0.35">
      <c r="C3775">
        <f t="shared" si="59"/>
        <v>2025</v>
      </c>
      <c r="D3775" s="1">
        <v>45742</v>
      </c>
      <c r="E3775">
        <v>83.955100000000002</v>
      </c>
    </row>
    <row r="3776" spans="3:5" x14ac:dyDescent="0.35">
      <c r="C3776">
        <f t="shared" si="59"/>
        <v>2025</v>
      </c>
      <c r="D3776" s="1">
        <v>45743</v>
      </c>
      <c r="E3776">
        <v>82.466700000000003</v>
      </c>
    </row>
    <row r="3777" spans="3:5" x14ac:dyDescent="0.35">
      <c r="C3777">
        <f t="shared" si="59"/>
        <v>2025</v>
      </c>
      <c r="D3777" s="1">
        <v>45744</v>
      </c>
      <c r="E3777">
        <v>82.467399999999998</v>
      </c>
    </row>
    <row r="3778" spans="3:5" x14ac:dyDescent="0.35">
      <c r="C3778">
        <f t="shared" si="59"/>
        <v>2025</v>
      </c>
      <c r="D3778" s="1">
        <v>45749</v>
      </c>
      <c r="E3778">
        <v>79.590500000000006</v>
      </c>
    </row>
    <row r="3779" spans="3:5" x14ac:dyDescent="0.35">
      <c r="C3779">
        <f t="shared" ref="C3779:C3842" si="60">YEAR(D3779)</f>
        <v>2025</v>
      </c>
      <c r="D3779" s="1">
        <v>45750</v>
      </c>
      <c r="E3779">
        <v>80.462100000000007</v>
      </c>
    </row>
    <row r="3780" spans="3:5" x14ac:dyDescent="0.35">
      <c r="C3780">
        <f t="shared" si="60"/>
        <v>2025</v>
      </c>
      <c r="D3780" s="1">
        <v>45751</v>
      </c>
      <c r="E3780">
        <v>82.803600000000003</v>
      </c>
    </row>
    <row r="3781" spans="3:5" x14ac:dyDescent="0.35">
      <c r="C3781">
        <f t="shared" si="60"/>
        <v>2025</v>
      </c>
      <c r="D3781" s="1">
        <v>45754</v>
      </c>
      <c r="E3781">
        <v>85.973299999999995</v>
      </c>
    </row>
    <row r="3782" spans="3:5" x14ac:dyDescent="0.35">
      <c r="C3782">
        <f t="shared" si="60"/>
        <v>2025</v>
      </c>
      <c r="D3782" s="1">
        <v>45755</v>
      </c>
      <c r="E3782">
        <v>84.986800000000002</v>
      </c>
    </row>
    <row r="3783" spans="3:5" x14ac:dyDescent="0.35">
      <c r="C3783">
        <f t="shared" si="60"/>
        <v>2025</v>
      </c>
      <c r="D3783" s="1">
        <v>45756</v>
      </c>
      <c r="E3783">
        <v>81.927800000000005</v>
      </c>
    </row>
    <row r="3784" spans="3:5" x14ac:dyDescent="0.35">
      <c r="C3784">
        <f t="shared" si="60"/>
        <v>2025</v>
      </c>
      <c r="D3784" s="1">
        <v>45757</v>
      </c>
      <c r="E3784">
        <v>79.459199999999996</v>
      </c>
    </row>
    <row r="3785" spans="3:5" x14ac:dyDescent="0.35">
      <c r="C3785">
        <f t="shared" si="60"/>
        <v>2025</v>
      </c>
      <c r="D3785" s="1">
        <v>45758</v>
      </c>
      <c r="E3785">
        <v>78.673500000000004</v>
      </c>
    </row>
    <row r="3786" spans="3:5" x14ac:dyDescent="0.35">
      <c r="C3786">
        <f t="shared" si="60"/>
        <v>2025</v>
      </c>
      <c r="D3786" s="1">
        <v>45761</v>
      </c>
      <c r="E3786">
        <v>80.036100000000005</v>
      </c>
    </row>
    <row r="3787" spans="3:5" x14ac:dyDescent="0.35">
      <c r="C3787">
        <f t="shared" si="60"/>
        <v>2025</v>
      </c>
      <c r="D3787" s="1">
        <v>45762</v>
      </c>
      <c r="E3787">
        <v>81.293599999999998</v>
      </c>
    </row>
    <row r="3788" spans="3:5" x14ac:dyDescent="0.35">
      <c r="C3788">
        <f t="shared" si="60"/>
        <v>2025</v>
      </c>
      <c r="D3788" s="1">
        <v>45763</v>
      </c>
      <c r="E3788">
        <v>78.3232</v>
      </c>
    </row>
    <row r="3789" spans="3:5" x14ac:dyDescent="0.35">
      <c r="C3789">
        <f t="shared" si="60"/>
        <v>2025</v>
      </c>
      <c r="D3789" s="1">
        <v>45764</v>
      </c>
      <c r="E3789">
        <v>79.727199999999996</v>
      </c>
    </row>
    <row r="3790" spans="3:5" x14ac:dyDescent="0.35">
      <c r="C3790">
        <f t="shared" si="60"/>
        <v>2025</v>
      </c>
      <c r="D3790" s="1">
        <v>45769</v>
      </c>
      <c r="E3790">
        <v>76.543400000000005</v>
      </c>
    </row>
    <row r="3791" spans="3:5" x14ac:dyDescent="0.35">
      <c r="C3791">
        <f t="shared" si="60"/>
        <v>2025</v>
      </c>
      <c r="D3791" s="1">
        <v>45771</v>
      </c>
      <c r="E3791">
        <v>78.388000000000005</v>
      </c>
    </row>
    <row r="3792" spans="3:5" x14ac:dyDescent="0.35">
      <c r="C3792">
        <f t="shared" si="60"/>
        <v>2025</v>
      </c>
      <c r="D3792" s="1">
        <v>45772</v>
      </c>
      <c r="E3792">
        <v>78.379499999999993</v>
      </c>
    </row>
    <row r="3793" spans="3:5" x14ac:dyDescent="0.35">
      <c r="C3793">
        <f t="shared" si="60"/>
        <v>2025</v>
      </c>
      <c r="D3793" s="1">
        <v>45775</v>
      </c>
      <c r="E3793">
        <v>75.968599999999995</v>
      </c>
    </row>
    <row r="3794" spans="3:5" x14ac:dyDescent="0.35">
      <c r="C3794">
        <f t="shared" si="60"/>
        <v>2025</v>
      </c>
      <c r="D3794" s="1">
        <v>45776</v>
      </c>
      <c r="E3794">
        <v>72.590299999999999</v>
      </c>
    </row>
    <row r="3795" spans="3:5" x14ac:dyDescent="0.35">
      <c r="C3795">
        <f t="shared" si="60"/>
        <v>2025</v>
      </c>
      <c r="D3795" s="1">
        <v>45777</v>
      </c>
      <c r="E3795">
        <v>69.483900000000006</v>
      </c>
    </row>
    <row r="3796" spans="3:5" x14ac:dyDescent="0.35">
      <c r="C3796">
        <f t="shared" si="60"/>
        <v>2025</v>
      </c>
      <c r="D3796" s="1">
        <v>45779</v>
      </c>
      <c r="E3796">
        <v>73.068299999999994</v>
      </c>
    </row>
    <row r="3797" spans="3:5" x14ac:dyDescent="0.35">
      <c r="C3797">
        <f t="shared" si="60"/>
        <v>2025</v>
      </c>
      <c r="D3797" s="1">
        <v>45782</v>
      </c>
      <c r="E3797">
        <v>71.596000000000004</v>
      </c>
    </row>
    <row r="3798" spans="3:5" x14ac:dyDescent="0.35">
      <c r="C3798">
        <f t="shared" si="60"/>
        <v>2025</v>
      </c>
      <c r="D3798" s="1">
        <v>45783</v>
      </c>
      <c r="E3798">
        <v>68.894099999999995</v>
      </c>
    </row>
    <row r="3799" spans="3:5" x14ac:dyDescent="0.35">
      <c r="C3799">
        <f t="shared" si="60"/>
        <v>2025</v>
      </c>
      <c r="D3799" s="1">
        <v>45784</v>
      </c>
      <c r="E3799">
        <v>66.369799999999998</v>
      </c>
    </row>
    <row r="3800" spans="3:5" x14ac:dyDescent="0.35">
      <c r="C3800">
        <f t="shared" si="60"/>
        <v>2025</v>
      </c>
      <c r="D3800" s="1">
        <v>45785</v>
      </c>
      <c r="E3800">
        <v>69.583200000000005</v>
      </c>
    </row>
    <row r="3801" spans="3:5" x14ac:dyDescent="0.35">
      <c r="C3801">
        <f t="shared" si="60"/>
        <v>2025</v>
      </c>
      <c r="D3801" s="1">
        <v>45786</v>
      </c>
      <c r="E3801">
        <v>70.798299999999998</v>
      </c>
    </row>
    <row r="3802" spans="3:5" x14ac:dyDescent="0.35">
      <c r="C3802">
        <f t="shared" si="60"/>
        <v>2025</v>
      </c>
      <c r="D3802" s="1">
        <v>45789</v>
      </c>
      <c r="E3802">
        <v>77.170699999999997</v>
      </c>
    </row>
    <row r="3803" spans="3:5" x14ac:dyDescent="0.35">
      <c r="C3803">
        <f t="shared" si="60"/>
        <v>2025</v>
      </c>
      <c r="D3803" s="1">
        <v>45790</v>
      </c>
      <c r="E3803">
        <v>75.351600000000005</v>
      </c>
    </row>
    <row r="3804" spans="3:5" x14ac:dyDescent="0.35">
      <c r="C3804">
        <f t="shared" si="60"/>
        <v>2025</v>
      </c>
      <c r="D3804" s="1">
        <v>45791</v>
      </c>
      <c r="E3804">
        <v>75.421499999999995</v>
      </c>
    </row>
    <row r="3805" spans="3:5" x14ac:dyDescent="0.35">
      <c r="C3805">
        <f t="shared" si="60"/>
        <v>2025</v>
      </c>
      <c r="D3805" s="1">
        <v>45792</v>
      </c>
      <c r="E3805">
        <v>73.175700000000006</v>
      </c>
    </row>
    <row r="3806" spans="3:5" x14ac:dyDescent="0.35">
      <c r="C3806">
        <f t="shared" si="60"/>
        <v>2025</v>
      </c>
      <c r="D3806" s="1">
        <v>45793</v>
      </c>
      <c r="E3806">
        <v>73.746300000000005</v>
      </c>
    </row>
    <row r="3807" spans="3:5" x14ac:dyDescent="0.35">
      <c r="C3807">
        <f t="shared" si="60"/>
        <v>2025</v>
      </c>
      <c r="D3807" s="1">
        <v>45797</v>
      </c>
      <c r="E3807">
        <v>69.992500000000007</v>
      </c>
    </row>
    <row r="3808" spans="3:5" x14ac:dyDescent="0.35">
      <c r="C3808">
        <f t="shared" si="60"/>
        <v>2025</v>
      </c>
      <c r="D3808" s="1">
        <v>45798</v>
      </c>
      <c r="E3808">
        <v>67.704300000000003</v>
      </c>
    </row>
    <row r="3809" spans="3:5" x14ac:dyDescent="0.35">
      <c r="C3809">
        <f t="shared" si="60"/>
        <v>2025</v>
      </c>
      <c r="D3809" s="1">
        <v>45799</v>
      </c>
      <c r="E3809">
        <v>69.157899999999998</v>
      </c>
    </row>
    <row r="3810" spans="3:5" x14ac:dyDescent="0.35">
      <c r="C3810">
        <f t="shared" si="60"/>
        <v>2025</v>
      </c>
      <c r="D3810" s="1">
        <v>45800</v>
      </c>
      <c r="E3810">
        <v>66.273399999999995</v>
      </c>
    </row>
    <row r="3811" spans="3:5" x14ac:dyDescent="0.35">
      <c r="C3811">
        <f t="shared" si="60"/>
        <v>2025</v>
      </c>
      <c r="D3811" s="1">
        <v>45804</v>
      </c>
      <c r="E3811">
        <v>66.489000000000004</v>
      </c>
    </row>
    <row r="3812" spans="3:5" x14ac:dyDescent="0.35">
      <c r="C3812">
        <f t="shared" si="60"/>
        <v>2025</v>
      </c>
      <c r="D3812" s="1">
        <v>45805</v>
      </c>
      <c r="E3812">
        <v>66.850800000000007</v>
      </c>
    </row>
    <row r="3813" spans="3:5" x14ac:dyDescent="0.35">
      <c r="C3813">
        <f t="shared" si="60"/>
        <v>2025</v>
      </c>
      <c r="D3813" s="1">
        <v>45806</v>
      </c>
      <c r="E3813">
        <v>66.797899999999998</v>
      </c>
    </row>
    <row r="3814" spans="3:5" x14ac:dyDescent="0.35">
      <c r="C3814">
        <f t="shared" si="60"/>
        <v>2025</v>
      </c>
      <c r="D3814" s="1">
        <v>45807</v>
      </c>
      <c r="E3814">
        <v>65.908100000000005</v>
      </c>
    </row>
    <row r="3815" spans="3:5" x14ac:dyDescent="0.35">
      <c r="C3815">
        <f t="shared" si="60"/>
        <v>2025</v>
      </c>
      <c r="D3815" s="1">
        <v>45810</v>
      </c>
      <c r="E3815">
        <v>64.822999999999993</v>
      </c>
    </row>
    <row r="3816" spans="3:5" x14ac:dyDescent="0.35">
      <c r="C3816">
        <f t="shared" si="60"/>
        <v>2025</v>
      </c>
      <c r="D3816" s="1">
        <v>45811</v>
      </c>
      <c r="E3816">
        <v>67.296899999999994</v>
      </c>
    </row>
    <row r="3817" spans="3:5" x14ac:dyDescent="0.35">
      <c r="C3817">
        <f t="shared" si="60"/>
        <v>2025</v>
      </c>
      <c r="D3817" s="1">
        <v>45812</v>
      </c>
      <c r="E3817">
        <v>67.598699999999994</v>
      </c>
    </row>
    <row r="3818" spans="3:5" x14ac:dyDescent="0.35">
      <c r="C3818">
        <f t="shared" si="60"/>
        <v>2025</v>
      </c>
      <c r="D3818" s="1">
        <v>45813</v>
      </c>
      <c r="E3818">
        <v>67.732900000000001</v>
      </c>
    </row>
    <row r="3819" spans="3:5" x14ac:dyDescent="0.35">
      <c r="C3819">
        <f t="shared" si="60"/>
        <v>2025</v>
      </c>
      <c r="D3819" s="1">
        <v>45818</v>
      </c>
      <c r="E3819">
        <v>69.352699999999999</v>
      </c>
    </row>
    <row r="3820" spans="3:5" x14ac:dyDescent="0.35">
      <c r="C3820">
        <f t="shared" si="60"/>
        <v>2025</v>
      </c>
      <c r="D3820" s="1">
        <v>45819</v>
      </c>
      <c r="E3820">
        <v>69.408100000000005</v>
      </c>
    </row>
    <row r="3821" spans="3:5" x14ac:dyDescent="0.35">
      <c r="C3821">
        <f t="shared" si="60"/>
        <v>2025</v>
      </c>
      <c r="D3821" s="1">
        <v>45820</v>
      </c>
      <c r="E3821">
        <v>65.537099999999995</v>
      </c>
    </row>
    <row r="3822" spans="3:5" x14ac:dyDescent="0.35">
      <c r="C3822">
        <f t="shared" si="60"/>
        <v>2025</v>
      </c>
      <c r="D3822" s="1">
        <v>45821</v>
      </c>
      <c r="E3822">
        <v>60.688699999999997</v>
      </c>
    </row>
    <row r="3823" spans="3:5" x14ac:dyDescent="0.35">
      <c r="C3823">
        <f t="shared" si="60"/>
        <v>2025</v>
      </c>
      <c r="D3823" s="1">
        <v>45824</v>
      </c>
      <c r="E3823">
        <v>61.702500000000001</v>
      </c>
    </row>
    <row r="3824" spans="3:5" x14ac:dyDescent="0.35">
      <c r="C3824">
        <f t="shared" si="60"/>
        <v>2025</v>
      </c>
      <c r="D3824" s="1">
        <v>45825</v>
      </c>
      <c r="E3824">
        <v>61.034100000000002</v>
      </c>
    </row>
    <row r="3825" spans="3:5" x14ac:dyDescent="0.35">
      <c r="C3825">
        <f t="shared" si="60"/>
        <v>2025</v>
      </c>
      <c r="D3825" s="1">
        <v>45826</v>
      </c>
      <c r="E3825">
        <v>59.725999999999999</v>
      </c>
    </row>
    <row r="3826" spans="3:5" x14ac:dyDescent="0.35">
      <c r="C3826">
        <f t="shared" si="60"/>
        <v>2025</v>
      </c>
      <c r="D3826" s="1">
        <v>45828</v>
      </c>
      <c r="E3826">
        <v>59.777999999999999</v>
      </c>
    </row>
    <row r="3827" spans="3:5" x14ac:dyDescent="0.35">
      <c r="C3827">
        <f t="shared" si="60"/>
        <v>2025</v>
      </c>
      <c r="D3827" s="1">
        <v>45831</v>
      </c>
      <c r="E3827">
        <v>58.653500000000001</v>
      </c>
    </row>
    <row r="3828" spans="3:5" x14ac:dyDescent="0.35">
      <c r="C3828">
        <f t="shared" si="60"/>
        <v>2025</v>
      </c>
      <c r="D3828" s="1">
        <v>45832</v>
      </c>
      <c r="E3828">
        <v>64.876000000000005</v>
      </c>
    </row>
    <row r="3829" spans="3:5" x14ac:dyDescent="0.35">
      <c r="C3829">
        <f t="shared" si="60"/>
        <v>2025</v>
      </c>
      <c r="D3829" s="1">
        <v>45833</v>
      </c>
      <c r="E3829">
        <v>64.054500000000004</v>
      </c>
    </row>
    <row r="3830" spans="3:5" x14ac:dyDescent="0.35">
      <c r="C3830">
        <f t="shared" si="60"/>
        <v>2025</v>
      </c>
      <c r="D3830" s="1">
        <v>45834</v>
      </c>
      <c r="E3830">
        <v>62.249099999999999</v>
      </c>
    </row>
    <row r="3831" spans="3:5" x14ac:dyDescent="0.35">
      <c r="C3831">
        <f t="shared" si="60"/>
        <v>2025</v>
      </c>
      <c r="D3831" s="1">
        <v>45835</v>
      </c>
      <c r="E3831">
        <v>63.83</v>
      </c>
    </row>
    <row r="3832" spans="3:5" x14ac:dyDescent="0.35">
      <c r="C3832">
        <f t="shared" si="60"/>
        <v>2025</v>
      </c>
      <c r="D3832" s="1">
        <v>45838</v>
      </c>
      <c r="E3832">
        <v>67.0989</v>
      </c>
    </row>
    <row r="3833" spans="3:5" x14ac:dyDescent="0.35">
      <c r="C3833">
        <f t="shared" si="60"/>
        <v>2025</v>
      </c>
      <c r="D3833" s="1">
        <v>45839</v>
      </c>
      <c r="E3833">
        <v>67.993099999999998</v>
      </c>
    </row>
    <row r="3834" spans="3:5" x14ac:dyDescent="0.35">
      <c r="C3834">
        <f t="shared" si="60"/>
        <v>2025</v>
      </c>
      <c r="D3834" s="1">
        <v>45840</v>
      </c>
      <c r="E3834">
        <v>67.859499999999997</v>
      </c>
    </row>
    <row r="3835" spans="3:5" x14ac:dyDescent="0.35">
      <c r="C3835">
        <f t="shared" si="60"/>
        <v>2025</v>
      </c>
      <c r="D3835" s="1">
        <v>45841</v>
      </c>
      <c r="E3835">
        <v>68.197900000000004</v>
      </c>
    </row>
    <row r="3836" spans="3:5" x14ac:dyDescent="0.35">
      <c r="C3836">
        <f t="shared" si="60"/>
        <v>2025</v>
      </c>
      <c r="D3836" s="1">
        <v>45842</v>
      </c>
      <c r="E3836">
        <v>68.616399999999999</v>
      </c>
    </row>
    <row r="3837" spans="3:5" x14ac:dyDescent="0.35">
      <c r="C3837">
        <f t="shared" si="60"/>
        <v>2025</v>
      </c>
      <c r="D3837" s="1">
        <v>45845</v>
      </c>
      <c r="E3837">
        <v>67.171999999999997</v>
      </c>
    </row>
    <row r="3838" spans="3:5" x14ac:dyDescent="0.35">
      <c r="C3838">
        <f t="shared" si="60"/>
        <v>2025</v>
      </c>
      <c r="D3838" s="1">
        <v>45846</v>
      </c>
      <c r="E3838">
        <v>65.949799999999996</v>
      </c>
    </row>
    <row r="3839" spans="3:5" x14ac:dyDescent="0.35">
      <c r="C3839">
        <f t="shared" si="60"/>
        <v>2025</v>
      </c>
      <c r="D3839" s="1">
        <v>45847</v>
      </c>
      <c r="E3839">
        <v>67.281300000000002</v>
      </c>
    </row>
    <row r="3840" spans="3:5" x14ac:dyDescent="0.35">
      <c r="C3840">
        <f t="shared" si="60"/>
        <v>2025</v>
      </c>
      <c r="D3840" s="1">
        <v>45848</v>
      </c>
      <c r="E3840">
        <v>68.130600000000001</v>
      </c>
    </row>
    <row r="3841" spans="3:5" x14ac:dyDescent="0.35">
      <c r="C3841">
        <f t="shared" si="60"/>
        <v>2025</v>
      </c>
      <c r="D3841" s="1">
        <v>45849</v>
      </c>
      <c r="E3841">
        <v>67.619299999999996</v>
      </c>
    </row>
    <row r="3842" spans="3:5" x14ac:dyDescent="0.35">
      <c r="C3842">
        <f t="shared" si="60"/>
        <v>2025</v>
      </c>
      <c r="D3842" s="1">
        <v>45852</v>
      </c>
      <c r="E3842">
        <v>67.188599999999994</v>
      </c>
    </row>
    <row r="3843" spans="3:5" x14ac:dyDescent="0.35">
      <c r="C3843">
        <f t="shared" ref="C3843:C3906" si="61">YEAR(D3843)</f>
        <v>2025</v>
      </c>
      <c r="D3843" s="1">
        <v>45854</v>
      </c>
      <c r="E3843">
        <v>65.686000000000007</v>
      </c>
    </row>
    <row r="3844" spans="3:5" x14ac:dyDescent="0.35">
      <c r="C3844">
        <f t="shared" si="61"/>
        <v>2025</v>
      </c>
      <c r="D3844" s="1">
        <v>45855</v>
      </c>
      <c r="E3844">
        <v>66.935699999999997</v>
      </c>
    </row>
    <row r="3845" spans="3:5" x14ac:dyDescent="0.35">
      <c r="C3845">
        <f t="shared" si="61"/>
        <v>2025</v>
      </c>
      <c r="D3845" s="1">
        <v>45856</v>
      </c>
      <c r="E3845">
        <v>66.463099999999997</v>
      </c>
    </row>
    <row r="3846" spans="3:5" x14ac:dyDescent="0.35">
      <c r="C3846">
        <f t="shared" si="61"/>
        <v>2025</v>
      </c>
      <c r="D3846" s="1">
        <v>45859</v>
      </c>
      <c r="E3846">
        <v>66.544600000000003</v>
      </c>
    </row>
    <row r="3847" spans="3:5" x14ac:dyDescent="0.35">
      <c r="C3847">
        <f t="shared" si="61"/>
        <v>2025</v>
      </c>
      <c r="D3847" s="1">
        <v>45860</v>
      </c>
      <c r="E3847">
        <v>66.534199999999998</v>
      </c>
    </row>
    <row r="3848" spans="3:5" x14ac:dyDescent="0.35">
      <c r="C3848">
        <f t="shared" si="61"/>
        <v>2025</v>
      </c>
      <c r="D3848" s="1">
        <v>45861</v>
      </c>
      <c r="E3848">
        <v>66.745699999999999</v>
      </c>
    </row>
    <row r="3849" spans="3:5" x14ac:dyDescent="0.35">
      <c r="C3849">
        <f t="shared" si="61"/>
        <v>2025</v>
      </c>
      <c r="D3849" s="1">
        <v>45862</v>
      </c>
      <c r="E3849">
        <v>67.516800000000003</v>
      </c>
    </row>
    <row r="3850" spans="3:5" x14ac:dyDescent="0.35">
      <c r="C3850">
        <f t="shared" si="61"/>
        <v>2025</v>
      </c>
      <c r="D3850" s="1">
        <v>45863</v>
      </c>
      <c r="E3850">
        <v>67.432699999999997</v>
      </c>
    </row>
    <row r="3851" spans="3:5" x14ac:dyDescent="0.35">
      <c r="C3851">
        <f t="shared" si="61"/>
        <v>2025</v>
      </c>
      <c r="D3851" s="1">
        <v>45866</v>
      </c>
      <c r="E3851">
        <v>67.295299999999997</v>
      </c>
    </row>
    <row r="3852" spans="3:5" x14ac:dyDescent="0.35">
      <c r="C3852">
        <f t="shared" si="61"/>
        <v>2025</v>
      </c>
      <c r="D3852" s="1">
        <v>45867</v>
      </c>
      <c r="E3852">
        <v>65.816699999999997</v>
      </c>
    </row>
    <row r="3853" spans="3:5" x14ac:dyDescent="0.35">
      <c r="C3853">
        <f t="shared" si="61"/>
        <v>2025</v>
      </c>
      <c r="D3853" s="1">
        <v>45868</v>
      </c>
      <c r="E3853">
        <v>66.816199999999995</v>
      </c>
    </row>
    <row r="3854" spans="3:5" x14ac:dyDescent="0.35">
      <c r="C3854">
        <f t="shared" si="61"/>
        <v>2025</v>
      </c>
      <c r="D3854" s="1">
        <v>45869</v>
      </c>
      <c r="E3854">
        <v>67.018799999999999</v>
      </c>
    </row>
    <row r="3855" spans="3:5" x14ac:dyDescent="0.35">
      <c r="C3855">
        <f t="shared" si="61"/>
        <v>2025</v>
      </c>
      <c r="D3855" s="1">
        <v>45870</v>
      </c>
      <c r="E3855">
        <v>65.976200000000006</v>
      </c>
    </row>
    <row r="3856" spans="3:5" x14ac:dyDescent="0.35">
      <c r="C3856">
        <f t="shared" si="61"/>
        <v>2025</v>
      </c>
      <c r="D3856" s="1">
        <v>45873</v>
      </c>
      <c r="E3856">
        <v>66.733000000000004</v>
      </c>
    </row>
    <row r="3857" spans="3:5" x14ac:dyDescent="0.35">
      <c r="C3857">
        <f t="shared" si="61"/>
        <v>2025</v>
      </c>
      <c r="D3857" s="1">
        <v>45874</v>
      </c>
      <c r="E3857">
        <v>66.815899999999999</v>
      </c>
    </row>
    <row r="3858" spans="3:5" x14ac:dyDescent="0.35">
      <c r="C3858">
        <f t="shared" si="61"/>
        <v>2025</v>
      </c>
      <c r="D3858" s="1">
        <v>45875</v>
      </c>
      <c r="E3858">
        <v>69.804599999999994</v>
      </c>
    </row>
    <row r="3859" spans="3:5" x14ac:dyDescent="0.35">
      <c r="C3859">
        <f t="shared" si="61"/>
        <v>2025</v>
      </c>
      <c r="D3859" s="1">
        <v>45876</v>
      </c>
      <c r="E3859">
        <v>69.516800000000003</v>
      </c>
    </row>
    <row r="3860" spans="3:5" x14ac:dyDescent="0.35">
      <c r="C3860">
        <f t="shared" si="61"/>
        <v>2025</v>
      </c>
      <c r="D3860" s="1">
        <v>45877</v>
      </c>
      <c r="E3860">
        <v>69.906099999999995</v>
      </c>
    </row>
    <row r="3861" spans="3:5" x14ac:dyDescent="0.35">
      <c r="C3861">
        <f t="shared" si="61"/>
        <v>2025</v>
      </c>
      <c r="D3861" s="1">
        <v>45880</v>
      </c>
      <c r="E3861">
        <v>71.879900000000006</v>
      </c>
    </row>
    <row r="3862" spans="3:5" x14ac:dyDescent="0.35">
      <c r="C3862">
        <f t="shared" si="61"/>
        <v>2025</v>
      </c>
      <c r="D3862" s="1">
        <v>45881</v>
      </c>
      <c r="E3862">
        <v>72.894199999999998</v>
      </c>
    </row>
    <row r="3863" spans="3:5" x14ac:dyDescent="0.35">
      <c r="C3863">
        <f t="shared" si="61"/>
        <v>2025</v>
      </c>
      <c r="D3863" s="1">
        <v>45882</v>
      </c>
      <c r="E3863">
        <v>73.677899999999994</v>
      </c>
    </row>
    <row r="3864" spans="3:5" x14ac:dyDescent="0.35">
      <c r="C3864">
        <f t="shared" si="61"/>
        <v>2025</v>
      </c>
      <c r="D3864" s="1">
        <v>45883</v>
      </c>
      <c r="E3864">
        <v>74.548299999999998</v>
      </c>
    </row>
    <row r="3865" spans="3:5" x14ac:dyDescent="0.35">
      <c r="C3865">
        <f t="shared" si="61"/>
        <v>2025</v>
      </c>
      <c r="D3865" s="1">
        <v>45884</v>
      </c>
      <c r="E3865">
        <v>75.553100000000001</v>
      </c>
    </row>
    <row r="3866" spans="3:5" x14ac:dyDescent="0.35">
      <c r="C3866">
        <f t="shared" si="61"/>
        <v>2025</v>
      </c>
      <c r="D3866" s="1">
        <v>45887</v>
      </c>
      <c r="E3866">
        <v>76.239199999999997</v>
      </c>
    </row>
    <row r="3867" spans="3:5" x14ac:dyDescent="0.35">
      <c r="C3867">
        <f t="shared" si="61"/>
        <v>2025</v>
      </c>
      <c r="D3867" s="1">
        <v>45888</v>
      </c>
      <c r="E3867">
        <v>77.723100000000002</v>
      </c>
    </row>
    <row r="3868" spans="3:5" x14ac:dyDescent="0.35">
      <c r="C3868">
        <f t="shared" si="61"/>
        <v>2025</v>
      </c>
      <c r="D3868" s="1">
        <v>45889</v>
      </c>
      <c r="E3868">
        <v>77.108099999999993</v>
      </c>
    </row>
    <row r="3869" spans="3:5" x14ac:dyDescent="0.35">
      <c r="C3869">
        <f t="shared" si="61"/>
        <v>2025</v>
      </c>
      <c r="D3869" s="1">
        <v>45890</v>
      </c>
      <c r="E3869">
        <v>76.779899999999998</v>
      </c>
    </row>
    <row r="3870" spans="3:5" x14ac:dyDescent="0.35">
      <c r="C3870">
        <f t="shared" si="61"/>
        <v>2025</v>
      </c>
      <c r="D3870" s="1">
        <v>45891</v>
      </c>
      <c r="E3870">
        <v>75.861599999999996</v>
      </c>
    </row>
    <row r="3871" spans="3:5" x14ac:dyDescent="0.35">
      <c r="C3871">
        <f t="shared" si="61"/>
        <v>2025</v>
      </c>
      <c r="D3871" s="1">
        <v>45894</v>
      </c>
      <c r="E3871">
        <v>76.131500000000003</v>
      </c>
    </row>
    <row r="3872" spans="3:5" x14ac:dyDescent="0.35">
      <c r="C3872">
        <f t="shared" si="61"/>
        <v>2025</v>
      </c>
      <c r="D3872" s="1">
        <v>45895</v>
      </c>
      <c r="E3872">
        <v>76.894400000000005</v>
      </c>
    </row>
    <row r="3873" spans="3:5" x14ac:dyDescent="0.35">
      <c r="C3873">
        <f t="shared" si="61"/>
        <v>2025</v>
      </c>
      <c r="D3873" s="1">
        <v>45896</v>
      </c>
      <c r="E3873">
        <v>75.412199999999999</v>
      </c>
    </row>
    <row r="3874" spans="3:5" x14ac:dyDescent="0.35">
      <c r="C3874">
        <f t="shared" si="61"/>
        <v>2025</v>
      </c>
      <c r="D3874" s="1">
        <v>45897</v>
      </c>
      <c r="E3874">
        <v>75.0642</v>
      </c>
    </row>
    <row r="3875" spans="3:5" x14ac:dyDescent="0.35">
      <c r="C3875">
        <f t="shared" si="61"/>
        <v>2025</v>
      </c>
      <c r="D3875" s="1">
        <v>45898</v>
      </c>
      <c r="E3875">
        <v>72.910899999999998</v>
      </c>
    </row>
    <row r="3876" spans="3:5" x14ac:dyDescent="0.35">
      <c r="C3876">
        <f t="shared" si="61"/>
        <v>2025</v>
      </c>
      <c r="D3876" s="1">
        <v>45902</v>
      </c>
      <c r="E3876">
        <v>69.754300000000001</v>
      </c>
    </row>
    <row r="3877" spans="3:5" x14ac:dyDescent="0.35">
      <c r="C3877">
        <f t="shared" si="61"/>
        <v>2025</v>
      </c>
      <c r="D3877" s="1">
        <v>45903</v>
      </c>
      <c r="E3877">
        <v>69.233000000000004</v>
      </c>
    </row>
    <row r="3878" spans="3:5" x14ac:dyDescent="0.35">
      <c r="C3878">
        <f t="shared" si="61"/>
        <v>2025</v>
      </c>
      <c r="D3878" s="1">
        <v>45904</v>
      </c>
      <c r="E3878">
        <v>68.347300000000004</v>
      </c>
    </row>
    <row r="3879" spans="3:5" x14ac:dyDescent="0.35">
      <c r="C3879">
        <f t="shared" si="61"/>
        <v>2025</v>
      </c>
      <c r="D3879" s="1">
        <v>45905</v>
      </c>
      <c r="E3879">
        <v>66.679199999999994</v>
      </c>
    </row>
    <row r="3880" spans="3:5" x14ac:dyDescent="0.35">
      <c r="C3880">
        <f t="shared" si="61"/>
        <v>2025</v>
      </c>
      <c r="D3880" s="1">
        <v>45908</v>
      </c>
      <c r="E3880">
        <v>64.033900000000003</v>
      </c>
    </row>
    <row r="3881" spans="3:5" x14ac:dyDescent="0.35">
      <c r="C3881">
        <f t="shared" si="61"/>
        <v>2025</v>
      </c>
      <c r="D3881" s="1">
        <v>45909</v>
      </c>
      <c r="E3881">
        <v>65.537099999999995</v>
      </c>
    </row>
    <row r="3882" spans="3:5" x14ac:dyDescent="0.35">
      <c r="C3882">
        <f t="shared" si="61"/>
        <v>2025</v>
      </c>
      <c r="D3882" s="1">
        <v>45910</v>
      </c>
      <c r="E3882">
        <v>66.727900000000005</v>
      </c>
    </row>
    <row r="3883" spans="3:5" x14ac:dyDescent="0.35">
      <c r="C3883">
        <f t="shared" si="61"/>
        <v>2025</v>
      </c>
      <c r="D3883" s="1">
        <v>45911</v>
      </c>
      <c r="E3883">
        <v>65.474699999999999</v>
      </c>
    </row>
    <row r="3884" spans="3:5" x14ac:dyDescent="0.35">
      <c r="C3884">
        <f t="shared" si="61"/>
        <v>2025</v>
      </c>
      <c r="D3884" s="1">
        <v>45912</v>
      </c>
      <c r="E3884">
        <v>64.731800000000007</v>
      </c>
    </row>
    <row r="3885" spans="3:5" x14ac:dyDescent="0.35">
      <c r="C3885">
        <f t="shared" si="61"/>
        <v>2025</v>
      </c>
      <c r="D3885" s="1">
        <v>45915</v>
      </c>
      <c r="E3885">
        <v>67.887799999999999</v>
      </c>
    </row>
    <row r="3886" spans="3:5" x14ac:dyDescent="0.35">
      <c r="C3886">
        <f t="shared" si="61"/>
        <v>2025</v>
      </c>
      <c r="D3886" s="1">
        <v>45916</v>
      </c>
      <c r="E3886">
        <v>66.746600000000001</v>
      </c>
    </row>
    <row r="3887" spans="3:5" x14ac:dyDescent="0.35">
      <c r="C3887">
        <f t="shared" si="61"/>
        <v>2025</v>
      </c>
      <c r="D3887" s="1">
        <v>45917</v>
      </c>
      <c r="E3887">
        <v>65.751099999999994</v>
      </c>
    </row>
    <row r="3888" spans="3:5" x14ac:dyDescent="0.35">
      <c r="C3888">
        <f t="shared" si="61"/>
        <v>2025</v>
      </c>
      <c r="D3888" s="1">
        <v>45918</v>
      </c>
      <c r="E3888">
        <v>65.673599999999993</v>
      </c>
    </row>
    <row r="3889" spans="3:5" x14ac:dyDescent="0.35">
      <c r="C3889">
        <f t="shared" si="61"/>
        <v>2025</v>
      </c>
      <c r="D3889" s="1">
        <v>45919</v>
      </c>
      <c r="E3889">
        <v>65.434299999999993</v>
      </c>
    </row>
    <row r="3890" spans="3:5" x14ac:dyDescent="0.35">
      <c r="C3890">
        <f t="shared" si="61"/>
        <v>2025</v>
      </c>
      <c r="D3890" s="1">
        <v>45922</v>
      </c>
      <c r="E3890">
        <v>65.462199999999996</v>
      </c>
    </row>
    <row r="3891" spans="3:5" x14ac:dyDescent="0.35">
      <c r="C3891">
        <f t="shared" si="61"/>
        <v>2025</v>
      </c>
      <c r="D3891" s="1">
        <v>45923</v>
      </c>
      <c r="E3891">
        <v>64.547899999999998</v>
      </c>
    </row>
    <row r="3892" spans="3:5" x14ac:dyDescent="0.35">
      <c r="C3892">
        <f t="shared" si="61"/>
        <v>2025</v>
      </c>
      <c r="D3892" s="1">
        <v>45924</v>
      </c>
      <c r="E3892">
        <v>65.1935</v>
      </c>
    </row>
    <row r="3893" spans="3:5" x14ac:dyDescent="0.35">
      <c r="C3893">
        <f t="shared" si="61"/>
        <v>2025</v>
      </c>
      <c r="D3893" s="1">
        <v>45925</v>
      </c>
      <c r="E3893">
        <v>65.882900000000006</v>
      </c>
    </row>
    <row r="3894" spans="3:5" x14ac:dyDescent="0.35">
      <c r="C3894">
        <f t="shared" si="61"/>
        <v>2025</v>
      </c>
      <c r="D3894" s="1">
        <v>45926</v>
      </c>
      <c r="E3894">
        <v>63.379800000000003</v>
      </c>
    </row>
    <row r="3895" spans="3:5" x14ac:dyDescent="0.35">
      <c r="C3895">
        <f t="shared" si="61"/>
        <v>2025</v>
      </c>
      <c r="D3895" s="1">
        <v>45929</v>
      </c>
      <c r="E3895">
        <v>62.529899999999998</v>
      </c>
    </row>
    <row r="3896" spans="3:5" x14ac:dyDescent="0.35">
      <c r="C3896">
        <f t="shared" si="61"/>
        <v>2025</v>
      </c>
      <c r="D3896" s="1">
        <v>45930</v>
      </c>
      <c r="E3896">
        <v>61.354900000000001</v>
      </c>
    </row>
    <row r="3897" spans="3:5" x14ac:dyDescent="0.35">
      <c r="C3897">
        <f t="shared" si="61"/>
        <v>2025</v>
      </c>
      <c r="D3897" s="1">
        <v>45931</v>
      </c>
      <c r="E3897">
        <v>61.067399999999999</v>
      </c>
    </row>
    <row r="3898" spans="3:5" x14ac:dyDescent="0.35">
      <c r="C3898">
        <f t="shared" si="61"/>
        <v>2025</v>
      </c>
      <c r="D3898" s="1">
        <v>45932</v>
      </c>
      <c r="E3898">
        <v>61.346600000000002</v>
      </c>
    </row>
    <row r="3899" spans="3:5" x14ac:dyDescent="0.35">
      <c r="C3899">
        <f t="shared" si="61"/>
        <v>2025</v>
      </c>
      <c r="D3899" s="1">
        <v>45933</v>
      </c>
      <c r="E3899">
        <v>59.857500000000002</v>
      </c>
    </row>
    <row r="3900" spans="3:5" x14ac:dyDescent="0.35">
      <c r="C3900">
        <f t="shared" si="61"/>
        <v>2025</v>
      </c>
      <c r="D3900" s="1">
        <v>45936</v>
      </c>
      <c r="E3900">
        <v>57.726399999999998</v>
      </c>
    </row>
    <row r="3901" spans="3:5" x14ac:dyDescent="0.35">
      <c r="C3901">
        <f t="shared" si="61"/>
        <v>2025</v>
      </c>
      <c r="D3901" s="1">
        <v>45937</v>
      </c>
      <c r="E3901">
        <v>58.8444</v>
      </c>
    </row>
    <row r="3902" spans="3:5" x14ac:dyDescent="0.35">
      <c r="C3902">
        <f t="shared" si="61"/>
        <v>2025</v>
      </c>
      <c r="D3902" s="1">
        <v>45938</v>
      </c>
      <c r="E3902">
        <v>57.209499999999998</v>
      </c>
    </row>
    <row r="3903" spans="3:5" x14ac:dyDescent="0.35">
      <c r="C3903">
        <f t="shared" si="61"/>
        <v>2025</v>
      </c>
      <c r="D3903" s="1">
        <v>45939</v>
      </c>
      <c r="E3903">
        <v>59.021799999999999</v>
      </c>
    </row>
    <row r="3904" spans="3:5" x14ac:dyDescent="0.35">
      <c r="C3904">
        <f t="shared" si="61"/>
        <v>2025</v>
      </c>
      <c r="D3904" s="1">
        <v>45940</v>
      </c>
      <c r="E3904">
        <v>58.687800000000003</v>
      </c>
    </row>
    <row r="3905" spans="3:5" x14ac:dyDescent="0.35">
      <c r="C3905">
        <f t="shared" si="61"/>
        <v>2025</v>
      </c>
      <c r="D3905" s="1">
        <v>45943</v>
      </c>
      <c r="E3905">
        <v>55.9452</v>
      </c>
    </row>
    <row r="3906" spans="3:5" x14ac:dyDescent="0.35">
      <c r="C3906">
        <f t="shared" si="61"/>
        <v>2025</v>
      </c>
      <c r="D3906" s="1">
        <v>45944</v>
      </c>
      <c r="E3906">
        <v>54.280999999999999</v>
      </c>
    </row>
    <row r="3907" spans="3:5" x14ac:dyDescent="0.35">
      <c r="C3907">
        <f t="shared" ref="C3907:C3970" si="62">YEAR(D3907)</f>
        <v>2025</v>
      </c>
      <c r="D3907" s="1">
        <v>45945</v>
      </c>
      <c r="E3907">
        <v>53.553199999999997</v>
      </c>
    </row>
    <row r="3908" spans="3:5" x14ac:dyDescent="0.35">
      <c r="C3908">
        <f t="shared" si="62"/>
        <v>2025</v>
      </c>
      <c r="D3908" s="1">
        <v>45946</v>
      </c>
      <c r="E3908">
        <v>51.396000000000001</v>
      </c>
    </row>
    <row r="3909" spans="3:5" x14ac:dyDescent="0.35">
      <c r="C3909">
        <f t="shared" si="62"/>
        <v>2025</v>
      </c>
      <c r="D3909" s="1">
        <v>45947</v>
      </c>
      <c r="E3909">
        <v>51.738399999999999</v>
      </c>
    </row>
    <row r="3910" spans="3:5" x14ac:dyDescent="0.35">
      <c r="C3910">
        <f t="shared" si="62"/>
        <v>2025</v>
      </c>
      <c r="D3910" s="1">
        <v>45950</v>
      </c>
      <c r="E3910">
        <v>50.933399999999999</v>
      </c>
    </row>
    <row r="3911" spans="3:5" x14ac:dyDescent="0.35">
      <c r="C3911">
        <f t="shared" si="62"/>
        <v>2025</v>
      </c>
      <c r="D3911" s="1">
        <v>45951</v>
      </c>
      <c r="E3911">
        <v>53.444400000000002</v>
      </c>
    </row>
    <row r="3912" spans="3:5" x14ac:dyDescent="0.35">
      <c r="C3912">
        <f t="shared" si="62"/>
        <v>2025</v>
      </c>
      <c r="D3912" s="1">
        <v>45952</v>
      </c>
      <c r="E3912">
        <v>52.774900000000002</v>
      </c>
    </row>
    <row r="3913" spans="3:5" x14ac:dyDescent="0.35">
      <c r="C3913">
        <f t="shared" si="62"/>
        <v>2025</v>
      </c>
      <c r="D3913" s="1">
        <v>45953</v>
      </c>
      <c r="E3913">
        <v>51.053800000000003</v>
      </c>
    </row>
    <row r="3914" spans="3:5" x14ac:dyDescent="0.35">
      <c r="C3914">
        <f t="shared" si="62"/>
        <v>2025</v>
      </c>
      <c r="D3914" s="1">
        <v>45954</v>
      </c>
      <c r="E3914">
        <v>53.366199999999999</v>
      </c>
    </row>
    <row r="3915" spans="3:5" x14ac:dyDescent="0.35">
      <c r="C3915">
        <f t="shared" si="62"/>
        <v>2025</v>
      </c>
      <c r="D3915" s="1">
        <v>45957</v>
      </c>
      <c r="E3915">
        <v>54.600499999999997</v>
      </c>
    </row>
    <row r="3916" spans="3:5" x14ac:dyDescent="0.35">
      <c r="C3916">
        <f t="shared" si="62"/>
        <v>2025</v>
      </c>
      <c r="D3916" s="1">
        <v>45958</v>
      </c>
      <c r="E3916">
        <v>54.574300000000001</v>
      </c>
    </row>
    <row r="3917" spans="3:5" x14ac:dyDescent="0.35">
      <c r="C3917">
        <f t="shared" si="62"/>
        <v>2025</v>
      </c>
      <c r="D3917" s="1">
        <v>45960</v>
      </c>
      <c r="E3917">
        <v>53.804299999999998</v>
      </c>
    </row>
    <row r="3918" spans="3:5" x14ac:dyDescent="0.35">
      <c r="C3918">
        <f t="shared" si="62"/>
        <v>2025</v>
      </c>
      <c r="D3918" s="1">
        <v>45961</v>
      </c>
      <c r="E3918">
        <v>54.174900000000001</v>
      </c>
    </row>
    <row r="3919" spans="3:5" x14ac:dyDescent="0.35">
      <c r="C3919">
        <f t="shared" si="62"/>
        <v>2025</v>
      </c>
      <c r="D3919" s="1">
        <v>45964</v>
      </c>
      <c r="E3919">
        <v>54.375700000000002</v>
      </c>
    </row>
    <row r="3920" spans="3:5" x14ac:dyDescent="0.35">
      <c r="C3920">
        <f t="shared" si="62"/>
        <v>2025</v>
      </c>
      <c r="D3920" s="1">
        <v>45965</v>
      </c>
      <c r="E3920">
        <v>54.124699999999997</v>
      </c>
    </row>
    <row r="3921" spans="3:5" x14ac:dyDescent="0.35">
      <c r="C3921">
        <f t="shared" si="62"/>
        <v>2025</v>
      </c>
      <c r="D3921" s="1">
        <v>45966</v>
      </c>
      <c r="E3921">
        <v>53.863999999999997</v>
      </c>
    </row>
    <row r="3922" spans="3:5" x14ac:dyDescent="0.35">
      <c r="C3922">
        <f t="shared" si="62"/>
        <v>2025</v>
      </c>
      <c r="D3922" s="1">
        <v>45967</v>
      </c>
      <c r="E3922">
        <v>54.283200000000001</v>
      </c>
    </row>
    <row r="3923" spans="3:5" x14ac:dyDescent="0.35">
      <c r="C3923">
        <f t="shared" si="62"/>
        <v>2025</v>
      </c>
      <c r="D3923" s="1">
        <v>45968</v>
      </c>
      <c r="E3923">
        <v>53.396599999999999</v>
      </c>
    </row>
    <row r="3924" spans="3:5" x14ac:dyDescent="0.35">
      <c r="C3924">
        <f t="shared" si="62"/>
        <v>2025</v>
      </c>
      <c r="D3924" s="1">
        <v>45971</v>
      </c>
      <c r="E3924">
        <v>49.841200000000001</v>
      </c>
    </row>
    <row r="3925" spans="3:5" x14ac:dyDescent="0.35">
      <c r="C3925">
        <f t="shared" si="62"/>
        <v>2025</v>
      </c>
      <c r="D3925" s="1">
        <v>45972</v>
      </c>
      <c r="E3925">
        <v>48.9559</v>
      </c>
    </row>
    <row r="3926" spans="3:5" x14ac:dyDescent="0.35">
      <c r="C3926">
        <f t="shared" si="62"/>
        <v>2025</v>
      </c>
      <c r="D3926" s="1">
        <v>45973</v>
      </c>
      <c r="E3926">
        <v>46.939399999999999</v>
      </c>
    </row>
    <row r="3927" spans="3:5" x14ac:dyDescent="0.35">
      <c r="C3927">
        <f t="shared" si="62"/>
        <v>2025</v>
      </c>
      <c r="D3927" s="1">
        <v>45974</v>
      </c>
      <c r="E3927">
        <v>47.651400000000002</v>
      </c>
    </row>
    <row r="3928" spans="3:5" x14ac:dyDescent="0.35">
      <c r="C3928">
        <f t="shared" si="62"/>
        <v>2025</v>
      </c>
      <c r="D3928" s="1">
        <v>45975</v>
      </c>
      <c r="E3928">
        <v>48.406599999999997</v>
      </c>
    </row>
    <row r="3929" spans="3:5" x14ac:dyDescent="0.35">
      <c r="C3929">
        <f t="shared" si="62"/>
        <v>2025</v>
      </c>
      <c r="D3929" s="1">
        <v>45978</v>
      </c>
      <c r="E3929">
        <v>48.515099999999997</v>
      </c>
    </row>
    <row r="3930" spans="3:5" x14ac:dyDescent="0.35">
      <c r="C3930">
        <f t="shared" si="62"/>
        <v>2025</v>
      </c>
      <c r="D3930" s="1">
        <v>45979</v>
      </c>
      <c r="E3930">
        <v>48.410200000000003</v>
      </c>
    </row>
    <row r="3931" spans="3:5" x14ac:dyDescent="0.35">
      <c r="C3931">
        <f t="shared" si="62"/>
        <v>2025</v>
      </c>
      <c r="D3931" s="1">
        <v>45980</v>
      </c>
      <c r="E3931">
        <v>50.008099999999999</v>
      </c>
    </row>
    <row r="3932" spans="3:5" x14ac:dyDescent="0.35">
      <c r="C3932">
        <f t="shared" si="62"/>
        <v>2025</v>
      </c>
      <c r="D3932" s="1">
        <v>45981</v>
      </c>
      <c r="E3932">
        <v>50.024099999999997</v>
      </c>
    </row>
    <row r="3933" spans="3:5" x14ac:dyDescent="0.35">
      <c r="C3933">
        <f t="shared" si="62"/>
        <v>2025</v>
      </c>
      <c r="D3933" s="1">
        <v>45982</v>
      </c>
      <c r="E3933">
        <v>49.079599999999999</v>
      </c>
    </row>
    <row r="3934" spans="3:5" x14ac:dyDescent="0.35">
      <c r="C3934">
        <f t="shared" si="62"/>
        <v>2025</v>
      </c>
      <c r="D3934" s="1">
        <v>45985</v>
      </c>
      <c r="E3934">
        <v>48.453800000000001</v>
      </c>
    </row>
    <row r="3935" spans="3:5" x14ac:dyDescent="0.35">
      <c r="C3935">
        <f t="shared" si="62"/>
        <v>2025</v>
      </c>
      <c r="D3935" s="1">
        <v>45986</v>
      </c>
      <c r="E3935">
        <v>48.378500000000003</v>
      </c>
    </row>
    <row r="3936" spans="3:5" x14ac:dyDescent="0.35">
      <c r="C3936">
        <f t="shared" si="62"/>
        <v>2025</v>
      </c>
      <c r="D3936" s="1">
        <v>45987</v>
      </c>
      <c r="E3936">
        <v>48.23</v>
      </c>
    </row>
    <row r="3937" spans="3:5" x14ac:dyDescent="0.35">
      <c r="C3937">
        <f t="shared" si="62"/>
        <v>2025</v>
      </c>
      <c r="D3937" s="1">
        <v>45989</v>
      </c>
      <c r="E3937">
        <v>47.3369</v>
      </c>
    </row>
    <row r="3938" spans="3:5" x14ac:dyDescent="0.35">
      <c r="C3938">
        <f t="shared" si="62"/>
        <v>2025</v>
      </c>
      <c r="D3938" s="1">
        <v>45992</v>
      </c>
      <c r="E3938">
        <v>47.767600000000002</v>
      </c>
    </row>
    <row r="3939" spans="3:5" x14ac:dyDescent="0.35">
      <c r="C3939">
        <f t="shared" si="62"/>
        <v>2025</v>
      </c>
      <c r="D3939" s="1">
        <v>45993</v>
      </c>
      <c r="E3939">
        <v>48.865400000000001</v>
      </c>
    </row>
    <row r="3940" spans="3:5" x14ac:dyDescent="0.35">
      <c r="C3940">
        <f t="shared" si="62"/>
        <v>2025</v>
      </c>
      <c r="D3940" s="1">
        <v>45994</v>
      </c>
      <c r="E3940">
        <v>48.067700000000002</v>
      </c>
    </row>
    <row r="3941" spans="3:5" x14ac:dyDescent="0.35">
      <c r="C3941">
        <f t="shared" si="62"/>
        <v>2025</v>
      </c>
      <c r="D3941" s="1">
        <v>45995</v>
      </c>
      <c r="E3941">
        <v>46.9741</v>
      </c>
    </row>
    <row r="3942" spans="3:5" x14ac:dyDescent="0.35">
      <c r="C3942">
        <f t="shared" si="62"/>
        <v>2025</v>
      </c>
      <c r="D3942" s="1">
        <v>45996</v>
      </c>
      <c r="E3942">
        <v>46.946599999999997</v>
      </c>
    </row>
    <row r="3943" spans="3:5" x14ac:dyDescent="0.35">
      <c r="C3943">
        <f t="shared" si="62"/>
        <v>2025</v>
      </c>
      <c r="D3943" s="1">
        <v>45999</v>
      </c>
      <c r="E3943">
        <v>47.567599999999999</v>
      </c>
    </row>
    <row r="3944" spans="3:5" x14ac:dyDescent="0.35">
      <c r="C3944">
        <f t="shared" si="62"/>
        <v>2025</v>
      </c>
      <c r="D3944" s="1">
        <v>46000</v>
      </c>
      <c r="E3944">
        <v>47.173499999999997</v>
      </c>
    </row>
    <row r="3945" spans="3:5" x14ac:dyDescent="0.35">
      <c r="C3945">
        <f t="shared" si="62"/>
        <v>2025</v>
      </c>
      <c r="D3945" s="1">
        <v>46001</v>
      </c>
      <c r="E3945">
        <v>47.120100000000001</v>
      </c>
    </row>
    <row r="3946" spans="3:5" x14ac:dyDescent="0.35">
      <c r="C3946">
        <f t="shared" si="62"/>
        <v>2025</v>
      </c>
      <c r="D3946" s="1">
        <v>46002</v>
      </c>
      <c r="E3946">
        <v>45.902700000000003</v>
      </c>
    </row>
    <row r="3947" spans="3:5" x14ac:dyDescent="0.35">
      <c r="C3947">
        <f t="shared" si="62"/>
        <v>2025</v>
      </c>
      <c r="D3947" s="1">
        <v>46003</v>
      </c>
      <c r="E3947">
        <v>46.191200000000002</v>
      </c>
    </row>
    <row r="3948" spans="3:5" x14ac:dyDescent="0.35">
      <c r="C3948">
        <f t="shared" si="62"/>
        <v>2025</v>
      </c>
      <c r="D3948" s="1">
        <v>46006</v>
      </c>
      <c r="E3948">
        <v>46.405000000000001</v>
      </c>
    </row>
    <row r="3949" spans="3:5" x14ac:dyDescent="0.35">
      <c r="C3949">
        <f t="shared" si="62"/>
        <v>2025</v>
      </c>
      <c r="D3949" s="1">
        <v>46007</v>
      </c>
      <c r="E3949">
        <v>46.246699999999997</v>
      </c>
    </row>
    <row r="3950" spans="3:5" x14ac:dyDescent="0.35">
      <c r="C3950">
        <f t="shared" si="62"/>
        <v>2025</v>
      </c>
      <c r="D3950" s="1">
        <v>46008</v>
      </c>
      <c r="E3950">
        <v>45.900300000000001</v>
      </c>
    </row>
    <row r="3951" spans="3:5" x14ac:dyDescent="0.35">
      <c r="C3951">
        <f t="shared" si="62"/>
        <v>2025</v>
      </c>
      <c r="D3951" s="1">
        <v>46009</v>
      </c>
      <c r="E3951">
        <v>46.045099999999998</v>
      </c>
    </row>
    <row r="3952" spans="3:5" x14ac:dyDescent="0.35">
      <c r="C3952">
        <f t="shared" si="62"/>
        <v>2025</v>
      </c>
      <c r="D3952" s="1">
        <v>46010</v>
      </c>
      <c r="E3952">
        <v>46.212600000000002</v>
      </c>
    </row>
    <row r="3953" spans="3:5" x14ac:dyDescent="0.35">
      <c r="C3953">
        <f t="shared" si="62"/>
        <v>2025</v>
      </c>
      <c r="D3953" s="1">
        <v>46013</v>
      </c>
      <c r="E3953">
        <v>44.4664</v>
      </c>
    </row>
    <row r="3954" spans="3:5" x14ac:dyDescent="0.35">
      <c r="C3954">
        <f t="shared" si="62"/>
        <v>2025</v>
      </c>
      <c r="D3954" s="1">
        <v>46014</v>
      </c>
      <c r="E3954">
        <v>43.8352</v>
      </c>
    </row>
    <row r="3955" spans="3:5" x14ac:dyDescent="0.35">
      <c r="C3955">
        <f t="shared" si="62"/>
        <v>2025</v>
      </c>
      <c r="D3955" s="1">
        <v>46015</v>
      </c>
      <c r="E3955">
        <v>43.945300000000003</v>
      </c>
    </row>
    <row r="3956" spans="3:5" x14ac:dyDescent="0.35">
      <c r="C3956">
        <f t="shared" si="62"/>
        <v>2025</v>
      </c>
      <c r="D3956" s="1">
        <v>46017</v>
      </c>
      <c r="E3956">
        <v>42.947299999999998</v>
      </c>
    </row>
    <row r="3957" spans="3:5" x14ac:dyDescent="0.35">
      <c r="C3957">
        <f t="shared" si="62"/>
        <v>2025</v>
      </c>
      <c r="D3957" s="1">
        <v>46020</v>
      </c>
      <c r="E3957">
        <v>44.334299999999999</v>
      </c>
    </row>
    <row r="3958" spans="3:5" x14ac:dyDescent="0.35">
      <c r="C3958">
        <f t="shared" si="62"/>
        <v>2025</v>
      </c>
      <c r="D3958" s="1">
        <v>46021</v>
      </c>
      <c r="E3958">
        <v>44.3842</v>
      </c>
    </row>
    <row r="3959" spans="3:5" x14ac:dyDescent="0.35">
      <c r="C3959">
        <f t="shared" si="62"/>
        <v>2025</v>
      </c>
      <c r="D3959" s="1">
        <v>46022</v>
      </c>
      <c r="E3959">
        <v>44.949399999999997</v>
      </c>
    </row>
    <row r="3960" spans="3:5" x14ac:dyDescent="0.35">
      <c r="C3960">
        <f t="shared" si="62"/>
        <v>2026</v>
      </c>
      <c r="D3960" s="1">
        <v>46024</v>
      </c>
      <c r="E3960">
        <v>45.986199999999997</v>
      </c>
    </row>
    <row r="3961" spans="3:5" x14ac:dyDescent="0.35">
      <c r="C3961">
        <f t="shared" si="62"/>
        <v>2026</v>
      </c>
      <c r="D3961" s="1">
        <v>46027</v>
      </c>
      <c r="E3961">
        <v>45.269100000000002</v>
      </c>
    </row>
    <row r="3962" spans="3:5" x14ac:dyDescent="0.35">
      <c r="C3962">
        <f t="shared" si="62"/>
        <v>2026</v>
      </c>
      <c r="D3962" s="1">
        <v>46028</v>
      </c>
      <c r="E3962">
        <v>46.515700000000002</v>
      </c>
    </row>
    <row r="3963" spans="3:5" x14ac:dyDescent="0.35">
      <c r="C3963">
        <f t="shared" si="62"/>
        <v>2026</v>
      </c>
      <c r="D3963" s="1">
        <v>46029</v>
      </c>
      <c r="E3963">
        <v>47.223599999999998</v>
      </c>
    </row>
    <row r="3964" spans="3:5" x14ac:dyDescent="0.35">
      <c r="C3964">
        <f t="shared" si="62"/>
        <v>2026</v>
      </c>
      <c r="D3964" s="1">
        <v>46030</v>
      </c>
      <c r="E3964">
        <v>47.832799999999999</v>
      </c>
    </row>
    <row r="3965" spans="3:5" x14ac:dyDescent="0.35">
      <c r="C3965">
        <f t="shared" si="62"/>
        <v>2026</v>
      </c>
      <c r="D3965" s="1">
        <v>46031</v>
      </c>
      <c r="E3965">
        <v>46.817100000000003</v>
      </c>
    </row>
    <row r="3966" spans="3:5" x14ac:dyDescent="0.35">
      <c r="C3966">
        <f t="shared" si="62"/>
        <v>2026</v>
      </c>
      <c r="D3966" s="1">
        <v>46034</v>
      </c>
      <c r="E3966">
        <v>45.6828</v>
      </c>
    </row>
    <row r="3967" spans="3:5" x14ac:dyDescent="0.35">
      <c r="C3967">
        <f t="shared" si="62"/>
        <v>2026</v>
      </c>
      <c r="D3967" s="1">
        <v>46035</v>
      </c>
      <c r="E3967">
        <v>45.087499999999999</v>
      </c>
    </row>
    <row r="3968" spans="3:5" x14ac:dyDescent="0.35">
      <c r="C3968">
        <f t="shared" si="62"/>
        <v>2026</v>
      </c>
      <c r="D3968" s="1">
        <v>46036</v>
      </c>
      <c r="E3968">
        <v>43.6633</v>
      </c>
    </row>
    <row r="3969" spans="3:5" x14ac:dyDescent="0.35">
      <c r="C3969">
        <f t="shared" si="62"/>
        <v>2026</v>
      </c>
      <c r="D3969" s="1">
        <v>46037</v>
      </c>
      <c r="E3969">
        <v>44.911000000000001</v>
      </c>
    </row>
    <row r="3970" spans="3:5" x14ac:dyDescent="0.35">
      <c r="C3970">
        <f t="shared" si="62"/>
        <v>2026</v>
      </c>
      <c r="D3970" s="1">
        <v>46038</v>
      </c>
      <c r="E3970">
        <v>45.742699999999999</v>
      </c>
    </row>
    <row r="3971" spans="3:5" x14ac:dyDescent="0.35">
      <c r="C3971">
        <f t="shared" ref="C3971:C4034" si="63">YEAR(D3971)</f>
        <v>2026</v>
      </c>
      <c r="D3971" s="1">
        <v>46042</v>
      </c>
      <c r="E3971">
        <v>44.093400000000003</v>
      </c>
    </row>
    <row r="3972" spans="3:5" x14ac:dyDescent="0.35">
      <c r="C3972">
        <f t="shared" si="63"/>
        <v>2026</v>
      </c>
      <c r="D3972" s="1">
        <v>46043</v>
      </c>
      <c r="E3972">
        <v>44.164700000000003</v>
      </c>
    </row>
    <row r="3973" spans="3:5" x14ac:dyDescent="0.35">
      <c r="C3973">
        <f t="shared" si="63"/>
        <v>2026</v>
      </c>
      <c r="D3973" s="1">
        <v>46044</v>
      </c>
      <c r="E3973">
        <v>43.758200000000002</v>
      </c>
    </row>
    <row r="3974" spans="3:5" x14ac:dyDescent="0.35">
      <c r="C3974">
        <f t="shared" si="63"/>
        <v>2026</v>
      </c>
      <c r="D3974" s="1">
        <v>46045</v>
      </c>
      <c r="E3974">
        <v>43.41</v>
      </c>
    </row>
    <row r="3975" spans="3:5" x14ac:dyDescent="0.35">
      <c r="C3975">
        <f t="shared" si="63"/>
        <v>2026</v>
      </c>
      <c r="D3975" s="1">
        <v>46048</v>
      </c>
      <c r="E3975">
        <v>42.232999999999997</v>
      </c>
    </row>
    <row r="3976" spans="3:5" x14ac:dyDescent="0.35">
      <c r="C3976">
        <f t="shared" si="63"/>
        <v>2026</v>
      </c>
      <c r="D3976" s="1">
        <v>46049</v>
      </c>
      <c r="E3976">
        <v>41.530099999999997</v>
      </c>
    </row>
    <row r="3977" spans="3:5" x14ac:dyDescent="0.35">
      <c r="C3977">
        <f t="shared" si="63"/>
        <v>2026</v>
      </c>
      <c r="D3977" s="1">
        <v>46050</v>
      </c>
      <c r="E3977">
        <v>40.270099999999999</v>
      </c>
    </row>
    <row r="3978" spans="3:5" x14ac:dyDescent="0.35">
      <c r="C3978">
        <f t="shared" si="63"/>
        <v>2026</v>
      </c>
      <c r="D3978" s="1">
        <v>46051</v>
      </c>
      <c r="E3978">
        <v>40.722299999999997</v>
      </c>
    </row>
    <row r="3979" spans="3:5" x14ac:dyDescent="0.35">
      <c r="C3979">
        <f t="shared" si="63"/>
        <v>2026</v>
      </c>
      <c r="D3979" s="1">
        <v>46052</v>
      </c>
      <c r="E3979">
        <v>46.159599999999998</v>
      </c>
    </row>
    <row r="3980" spans="3:5" x14ac:dyDescent="0.35">
      <c r="C3980">
        <f t="shared" si="63"/>
        <v>2026</v>
      </c>
      <c r="D3980" s="1">
        <v>46055</v>
      </c>
      <c r="E3980">
        <v>47.314</v>
      </c>
    </row>
    <row r="3981" spans="3:5" x14ac:dyDescent="0.35">
      <c r="C3981">
        <f t="shared" si="63"/>
        <v>2026</v>
      </c>
      <c r="D3981" s="1">
        <v>46056</v>
      </c>
      <c r="E3981">
        <v>46.5047</v>
      </c>
    </row>
    <row r="3982" spans="3:5" x14ac:dyDescent="0.35">
      <c r="C3982">
        <f t="shared" si="63"/>
        <v>2026</v>
      </c>
      <c r="D3982" s="1">
        <v>46057</v>
      </c>
      <c r="E3982">
        <v>46.584099999999999</v>
      </c>
    </row>
    <row r="3983" spans="3:5" x14ac:dyDescent="0.35">
      <c r="C3983">
        <f t="shared" si="63"/>
        <v>2026</v>
      </c>
      <c r="D3983" s="1">
        <v>46058</v>
      </c>
      <c r="E3983">
        <v>46.603999999999999</v>
      </c>
    </row>
    <row r="3984" spans="3:5" x14ac:dyDescent="0.35">
      <c r="C3984">
        <f t="shared" si="63"/>
        <v>2026</v>
      </c>
      <c r="D3984" s="1">
        <v>46059</v>
      </c>
      <c r="E3984">
        <v>46.456800000000001</v>
      </c>
    </row>
    <row r="3985" spans="3:5" x14ac:dyDescent="0.35">
      <c r="C3985">
        <f t="shared" si="63"/>
        <v>2026</v>
      </c>
      <c r="D3985" s="1">
        <v>46062</v>
      </c>
      <c r="E3985">
        <v>46.678699999999999</v>
      </c>
    </row>
    <row r="3986" spans="3:5" x14ac:dyDescent="0.35">
      <c r="C3986">
        <f t="shared" si="63"/>
        <v>2026</v>
      </c>
      <c r="D3986" s="1">
        <v>46063</v>
      </c>
      <c r="E3986">
        <v>47.492600000000003</v>
      </c>
    </row>
    <row r="3987" spans="3:5" x14ac:dyDescent="0.35">
      <c r="C3987">
        <f t="shared" si="63"/>
        <v>2026</v>
      </c>
      <c r="D3987" s="1">
        <v>46064</v>
      </c>
      <c r="E3987">
        <v>46.529899999999998</v>
      </c>
    </row>
    <row r="3988" spans="3:5" x14ac:dyDescent="0.35">
      <c r="C3988">
        <f t="shared" si="63"/>
        <v>2026</v>
      </c>
      <c r="D3988" s="1">
        <v>46065</v>
      </c>
      <c r="E3988">
        <v>48.786700000000003</v>
      </c>
    </row>
    <row r="3989" spans="3:5" x14ac:dyDescent="0.35">
      <c r="C3989">
        <f t="shared" si="63"/>
        <v>2026</v>
      </c>
      <c r="D3989" s="1">
        <v>46066</v>
      </c>
      <c r="E3989">
        <v>49.253700000000002</v>
      </c>
    </row>
    <row r="3990" spans="3:5" x14ac:dyDescent="0.35">
      <c r="C3990">
        <f t="shared" si="63"/>
        <v>2026</v>
      </c>
      <c r="D3990" s="1">
        <v>46070</v>
      </c>
      <c r="E3990">
        <v>50.262300000000003</v>
      </c>
    </row>
    <row r="3991" spans="3:5" x14ac:dyDescent="0.35">
      <c r="C3991">
        <f t="shared" si="63"/>
        <v>2026</v>
      </c>
      <c r="D3991" s="1">
        <v>46071</v>
      </c>
      <c r="E3991">
        <v>46.816000000000003</v>
      </c>
    </row>
    <row r="3992" spans="3:5" x14ac:dyDescent="0.35">
      <c r="C3992">
        <f t="shared" si="63"/>
        <v>2026</v>
      </c>
      <c r="D3992" s="1">
        <v>46072</v>
      </c>
      <c r="E3992">
        <v>44.634500000000003</v>
      </c>
    </row>
    <row r="3993" spans="3:5" x14ac:dyDescent="0.35">
      <c r="C3993">
        <f t="shared" si="63"/>
        <v>2026</v>
      </c>
      <c r="D3993" s="1">
        <v>46073</v>
      </c>
      <c r="E3993">
        <v>44.946199999999997</v>
      </c>
    </row>
    <row r="3994" spans="3:5" x14ac:dyDescent="0.35">
      <c r="C3994">
        <f t="shared" si="63"/>
        <v>2026</v>
      </c>
      <c r="D3994" s="1">
        <v>46076</v>
      </c>
      <c r="E3994">
        <v>43.072600000000001</v>
      </c>
    </row>
    <row r="3995" spans="3:5" x14ac:dyDescent="0.35">
      <c r="C3995">
        <f t="shared" si="63"/>
        <v>2026</v>
      </c>
      <c r="D3995" s="1">
        <v>46077</v>
      </c>
      <c r="E3995">
        <v>42.445599999999999</v>
      </c>
    </row>
    <row r="3996" spans="3:5" x14ac:dyDescent="0.35">
      <c r="C3996">
        <f t="shared" si="63"/>
        <v>2026</v>
      </c>
      <c r="D3996" s="1">
        <v>46078</v>
      </c>
      <c r="E3996">
        <v>41.820900000000002</v>
      </c>
    </row>
    <row r="3997" spans="3:5" x14ac:dyDescent="0.35">
      <c r="C3997">
        <f t="shared" si="63"/>
        <v>2026</v>
      </c>
      <c r="D3997" s="1">
        <v>46079</v>
      </c>
      <c r="E3997">
        <v>42.668999999999997</v>
      </c>
    </row>
    <row r="3998" spans="3:5" x14ac:dyDescent="0.35">
      <c r="C3998">
        <f t="shared" si="63"/>
        <v>2026</v>
      </c>
      <c r="D3998" s="1">
        <v>46080</v>
      </c>
      <c r="E3998">
        <v>41.600499999999997</v>
      </c>
    </row>
    <row r="3999" spans="3:5" x14ac:dyDescent="0.35">
      <c r="C3999">
        <f t="shared" si="63"/>
        <v>2026</v>
      </c>
      <c r="D3999" s="1">
        <v>46083</v>
      </c>
      <c r="E3999">
        <v>38.631799999999998</v>
      </c>
    </row>
    <row r="4000" spans="3:5" x14ac:dyDescent="0.35">
      <c r="C4000">
        <f t="shared" si="63"/>
        <v>2026</v>
      </c>
      <c r="D4000" s="1">
        <v>46084</v>
      </c>
      <c r="E4000">
        <v>39.754300000000001</v>
      </c>
    </row>
    <row r="4001" spans="3:5" x14ac:dyDescent="0.35">
      <c r="C4001">
        <f t="shared" si="63"/>
        <v>2026</v>
      </c>
      <c r="D4001" s="1">
        <v>46085</v>
      </c>
      <c r="E4001">
        <v>39.773899999999998</v>
      </c>
    </row>
    <row r="4002" spans="3:5" x14ac:dyDescent="0.35">
      <c r="C4002">
        <f t="shared" si="63"/>
        <v>2026</v>
      </c>
      <c r="D4002" s="1">
        <v>46086</v>
      </c>
      <c r="E4002">
        <v>39.723399999999998</v>
      </c>
    </row>
    <row r="4003" spans="3:5" x14ac:dyDescent="0.35">
      <c r="C4003">
        <f t="shared" si="63"/>
        <v>2026</v>
      </c>
      <c r="D4003" s="1">
        <v>46087</v>
      </c>
      <c r="E4003">
        <v>37.987099999999998</v>
      </c>
    </row>
    <row r="4004" spans="3:5" x14ac:dyDescent="0.35">
      <c r="C4004">
        <f t="shared" si="63"/>
        <v>2026</v>
      </c>
      <c r="D4004" s="1">
        <v>46090</v>
      </c>
      <c r="E4004">
        <v>39.078699999999998</v>
      </c>
    </row>
    <row r="4005" spans="3:5" x14ac:dyDescent="0.35">
      <c r="C4005">
        <f t="shared" si="63"/>
        <v>2026</v>
      </c>
      <c r="D4005" s="1">
        <v>46091</v>
      </c>
      <c r="E4005">
        <v>40.072800000000001</v>
      </c>
    </row>
    <row r="4006" spans="3:5" x14ac:dyDescent="0.35">
      <c r="C4006">
        <f t="shared" si="63"/>
        <v>2026</v>
      </c>
      <c r="D4006" s="1">
        <v>46092</v>
      </c>
      <c r="E4006">
        <v>40.2408</v>
      </c>
    </row>
    <row r="4007" spans="3:5" x14ac:dyDescent="0.35">
      <c r="C4007">
        <f t="shared" si="63"/>
        <v>2026</v>
      </c>
      <c r="D4007" s="1">
        <v>46093</v>
      </c>
      <c r="E4007">
        <v>40.361699999999999</v>
      </c>
    </row>
    <row r="4008" spans="3:5" x14ac:dyDescent="0.35">
      <c r="C4008">
        <f t="shared" si="63"/>
        <v>2026</v>
      </c>
      <c r="D4008" s="1">
        <v>46094</v>
      </c>
      <c r="E4008">
        <v>40.717300000000002</v>
      </c>
    </row>
    <row r="4009" spans="3:5" x14ac:dyDescent="0.35">
      <c r="C4009">
        <f t="shared" si="63"/>
        <v>2026</v>
      </c>
      <c r="D4009" s="1">
        <v>46097</v>
      </c>
      <c r="E4009">
        <v>40.8904</v>
      </c>
    </row>
    <row r="4010" spans="3:5" x14ac:dyDescent="0.35">
      <c r="C4010">
        <f t="shared" si="63"/>
        <v>2026</v>
      </c>
      <c r="D4010" s="1">
        <v>46098</v>
      </c>
      <c r="E4010">
        <v>41.490299999999998</v>
      </c>
    </row>
    <row r="4011" spans="3:5" x14ac:dyDescent="0.35">
      <c r="C4011">
        <f t="shared" si="63"/>
        <v>2026</v>
      </c>
      <c r="D4011" s="1">
        <v>46099</v>
      </c>
      <c r="E4011">
        <v>41.826900000000002</v>
      </c>
    </row>
    <row r="4012" spans="3:5" x14ac:dyDescent="0.35">
      <c r="C4012">
        <f t="shared" si="63"/>
        <v>2026</v>
      </c>
      <c r="D4012" s="1">
        <v>46100</v>
      </c>
      <c r="E4012">
        <v>44.161499999999997</v>
      </c>
    </row>
    <row r="4013" spans="3:5" x14ac:dyDescent="0.35">
      <c r="C4013">
        <f t="shared" si="63"/>
        <v>2026</v>
      </c>
      <c r="D4013" s="1">
        <v>46104</v>
      </c>
      <c r="E4013">
        <v>47.116900000000001</v>
      </c>
    </row>
    <row r="4014" spans="3:5" x14ac:dyDescent="0.35">
      <c r="C4014">
        <f t="shared" si="63"/>
        <v>2026</v>
      </c>
      <c r="D4014" s="1">
        <v>46105</v>
      </c>
      <c r="E4014">
        <v>46.402000000000001</v>
      </c>
    </row>
    <row r="4015" spans="3:5" x14ac:dyDescent="0.35">
      <c r="C4015">
        <f t="shared" si="63"/>
        <v>2026</v>
      </c>
      <c r="D4015" s="1">
        <v>46106</v>
      </c>
      <c r="E4015">
        <v>45.405999999999999</v>
      </c>
    </row>
    <row r="4016" spans="3:5" x14ac:dyDescent="0.35">
      <c r="C4016">
        <f t="shared" si="63"/>
        <v>2026</v>
      </c>
      <c r="D4016" s="1">
        <v>46107</v>
      </c>
      <c r="E4016">
        <v>47.038200000000003</v>
      </c>
    </row>
    <row r="4017" spans="3:5" x14ac:dyDescent="0.35">
      <c r="C4017">
        <f t="shared" si="63"/>
        <v>2026</v>
      </c>
      <c r="D4017" s="1">
        <v>46108</v>
      </c>
      <c r="E4017">
        <v>45.792099999999998</v>
      </c>
    </row>
    <row r="4018" spans="3:5" x14ac:dyDescent="0.35">
      <c r="C4018">
        <f t="shared" si="63"/>
        <v>2026</v>
      </c>
      <c r="D4018" s="1">
        <v>46111</v>
      </c>
      <c r="E4018">
        <v>44.646999999999998</v>
      </c>
    </row>
    <row r="4019" spans="3:5" x14ac:dyDescent="0.35">
      <c r="C4019">
        <f t="shared" si="63"/>
        <v>2026</v>
      </c>
      <c r="D4019" s="1">
        <v>46112</v>
      </c>
      <c r="E4019">
        <v>44.278399999999998</v>
      </c>
    </row>
    <row r="4020" spans="3:5" x14ac:dyDescent="0.35">
      <c r="C4020">
        <f t="shared" si="63"/>
        <v>2026</v>
      </c>
      <c r="D4020" s="1">
        <v>46113</v>
      </c>
      <c r="E4020">
        <v>43.59</v>
      </c>
    </row>
    <row r="4021" spans="3:5" x14ac:dyDescent="0.35">
      <c r="C4021">
        <f t="shared" si="63"/>
        <v>2026</v>
      </c>
      <c r="D4021" s="1">
        <v>46114</v>
      </c>
      <c r="E4021">
        <v>45.055500000000002</v>
      </c>
    </row>
    <row r="4022" spans="3:5" x14ac:dyDescent="0.35">
      <c r="C4022">
        <f t="shared" si="63"/>
        <v>2026</v>
      </c>
      <c r="D4022" s="1">
        <v>46118</v>
      </c>
      <c r="E4022">
        <v>44.531100000000002</v>
      </c>
    </row>
    <row r="4023" spans="3:5" x14ac:dyDescent="0.35">
      <c r="C4023">
        <f t="shared" si="63"/>
        <v>2026</v>
      </c>
      <c r="D4023" s="1">
        <v>46119</v>
      </c>
      <c r="E4023">
        <v>43.721200000000003</v>
      </c>
    </row>
    <row r="4024" spans="3:5" x14ac:dyDescent="0.35">
      <c r="C4024">
        <f t="shared" si="63"/>
        <v>2026</v>
      </c>
      <c r="D4024" s="1">
        <v>46120</v>
      </c>
      <c r="E4024">
        <v>46.579900000000002</v>
      </c>
    </row>
    <row r="4025" spans="3:5" x14ac:dyDescent="0.35">
      <c r="C4025">
        <f t="shared" si="63"/>
        <v>2026</v>
      </c>
      <c r="D4025" s="1">
        <v>46121</v>
      </c>
      <c r="E4025">
        <v>46.615900000000003</v>
      </c>
    </row>
    <row r="4026" spans="3:5" x14ac:dyDescent="0.35">
      <c r="C4026">
        <f t="shared" si="63"/>
        <v>2026</v>
      </c>
      <c r="D4026" s="1">
        <v>46122</v>
      </c>
      <c r="E4026">
        <v>47.3001</v>
      </c>
    </row>
    <row r="4027" spans="3:5" x14ac:dyDescent="0.35">
      <c r="C4027">
        <f t="shared" si="63"/>
        <v>2026</v>
      </c>
      <c r="D4027" s="1">
        <v>46125</v>
      </c>
      <c r="E4027">
        <v>46.475499999999997</v>
      </c>
    </row>
    <row r="4028" spans="3:5" x14ac:dyDescent="0.35">
      <c r="C4028">
        <f t="shared" si="63"/>
        <v>2026</v>
      </c>
      <c r="D4028" s="1">
        <v>46126</v>
      </c>
      <c r="E4028">
        <v>46.721899999999998</v>
      </c>
    </row>
    <row r="4029" spans="3:5" x14ac:dyDescent="0.35">
      <c r="C4029">
        <f t="shared" si="63"/>
        <v>2026</v>
      </c>
      <c r="D4029" s="1">
        <v>46127</v>
      </c>
      <c r="E4029">
        <v>46.247</v>
      </c>
    </row>
    <row r="4030" spans="3:5" x14ac:dyDescent="0.35">
      <c r="C4030">
        <f t="shared" si="63"/>
        <v>2026</v>
      </c>
      <c r="D4030" s="1">
        <v>46128</v>
      </c>
      <c r="E4030">
        <v>46.101500000000001</v>
      </c>
    </row>
    <row r="4031" spans="3:5" x14ac:dyDescent="0.35">
      <c r="C4031">
        <f t="shared" si="63"/>
        <v>2026</v>
      </c>
      <c r="D4031" s="1">
        <v>46129</v>
      </c>
      <c r="E4031">
        <v>46.971600000000002</v>
      </c>
    </row>
    <row r="4032" spans="3:5" x14ac:dyDescent="0.35">
      <c r="C4032">
        <f t="shared" si="63"/>
        <v>2026</v>
      </c>
      <c r="D4032" s="1">
        <v>46132</v>
      </c>
      <c r="E4032">
        <v>47.355800000000002</v>
      </c>
    </row>
    <row r="4033" spans="3:5" x14ac:dyDescent="0.35">
      <c r="C4033">
        <f t="shared" si="63"/>
        <v>2026</v>
      </c>
      <c r="D4033" s="1">
        <v>46133</v>
      </c>
      <c r="E4033">
        <v>48.228200000000001</v>
      </c>
    </row>
    <row r="4034" spans="3:5" x14ac:dyDescent="0.35">
      <c r="C4034">
        <f t="shared" si="63"/>
        <v>2026</v>
      </c>
      <c r="D4034" s="1">
        <v>46134</v>
      </c>
      <c r="E4034">
        <v>47.332700000000003</v>
      </c>
    </row>
    <row r="4035" spans="3:5" x14ac:dyDescent="0.35">
      <c r="C4035">
        <f t="shared" ref="C4035:C4098" si="64">YEAR(D4035)</f>
        <v>2026</v>
      </c>
      <c r="D4035" s="1">
        <v>46136</v>
      </c>
      <c r="E4035">
        <v>47.594900000000003</v>
      </c>
    </row>
    <row r="4036" spans="3:5" x14ac:dyDescent="0.35">
      <c r="C4036">
        <f t="shared" si="64"/>
        <v>2026</v>
      </c>
      <c r="D4036" s="1">
        <v>46139</v>
      </c>
      <c r="E4036">
        <v>47.367699999999999</v>
      </c>
    </row>
    <row r="4037" spans="3:5" x14ac:dyDescent="0.35">
      <c r="C4037">
        <f t="shared" si="64"/>
        <v>2026</v>
      </c>
      <c r="D4037" s="1">
        <v>46140</v>
      </c>
      <c r="E4037">
        <v>47.500500000000002</v>
      </c>
    </row>
    <row r="4038" spans="3:5" x14ac:dyDescent="0.35">
      <c r="C4038">
        <f t="shared" si="64"/>
        <v>2026</v>
      </c>
      <c r="D4038" s="1">
        <v>46141</v>
      </c>
      <c r="E4038">
        <v>47.761600000000001</v>
      </c>
    </row>
    <row r="4039" spans="3:5" x14ac:dyDescent="0.35">
      <c r="C4039">
        <f t="shared" si="64"/>
        <v>2026</v>
      </c>
      <c r="D4039" s="1">
        <v>46142</v>
      </c>
      <c r="E4039">
        <v>45.999899999999997</v>
      </c>
    </row>
    <row r="4040" spans="3:5" x14ac:dyDescent="0.35">
      <c r="C4040">
        <f t="shared" si="64"/>
        <v>2026</v>
      </c>
      <c r="D4040" s="1">
        <v>46146</v>
      </c>
      <c r="E4040">
        <v>45.8065</v>
      </c>
    </row>
    <row r="4041" spans="3:5" x14ac:dyDescent="0.35">
      <c r="C4041">
        <f t="shared" si="64"/>
        <v>2026</v>
      </c>
      <c r="D4041" s="1">
        <v>46147</v>
      </c>
      <c r="E4041">
        <v>45.45</v>
      </c>
    </row>
    <row r="4042" spans="3:5" x14ac:dyDescent="0.35">
      <c r="C4042">
        <f t="shared" si="64"/>
        <v>2026</v>
      </c>
      <c r="D4042" s="1">
        <v>46148</v>
      </c>
      <c r="E4042">
        <v>45.496299999999998</v>
      </c>
    </row>
    <row r="4043" spans="3:5" x14ac:dyDescent="0.35">
      <c r="C4043">
        <f t="shared" si="64"/>
        <v>2026</v>
      </c>
      <c r="D4043" s="1">
        <v>46149</v>
      </c>
      <c r="E4043">
        <v>45.7271</v>
      </c>
    </row>
    <row r="4044" spans="3:5" x14ac:dyDescent="0.35">
      <c r="C4044">
        <f t="shared" si="64"/>
        <v>2026</v>
      </c>
      <c r="D4044" s="1">
        <v>46150</v>
      </c>
      <c r="E4044">
        <v>45.313200000000002</v>
      </c>
    </row>
    <row r="4045" spans="3:5" x14ac:dyDescent="0.35">
      <c r="C4045">
        <f t="shared" si="64"/>
        <v>2026</v>
      </c>
      <c r="D4045" s="1">
        <v>46153</v>
      </c>
      <c r="E4045">
        <v>44.837400000000002</v>
      </c>
    </row>
    <row r="4046" spans="3:5" x14ac:dyDescent="0.35">
      <c r="C4046">
        <f t="shared" si="64"/>
        <v>2026</v>
      </c>
      <c r="D4046" s="1">
        <v>46154</v>
      </c>
      <c r="E4046">
        <v>44.7958</v>
      </c>
    </row>
    <row r="4047" spans="3:5" x14ac:dyDescent="0.35">
      <c r="C4047">
        <f t="shared" si="64"/>
        <v>2026</v>
      </c>
      <c r="D4047" s="1">
        <v>46155</v>
      </c>
      <c r="E4047">
        <v>44.334299999999999</v>
      </c>
    </row>
    <row r="4048" spans="3:5" x14ac:dyDescent="0.35">
      <c r="C4048">
        <f t="shared" si="64"/>
        <v>2026</v>
      </c>
      <c r="D4048" s="1">
        <v>46156</v>
      </c>
      <c r="E4048">
        <v>44.746499999999997</v>
      </c>
    </row>
    <row r="4049" spans="3:5" x14ac:dyDescent="0.35">
      <c r="C4049">
        <f t="shared" si="64"/>
        <v>2026</v>
      </c>
      <c r="D4049" s="1">
        <v>46157</v>
      </c>
      <c r="E4049">
        <v>44.973199999999999</v>
      </c>
    </row>
    <row r="4050" spans="3:5" x14ac:dyDescent="0.35">
      <c r="C4050">
        <f t="shared" si="64"/>
        <v>2026</v>
      </c>
      <c r="D4050" s="1">
        <v>46160</v>
      </c>
      <c r="E4050">
        <v>44.228900000000003</v>
      </c>
    </row>
    <row r="4051" spans="3:5" x14ac:dyDescent="0.35">
      <c r="C4051">
        <f t="shared" si="64"/>
        <v>2026</v>
      </c>
      <c r="D4051" s="1">
        <v>46162</v>
      </c>
      <c r="E4051">
        <v>44.421500000000002</v>
      </c>
    </row>
    <row r="4052" spans="3:5" x14ac:dyDescent="0.35">
      <c r="C4052">
        <f t="shared" si="64"/>
        <v>2026</v>
      </c>
      <c r="D4052" s="1">
        <v>46163</v>
      </c>
      <c r="E4052">
        <v>41.175699999999999</v>
      </c>
    </row>
    <row r="4053" spans="3:5" x14ac:dyDescent="0.35">
      <c r="C4053">
        <f t="shared" si="64"/>
        <v>2026</v>
      </c>
      <c r="D4053" s="1">
        <v>46164</v>
      </c>
      <c r="E4053">
        <v>43.3431</v>
      </c>
    </row>
    <row r="4054" spans="3:5" x14ac:dyDescent="0.35">
      <c r="C4054">
        <f t="shared" si="64"/>
        <v>2026</v>
      </c>
      <c r="D4054" s="1">
        <v>46168</v>
      </c>
      <c r="E4054">
        <v>44.684800000000003</v>
      </c>
    </row>
    <row r="4055" spans="3:5" x14ac:dyDescent="0.35">
      <c r="C4055">
        <f t="shared" si="64"/>
        <v>2026</v>
      </c>
      <c r="D4055" s="1">
        <v>46169</v>
      </c>
      <c r="E4055">
        <v>45.22</v>
      </c>
    </row>
    <row r="4056" spans="3:5" x14ac:dyDescent="0.35">
      <c r="C4056">
        <f t="shared" si="64"/>
        <v>2026</v>
      </c>
      <c r="D4056" s="1">
        <v>46170</v>
      </c>
      <c r="E4056">
        <v>44.700299999999999</v>
      </c>
    </row>
    <row r="4057" spans="3:5" x14ac:dyDescent="0.35">
      <c r="C4057">
        <f t="shared" si="64"/>
        <v>2026</v>
      </c>
      <c r="D4057" s="1">
        <v>46171</v>
      </c>
      <c r="E4057">
        <v>44.101399999999998</v>
      </c>
    </row>
    <row r="4058" spans="3:5" x14ac:dyDescent="0.35">
      <c r="C4058">
        <f t="shared" si="64"/>
        <v>2026</v>
      </c>
      <c r="D4058" s="1">
        <v>46174</v>
      </c>
      <c r="E4058">
        <v>44.141199999999998</v>
      </c>
    </row>
    <row r="4059" spans="3:5" x14ac:dyDescent="0.35">
      <c r="C4059">
        <f t="shared" si="64"/>
        <v>2026</v>
      </c>
      <c r="D4059" s="1">
        <v>46175</v>
      </c>
      <c r="E4059">
        <v>45.260399999999997</v>
      </c>
    </row>
    <row r="4060" spans="3:5" x14ac:dyDescent="0.35">
      <c r="C4060">
        <f t="shared" si="64"/>
        <v>2026</v>
      </c>
      <c r="D4060" s="1">
        <v>46176</v>
      </c>
      <c r="E4060">
        <v>45.317599999999999</v>
      </c>
    </row>
    <row r="4061" spans="3:5" x14ac:dyDescent="0.35">
      <c r="C4061">
        <f t="shared" si="64"/>
        <v>2026</v>
      </c>
      <c r="D4061" s="1">
        <v>46177</v>
      </c>
      <c r="E4061">
        <v>45.3093</v>
      </c>
    </row>
    <row r="4062" spans="3:5" x14ac:dyDescent="0.35">
      <c r="C4062">
        <f t="shared" si="64"/>
        <v>2026</v>
      </c>
      <c r="D4062" s="1">
        <v>46178</v>
      </c>
      <c r="E4062">
        <v>46.238199999999999</v>
      </c>
    </row>
    <row r="4063" spans="3:5" x14ac:dyDescent="0.35">
      <c r="C4063">
        <f t="shared" si="64"/>
        <v>2026</v>
      </c>
      <c r="D4063" s="1">
        <v>46181</v>
      </c>
      <c r="E4063">
        <v>46.263100000000001</v>
      </c>
    </row>
    <row r="4064" spans="3:5" x14ac:dyDescent="0.35">
      <c r="C4064">
        <f t="shared" si="64"/>
        <v>2026</v>
      </c>
      <c r="D4064" s="1">
        <v>46182</v>
      </c>
      <c r="E4064">
        <v>46.992400000000004</v>
      </c>
    </row>
    <row r="4065" spans="3:5" x14ac:dyDescent="0.35">
      <c r="C4065">
        <f t="shared" si="64"/>
        <v>2026</v>
      </c>
      <c r="D4065" s="1">
        <v>46183</v>
      </c>
      <c r="E4065">
        <v>48.509399999999999</v>
      </c>
    </row>
    <row r="4066" spans="3:5" x14ac:dyDescent="0.35">
      <c r="C4066">
        <f t="shared" si="64"/>
        <v>2026</v>
      </c>
      <c r="D4066" s="1">
        <v>46184</v>
      </c>
      <c r="E4066">
        <v>48.318300000000001</v>
      </c>
    </row>
    <row r="4067" spans="3:5" x14ac:dyDescent="0.35">
      <c r="C4067">
        <f t="shared" si="64"/>
        <v>2026</v>
      </c>
      <c r="D4067" s="1">
        <v>46185</v>
      </c>
      <c r="E4067">
        <v>49.111600000000003</v>
      </c>
    </row>
    <row r="4068" spans="3:5" x14ac:dyDescent="0.35">
      <c r="C4068">
        <f t="shared" si="64"/>
        <v>2026</v>
      </c>
      <c r="D4068" s="1">
        <v>46188</v>
      </c>
      <c r="E4068">
        <v>50.600999999999999</v>
      </c>
    </row>
    <row r="4069" spans="3:5" x14ac:dyDescent="0.35">
      <c r="C4069">
        <f t="shared" si="64"/>
        <v>2026</v>
      </c>
      <c r="D4069" s="1">
        <v>46189</v>
      </c>
      <c r="E4069">
        <v>50.661700000000003</v>
      </c>
    </row>
    <row r="4070" spans="3:5" x14ac:dyDescent="0.35">
      <c r="C4070">
        <f t="shared" si="64"/>
        <v>2026</v>
      </c>
      <c r="D4070" s="1">
        <v>46190</v>
      </c>
      <c r="E4070">
        <v>49.581499999999998</v>
      </c>
    </row>
    <row r="4071" spans="3:5" x14ac:dyDescent="0.35">
      <c r="C4071">
        <f t="shared" si="64"/>
        <v>2026</v>
      </c>
      <c r="D4071" s="1">
        <v>46191</v>
      </c>
      <c r="E4071">
        <v>52.085599999999999</v>
      </c>
    </row>
    <row r="4072" spans="3:5" x14ac:dyDescent="0.35">
      <c r="C4072">
        <f t="shared" si="64"/>
        <v>2026</v>
      </c>
      <c r="D4072" s="1">
        <v>46195</v>
      </c>
      <c r="E4072">
        <v>51.997100000000003</v>
      </c>
    </row>
    <row r="4073" spans="3:5" x14ac:dyDescent="0.35">
      <c r="C4073">
        <f t="shared" si="64"/>
        <v>2026</v>
      </c>
      <c r="D4073" s="1">
        <v>46196</v>
      </c>
      <c r="E4073">
        <v>52.676000000000002</v>
      </c>
    </row>
    <row r="4074" spans="3:5" x14ac:dyDescent="0.35">
      <c r="C4074">
        <f t="shared" si="64"/>
        <v>2026</v>
      </c>
      <c r="D4074" s="1">
        <v>46197</v>
      </c>
      <c r="E4074">
        <v>54.471800000000002</v>
      </c>
    </row>
    <row r="4075" spans="3:5" x14ac:dyDescent="0.35">
      <c r="C4075">
        <f t="shared" si="64"/>
        <v>2026</v>
      </c>
      <c r="D4075" s="1">
        <v>46198</v>
      </c>
      <c r="E4075">
        <v>54.510599999999997</v>
      </c>
    </row>
    <row r="4076" spans="3:5" x14ac:dyDescent="0.35">
      <c r="C4076">
        <f t="shared" si="64"/>
        <v>2026</v>
      </c>
      <c r="D4076" s="1">
        <v>46199</v>
      </c>
      <c r="E4076">
        <v>54.149500000000003</v>
      </c>
    </row>
    <row r="4077" spans="3:5" x14ac:dyDescent="0.35">
      <c r="C4077">
        <f t="shared" si="64"/>
        <v>2026</v>
      </c>
      <c r="D4077" s="1">
        <v>46202</v>
      </c>
      <c r="E4077">
        <v>54.575000000000003</v>
      </c>
    </row>
    <row r="4078" spans="3:5" x14ac:dyDescent="0.35">
      <c r="C4078">
        <f t="shared" si="64"/>
        <v>2026</v>
      </c>
      <c r="D4078" s="1">
        <v>46203</v>
      </c>
      <c r="E4078">
        <v>54.040900000000001</v>
      </c>
    </row>
    <row r="4079" spans="3:5" x14ac:dyDescent="0.35">
      <c r="C4079">
        <f t="shared" si="64"/>
        <v>2026</v>
      </c>
      <c r="D4079" s="1">
        <v>46204</v>
      </c>
      <c r="E4079">
        <v>53.831499999999998</v>
      </c>
    </row>
    <row r="4080" spans="3:5" x14ac:dyDescent="0.35">
      <c r="C4080">
        <f t="shared" si="64"/>
        <v>2026</v>
      </c>
      <c r="D4080" s="1">
        <v>46205</v>
      </c>
      <c r="E4080">
        <v>53.994300000000003</v>
      </c>
    </row>
    <row r="4081" spans="3:5" x14ac:dyDescent="0.35">
      <c r="C4081">
        <f t="shared" si="64"/>
        <v>2026</v>
      </c>
      <c r="D4081" s="1">
        <v>46209</v>
      </c>
      <c r="E4081">
        <v>55.493299999999998</v>
      </c>
    </row>
    <row r="4082" spans="3:5" x14ac:dyDescent="0.35">
      <c r="C4082">
        <f t="shared" si="64"/>
        <v>2026</v>
      </c>
      <c r="D4082" s="1">
        <v>46210</v>
      </c>
      <c r="E4082">
        <v>55.811900000000001</v>
      </c>
    </row>
    <row r="4083" spans="3:5" x14ac:dyDescent="0.35">
      <c r="C4083">
        <f t="shared" si="64"/>
        <v>2026</v>
      </c>
      <c r="D4083" s="1">
        <v>46211</v>
      </c>
      <c r="E4083">
        <v>54.141399999999997</v>
      </c>
    </row>
    <row r="4084" spans="3:5" x14ac:dyDescent="0.35">
      <c r="C4084">
        <f t="shared" si="64"/>
        <v>2026</v>
      </c>
      <c r="D4084" s="1">
        <v>46212</v>
      </c>
      <c r="E4084">
        <v>54.3446</v>
      </c>
    </row>
    <row r="4085" spans="3:5" x14ac:dyDescent="0.35">
      <c r="C4085">
        <f t="shared" si="64"/>
        <v>2026</v>
      </c>
      <c r="D4085" s="1">
        <v>46213</v>
      </c>
      <c r="E4085">
        <v>55.611699999999999</v>
      </c>
    </row>
    <row r="4086" spans="3:5" x14ac:dyDescent="0.35">
      <c r="C4086">
        <f t="shared" si="64"/>
        <v>2026</v>
      </c>
      <c r="D4086" s="1">
        <v>46216</v>
      </c>
      <c r="E4086">
        <v>55.232900000000001</v>
      </c>
    </row>
    <row r="4087" spans="3:5" x14ac:dyDescent="0.35">
      <c r="C4087">
        <f t="shared" si="64"/>
        <v>2026</v>
      </c>
      <c r="D4087" s="1">
        <v>46217</v>
      </c>
      <c r="E4087">
        <v>53.097799999999999</v>
      </c>
    </row>
    <row r="4088" spans="3:5" x14ac:dyDescent="0.35">
      <c r="C4088">
        <f t="shared" si="64"/>
        <v>2026</v>
      </c>
      <c r="D4088" s="1">
        <v>46219</v>
      </c>
      <c r="E4088">
        <v>54.751199999999997</v>
      </c>
    </row>
    <row r="4089" spans="3:5" x14ac:dyDescent="0.35">
      <c r="C4089">
        <f t="shared" si="64"/>
        <v>2026</v>
      </c>
      <c r="D4089" s="1">
        <v>46220</v>
      </c>
      <c r="E4089">
        <v>54.223500000000001</v>
      </c>
    </row>
    <row r="4090" spans="3:5" x14ac:dyDescent="0.35">
      <c r="C4090">
        <f t="shared" si="64"/>
        <v>2026</v>
      </c>
      <c r="D4090" s="1">
        <v>46223</v>
      </c>
      <c r="E4090">
        <v>53.964300000000001</v>
      </c>
    </row>
    <row r="4091" spans="3:5" x14ac:dyDescent="0.35">
      <c r="C4091">
        <f t="shared" si="64"/>
        <v>2026</v>
      </c>
      <c r="D4091" s="1">
        <v>46224</v>
      </c>
      <c r="E4091">
        <v>51.413600000000002</v>
      </c>
    </row>
    <row r="4092" spans="3:5" x14ac:dyDescent="0.35">
      <c r="C4092">
        <f t="shared" si="64"/>
        <v>2026</v>
      </c>
      <c r="D4092" s="1">
        <v>46225</v>
      </c>
      <c r="E4092">
        <v>51.011699999999998</v>
      </c>
    </row>
    <row r="4093" spans="3:5" x14ac:dyDescent="0.35">
      <c r="C4093">
        <f t="shared" si="64"/>
        <v>2026</v>
      </c>
      <c r="D4093" s="1">
        <v>46226</v>
      </c>
      <c r="E4093">
        <v>50.916699999999999</v>
      </c>
    </row>
    <row r="4094" spans="3:5" x14ac:dyDescent="0.35">
      <c r="C4094">
        <f t="shared" si="64"/>
        <v>2026</v>
      </c>
      <c r="D4094" s="1">
        <v>46227</v>
      </c>
      <c r="E4094">
        <v>50.420900000000003</v>
      </c>
    </row>
    <row r="4095" spans="3:5" x14ac:dyDescent="0.35">
      <c r="C4095">
        <f t="shared" si="64"/>
        <v>2026</v>
      </c>
      <c r="D4095" s="1">
        <v>46230</v>
      </c>
      <c r="E4095">
        <v>51.266399999999997</v>
      </c>
    </row>
    <row r="4096" spans="3:5" x14ac:dyDescent="0.35">
      <c r="C4096">
        <f t="shared" si="64"/>
        <v>2026</v>
      </c>
      <c r="D4096" s="1">
        <v>46231</v>
      </c>
      <c r="E4096">
        <v>51.910600000000002</v>
      </c>
    </row>
    <row r="4097" spans="3:5" x14ac:dyDescent="0.35">
      <c r="C4097">
        <f t="shared" si="64"/>
        <v>2026</v>
      </c>
      <c r="D4097" s="1">
        <v>46232</v>
      </c>
      <c r="E4097">
        <v>50.963900000000002</v>
      </c>
    </row>
    <row r="4098" spans="3:5" x14ac:dyDescent="0.35">
      <c r="C4098">
        <f t="shared" si="64"/>
        <v>2026</v>
      </c>
      <c r="D4098" s="1">
        <v>46233</v>
      </c>
      <c r="E4098">
        <v>49.364600000000003</v>
      </c>
    </row>
    <row r="4099" spans="3:5" x14ac:dyDescent="0.35">
      <c r="C4099">
        <f t="shared" ref="C4099:C4123" si="65">YEAR(D4099)</f>
        <v>2026</v>
      </c>
      <c r="D4099" s="1">
        <v>46234</v>
      </c>
      <c r="E4099">
        <v>50.777799999999999</v>
      </c>
    </row>
    <row r="4100" spans="3:5" x14ac:dyDescent="0.35">
      <c r="C4100">
        <f t="shared" si="65"/>
        <v>2026</v>
      </c>
      <c r="D4100" s="1">
        <v>46237</v>
      </c>
      <c r="E4100">
        <v>51.423299999999998</v>
      </c>
    </row>
    <row r="4101" spans="3:5" x14ac:dyDescent="0.35">
      <c r="C4101">
        <f t="shared" si="65"/>
        <v>2026</v>
      </c>
      <c r="D4101" s="1">
        <v>46238</v>
      </c>
      <c r="E4101">
        <v>51.720599999999997</v>
      </c>
    </row>
    <row r="4102" spans="3:5" x14ac:dyDescent="0.35">
      <c r="C4102">
        <f t="shared" si="65"/>
        <v>2026</v>
      </c>
      <c r="D4102" s="1">
        <v>46239</v>
      </c>
      <c r="E4102">
        <v>48.357399999999998</v>
      </c>
    </row>
    <row r="4103" spans="3:5" x14ac:dyDescent="0.35">
      <c r="C4103">
        <f t="shared" si="65"/>
        <v>2026</v>
      </c>
      <c r="D4103" s="1">
        <v>46240</v>
      </c>
      <c r="E4103">
        <v>47.994500000000002</v>
      </c>
    </row>
    <row r="4104" spans="3:5" x14ac:dyDescent="0.35">
      <c r="C4104">
        <f t="shared" si="65"/>
        <v>2026</v>
      </c>
      <c r="D4104" s="1">
        <v>46241</v>
      </c>
      <c r="E4104">
        <v>46.043999999999997</v>
      </c>
    </row>
    <row r="4105" spans="3:5" x14ac:dyDescent="0.35">
      <c r="C4105">
        <f t="shared" si="65"/>
        <v>2026</v>
      </c>
      <c r="D4105" s="1">
        <v>46244</v>
      </c>
      <c r="E4105">
        <v>45.304900000000004</v>
      </c>
    </row>
    <row r="4106" spans="3:5" x14ac:dyDescent="0.35">
      <c r="C4106">
        <f t="shared" si="65"/>
        <v>2026</v>
      </c>
      <c r="D4106" s="1">
        <v>46245</v>
      </c>
      <c r="E4106">
        <v>44.758299999999998</v>
      </c>
    </row>
    <row r="4107" spans="3:5" x14ac:dyDescent="0.35">
      <c r="C4107">
        <f t="shared" si="65"/>
        <v>2026</v>
      </c>
      <c r="D4107" s="1">
        <v>46246</v>
      </c>
      <c r="E4107">
        <v>45.615299999999998</v>
      </c>
    </row>
    <row r="4108" spans="3:5" x14ac:dyDescent="0.35">
      <c r="C4108">
        <f t="shared" si="65"/>
        <v>2026</v>
      </c>
      <c r="D4108" s="1">
        <v>46247</v>
      </c>
      <c r="E4108">
        <v>45.9694</v>
      </c>
    </row>
    <row r="4109" spans="3:5" x14ac:dyDescent="0.35">
      <c r="C4109">
        <f t="shared" si="65"/>
        <v>2026</v>
      </c>
      <c r="D4109" s="1">
        <v>46248</v>
      </c>
      <c r="E4109">
        <v>45.268900000000002</v>
      </c>
    </row>
    <row r="4110" spans="3:5" x14ac:dyDescent="0.35">
      <c r="C4110">
        <f t="shared" si="65"/>
        <v>2026</v>
      </c>
      <c r="D4110" s="1">
        <v>46251</v>
      </c>
      <c r="E4110">
        <v>44.281300000000002</v>
      </c>
    </row>
    <row r="4111" spans="3:5" x14ac:dyDescent="0.35">
      <c r="C4111">
        <f t="shared" si="65"/>
        <v>2026</v>
      </c>
      <c r="D4111" s="1">
        <v>46252</v>
      </c>
      <c r="E4111">
        <v>44.689399999999999</v>
      </c>
    </row>
    <row r="4112" spans="3:5" x14ac:dyDescent="0.35">
      <c r="C4112">
        <f t="shared" si="65"/>
        <v>2026</v>
      </c>
      <c r="D4112" s="1">
        <v>46253</v>
      </c>
      <c r="E4112">
        <v>43.563299999999998</v>
      </c>
    </row>
    <row r="4113" spans="3:5" x14ac:dyDescent="0.35">
      <c r="C4113">
        <f t="shared" si="65"/>
        <v>2026</v>
      </c>
      <c r="D4113" s="1">
        <v>46254</v>
      </c>
      <c r="E4113">
        <v>43.272399999999998</v>
      </c>
    </row>
    <row r="4114" spans="3:5" x14ac:dyDescent="0.35">
      <c r="C4114">
        <f t="shared" si="65"/>
        <v>2026</v>
      </c>
      <c r="D4114" s="1">
        <v>46255</v>
      </c>
      <c r="E4114">
        <v>42.142699999999998</v>
      </c>
    </row>
    <row r="4115" spans="3:5" x14ac:dyDescent="0.35">
      <c r="C4115">
        <f t="shared" si="65"/>
        <v>2026</v>
      </c>
      <c r="D4115" s="1">
        <v>46258</v>
      </c>
      <c r="E4115">
        <v>41.918799999999997</v>
      </c>
    </row>
    <row r="4116" spans="3:5" x14ac:dyDescent="0.35">
      <c r="C4116">
        <f t="shared" si="65"/>
        <v>2026</v>
      </c>
      <c r="D4116" s="1">
        <v>46259</v>
      </c>
      <c r="E4116">
        <v>42.195</v>
      </c>
    </row>
    <row r="4117" spans="3:5" x14ac:dyDescent="0.35">
      <c r="C4117">
        <f t="shared" si="65"/>
        <v>2026</v>
      </c>
      <c r="D4117" s="1">
        <v>46260</v>
      </c>
      <c r="E4117">
        <v>43.374499999999998</v>
      </c>
    </row>
    <row r="4118" spans="3:5" x14ac:dyDescent="0.35">
      <c r="C4118">
        <f t="shared" si="65"/>
        <v>2026</v>
      </c>
      <c r="D4118" s="1">
        <v>46261</v>
      </c>
      <c r="E4118">
        <v>43.071599999999997</v>
      </c>
    </row>
    <row r="4119" spans="3:5" x14ac:dyDescent="0.35">
      <c r="C4119">
        <f t="shared" si="65"/>
        <v>2026</v>
      </c>
      <c r="D4119" s="1">
        <v>46262</v>
      </c>
      <c r="E4119">
        <v>44.501300000000001</v>
      </c>
    </row>
    <row r="4120" spans="3:5" x14ac:dyDescent="0.35">
      <c r="C4120">
        <f t="shared" si="65"/>
        <v>2026</v>
      </c>
      <c r="D4120" s="1">
        <v>46265</v>
      </c>
      <c r="E4120">
        <v>43.9739</v>
      </c>
    </row>
    <row r="4121" spans="3:5" x14ac:dyDescent="0.35">
      <c r="C4121">
        <f t="shared" si="65"/>
        <v>2026</v>
      </c>
      <c r="D4121" s="1">
        <v>46266</v>
      </c>
      <c r="E4121">
        <v>44.683999999999997</v>
      </c>
    </row>
    <row r="4122" spans="3:5" x14ac:dyDescent="0.35">
      <c r="C4122">
        <f t="shared" si="65"/>
        <v>2026</v>
      </c>
      <c r="D4122" s="1">
        <v>46267</v>
      </c>
      <c r="E4122">
        <v>43.008099999999999</v>
      </c>
    </row>
    <row r="4123" spans="3:5" x14ac:dyDescent="0.35">
      <c r="C4123">
        <f t="shared" si="65"/>
        <v>2026</v>
      </c>
      <c r="D4123" s="1">
        <v>46268</v>
      </c>
      <c r="E4123">
        <v>41.382899999999999</v>
      </c>
    </row>
  </sheetData>
  <mergeCells count="1">
    <mergeCell ref="K32:P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B48D-CAB1-475E-BBAA-B833A7BB170F}">
  <dimension ref="A1:Z4123"/>
  <sheetViews>
    <sheetView topLeftCell="C7" workbookViewId="0">
      <selection activeCell="K33" sqref="K33:P33"/>
    </sheetView>
  </sheetViews>
  <sheetFormatPr defaultRowHeight="14.5" x14ac:dyDescent="0.35"/>
  <cols>
    <col min="4" max="4" width="10.54296875" customWidth="1"/>
    <col min="5" max="5" width="10.1796875" customWidth="1"/>
  </cols>
  <sheetData>
    <row r="1" spans="1:5" x14ac:dyDescent="0.35">
      <c r="D1" t="str">
        <f>"date"</f>
        <v>date</v>
      </c>
      <c r="E1" t="str">
        <f>"value"</f>
        <v>value</v>
      </c>
    </row>
    <row r="2" spans="1:5" x14ac:dyDescent="0.35">
      <c r="A2">
        <v>2010</v>
      </c>
      <c r="B2">
        <f>COUNTIF(C:C,A2)</f>
        <v>0</v>
      </c>
      <c r="C2">
        <f>YEAR(D2)</f>
        <v>1900</v>
      </c>
      <c r="D2" s="7">
        <v>1</v>
      </c>
      <c r="E2">
        <v>68.8703</v>
      </c>
    </row>
    <row r="3" spans="1:5" x14ac:dyDescent="0.35">
      <c r="A3">
        <v>2011</v>
      </c>
      <c r="B3">
        <f t="shared" ref="B3:B17" si="0">COUNTIF(C:C,A3)</f>
        <v>0</v>
      </c>
      <c r="C3">
        <f t="shared" ref="C3:C66" si="1">YEAR(D3)</f>
        <v>1900</v>
      </c>
      <c r="D3" s="7">
        <v>2</v>
      </c>
      <c r="E3">
        <v>68.864400000000003</v>
      </c>
    </row>
    <row r="4" spans="1:5" x14ac:dyDescent="0.35">
      <c r="A4">
        <v>2012</v>
      </c>
      <c r="B4">
        <f t="shared" si="0"/>
        <v>0</v>
      </c>
      <c r="C4">
        <f t="shared" si="1"/>
        <v>1900</v>
      </c>
      <c r="D4" s="7">
        <v>3</v>
      </c>
      <c r="E4">
        <v>67.255200000000002</v>
      </c>
    </row>
    <row r="5" spans="1:5" x14ac:dyDescent="0.35">
      <c r="A5">
        <v>2013</v>
      </c>
      <c r="B5">
        <f t="shared" si="0"/>
        <v>0</v>
      </c>
      <c r="C5">
        <f t="shared" si="1"/>
        <v>1900</v>
      </c>
      <c r="D5" s="7">
        <v>4</v>
      </c>
      <c r="E5">
        <v>66.234099999999998</v>
      </c>
    </row>
    <row r="6" spans="1:5" x14ac:dyDescent="0.35">
      <c r="A6">
        <v>2014</v>
      </c>
      <c r="B6">
        <f t="shared" si="0"/>
        <v>0</v>
      </c>
      <c r="C6">
        <f t="shared" si="1"/>
        <v>1900</v>
      </c>
      <c r="D6" s="7">
        <v>5</v>
      </c>
      <c r="E6">
        <v>65.359499999999997</v>
      </c>
    </row>
    <row r="7" spans="1:5" x14ac:dyDescent="0.35">
      <c r="A7">
        <v>2015</v>
      </c>
      <c r="B7">
        <f t="shared" si="0"/>
        <v>0</v>
      </c>
      <c r="C7">
        <f t="shared" si="1"/>
        <v>1900</v>
      </c>
      <c r="D7" s="7">
        <v>6</v>
      </c>
      <c r="E7">
        <v>64.997200000000007</v>
      </c>
    </row>
    <row r="8" spans="1:5" x14ac:dyDescent="0.35">
      <c r="A8">
        <v>2016</v>
      </c>
      <c r="B8">
        <f t="shared" si="0"/>
        <v>0</v>
      </c>
      <c r="C8">
        <f t="shared" si="1"/>
        <v>1900</v>
      </c>
      <c r="D8" s="7">
        <v>7</v>
      </c>
      <c r="E8">
        <v>64.900099999999995</v>
      </c>
    </row>
    <row r="9" spans="1:5" x14ac:dyDescent="0.35">
      <c r="A9">
        <v>2017</v>
      </c>
      <c r="B9">
        <f t="shared" si="0"/>
        <v>0</v>
      </c>
      <c r="C9">
        <f t="shared" si="1"/>
        <v>1900</v>
      </c>
      <c r="D9" s="7">
        <v>8</v>
      </c>
      <c r="E9">
        <v>66.947100000000006</v>
      </c>
    </row>
    <row r="10" spans="1:5" x14ac:dyDescent="0.35">
      <c r="A10">
        <v>2018</v>
      </c>
      <c r="B10">
        <f t="shared" si="0"/>
        <v>0</v>
      </c>
      <c r="C10">
        <f t="shared" si="1"/>
        <v>1900</v>
      </c>
      <c r="D10" s="7">
        <v>9</v>
      </c>
      <c r="E10">
        <v>67.619100000000003</v>
      </c>
    </row>
    <row r="11" spans="1:5" x14ac:dyDescent="0.35">
      <c r="A11">
        <v>2019</v>
      </c>
      <c r="B11">
        <f t="shared" si="0"/>
        <v>0</v>
      </c>
      <c r="C11">
        <f t="shared" si="1"/>
        <v>1900</v>
      </c>
      <c r="D11" s="7">
        <v>10</v>
      </c>
      <c r="E11">
        <v>67.116900000000001</v>
      </c>
    </row>
    <row r="12" spans="1:5" x14ac:dyDescent="0.35">
      <c r="A12">
        <v>2020</v>
      </c>
      <c r="B12">
        <f t="shared" si="0"/>
        <v>0</v>
      </c>
      <c r="C12">
        <f t="shared" si="1"/>
        <v>1900</v>
      </c>
      <c r="D12" s="7">
        <v>11</v>
      </c>
      <c r="E12">
        <v>66.574399999999997</v>
      </c>
    </row>
    <row r="13" spans="1:5" x14ac:dyDescent="0.35">
      <c r="A13">
        <v>2021</v>
      </c>
      <c r="B13">
        <f t="shared" si="0"/>
        <v>0</v>
      </c>
      <c r="C13">
        <f t="shared" si="1"/>
        <v>1900</v>
      </c>
      <c r="D13" s="7">
        <v>12</v>
      </c>
      <c r="E13">
        <v>67.431399999999996</v>
      </c>
    </row>
    <row r="14" spans="1:5" x14ac:dyDescent="0.35">
      <c r="A14">
        <v>2022</v>
      </c>
      <c r="B14">
        <f t="shared" si="0"/>
        <v>0</v>
      </c>
      <c r="C14">
        <f t="shared" si="1"/>
        <v>1900</v>
      </c>
      <c r="D14" s="7">
        <v>13</v>
      </c>
      <c r="E14">
        <v>66.196899999999999</v>
      </c>
    </row>
    <row r="15" spans="1:5" x14ac:dyDescent="0.35">
      <c r="A15">
        <v>2023</v>
      </c>
      <c r="B15">
        <f t="shared" si="0"/>
        <v>0</v>
      </c>
      <c r="C15">
        <f t="shared" si="1"/>
        <v>1900</v>
      </c>
      <c r="D15" s="7">
        <v>14</v>
      </c>
      <c r="E15">
        <v>65.683899999999994</v>
      </c>
    </row>
    <row r="16" spans="1:5" x14ac:dyDescent="0.35">
      <c r="A16">
        <v>2024</v>
      </c>
      <c r="B16">
        <f t="shared" si="0"/>
        <v>0</v>
      </c>
      <c r="C16">
        <f t="shared" si="1"/>
        <v>1900</v>
      </c>
      <c r="D16" s="7">
        <v>15</v>
      </c>
      <c r="E16">
        <v>65.429599999999994</v>
      </c>
    </row>
    <row r="17" spans="1:26" x14ac:dyDescent="0.35">
      <c r="A17">
        <v>2025</v>
      </c>
      <c r="B17">
        <f t="shared" si="0"/>
        <v>0</v>
      </c>
      <c r="C17">
        <f t="shared" si="1"/>
        <v>1900</v>
      </c>
      <c r="D17" s="7">
        <v>16</v>
      </c>
      <c r="E17">
        <v>66.897099999999995</v>
      </c>
    </row>
    <row r="18" spans="1:26" x14ac:dyDescent="0.35">
      <c r="A18">
        <v>2026</v>
      </c>
      <c r="C18">
        <f t="shared" si="1"/>
        <v>1900</v>
      </c>
      <c r="D18" s="7">
        <v>17</v>
      </c>
      <c r="E18">
        <v>66.743600000000001</v>
      </c>
    </row>
    <row r="19" spans="1:26" x14ac:dyDescent="0.35">
      <c r="C19">
        <f t="shared" si="1"/>
        <v>1900</v>
      </c>
      <c r="D19" s="7">
        <v>18</v>
      </c>
      <c r="E19">
        <v>66.868700000000004</v>
      </c>
    </row>
    <row r="20" spans="1:26" x14ac:dyDescent="0.35">
      <c r="C20">
        <f t="shared" si="1"/>
        <v>1900</v>
      </c>
      <c r="D20" s="7">
        <v>19</v>
      </c>
      <c r="E20">
        <v>66.328500000000005</v>
      </c>
    </row>
    <row r="21" spans="1:26" x14ac:dyDescent="0.35">
      <c r="C21">
        <f t="shared" si="1"/>
        <v>1900</v>
      </c>
      <c r="D21" s="7">
        <v>20</v>
      </c>
      <c r="E21">
        <v>67.466300000000004</v>
      </c>
    </row>
    <row r="22" spans="1:26" x14ac:dyDescent="0.35">
      <c r="C22">
        <f t="shared" si="1"/>
        <v>1900</v>
      </c>
      <c r="D22" s="7">
        <v>21</v>
      </c>
      <c r="E22">
        <v>65.295299999999997</v>
      </c>
    </row>
    <row r="23" spans="1:26" x14ac:dyDescent="0.35">
      <c r="C23">
        <f t="shared" si="1"/>
        <v>1900</v>
      </c>
      <c r="D23" s="7">
        <v>22</v>
      </c>
      <c r="E23">
        <v>66.009200000000007</v>
      </c>
    </row>
    <row r="24" spans="1:26" x14ac:dyDescent="0.35">
      <c r="C24">
        <f t="shared" si="1"/>
        <v>1900</v>
      </c>
      <c r="D24" s="7">
        <v>23</v>
      </c>
      <c r="E24">
        <v>67.736999999999995</v>
      </c>
    </row>
    <row r="25" spans="1:26" x14ac:dyDescent="0.35">
      <c r="C25">
        <f t="shared" si="1"/>
        <v>1900</v>
      </c>
      <c r="D25" s="7">
        <v>24</v>
      </c>
      <c r="E25">
        <v>64.408699999999996</v>
      </c>
    </row>
    <row r="26" spans="1:26" x14ac:dyDescent="0.35">
      <c r="C26">
        <f t="shared" si="1"/>
        <v>1900</v>
      </c>
      <c r="D26" s="7">
        <v>25</v>
      </c>
      <c r="E26">
        <v>60.7834</v>
      </c>
    </row>
    <row r="27" spans="1:26" x14ac:dyDescent="0.35">
      <c r="C27">
        <f t="shared" si="1"/>
        <v>1900</v>
      </c>
      <c r="D27" s="7">
        <v>26</v>
      </c>
      <c r="E27">
        <v>61.9846</v>
      </c>
    </row>
    <row r="28" spans="1:26" x14ac:dyDescent="0.35">
      <c r="C28">
        <f t="shared" si="1"/>
        <v>1900</v>
      </c>
      <c r="D28" s="7">
        <v>27</v>
      </c>
      <c r="E28">
        <v>61.700800000000001</v>
      </c>
    </row>
    <row r="29" spans="1:26" x14ac:dyDescent="0.35">
      <c r="C29">
        <f t="shared" si="1"/>
        <v>1900</v>
      </c>
      <c r="D29" s="7">
        <v>28</v>
      </c>
      <c r="E29">
        <v>62.0246</v>
      </c>
    </row>
    <row r="30" spans="1:26" x14ac:dyDescent="0.35">
      <c r="C30">
        <f t="shared" si="1"/>
        <v>1900</v>
      </c>
      <c r="D30" s="7">
        <v>29</v>
      </c>
      <c r="E30">
        <v>60.9651</v>
      </c>
    </row>
    <row r="31" spans="1:26" x14ac:dyDescent="0.35">
      <c r="C31">
        <f t="shared" si="1"/>
        <v>1900</v>
      </c>
      <c r="D31" s="7">
        <v>30</v>
      </c>
      <c r="E31">
        <v>63.2042</v>
      </c>
    </row>
    <row r="32" spans="1:26" x14ac:dyDescent="0.35">
      <c r="C32">
        <f t="shared" si="1"/>
        <v>1900</v>
      </c>
      <c r="D32" s="7">
        <v>31</v>
      </c>
      <c r="E32">
        <v>62.937899999999999</v>
      </c>
      <c r="K32" s="8" t="s">
        <v>8226</v>
      </c>
      <c r="L32" s="9"/>
      <c r="M32" s="9"/>
      <c r="N32" s="9"/>
      <c r="O32" s="9"/>
      <c r="P32" s="9"/>
      <c r="R32" t="s">
        <v>8224</v>
      </c>
      <c r="S32">
        <f>DEGREES(0.0066)</f>
        <v>0.37815214478634335</v>
      </c>
      <c r="W32" s="3" t="s">
        <v>8220</v>
      </c>
      <c r="X32" s="4" t="s">
        <v>8221</v>
      </c>
      <c r="Y32" s="3">
        <v>6.6E-3</v>
      </c>
      <c r="Z32" s="3" t="s">
        <v>8222</v>
      </c>
    </row>
    <row r="33" spans="3:26" x14ac:dyDescent="0.35">
      <c r="C33">
        <f t="shared" si="1"/>
        <v>1900</v>
      </c>
      <c r="D33" s="7">
        <v>32</v>
      </c>
      <c r="E33">
        <v>61.287500000000001</v>
      </c>
      <c r="K33" s="3">
        <f>M33*N33+P33</f>
        <v>78.283200000000008</v>
      </c>
      <c r="L33" s="4" t="s">
        <v>8221</v>
      </c>
      <c r="M33" s="3">
        <v>6.6E-3</v>
      </c>
      <c r="N33" s="3">
        <v>4122</v>
      </c>
      <c r="O33" s="4" t="s">
        <v>8227</v>
      </c>
      <c r="P33" s="3">
        <v>51.078000000000003</v>
      </c>
      <c r="W33" s="3">
        <f>Y32*Z33</f>
        <v>1.6302000000000001</v>
      </c>
      <c r="X33" s="3"/>
      <c r="Y33" s="3"/>
      <c r="Z33" s="3">
        <v>247</v>
      </c>
    </row>
    <row r="34" spans="3:26" x14ac:dyDescent="0.35">
      <c r="C34">
        <f t="shared" si="1"/>
        <v>1900</v>
      </c>
      <c r="D34" s="7">
        <v>33</v>
      </c>
      <c r="E34">
        <v>64.009</v>
      </c>
      <c r="K34" s="3"/>
      <c r="L34" s="3"/>
      <c r="M34" s="3"/>
      <c r="N34" s="3">
        <v>4122</v>
      </c>
      <c r="O34" s="3"/>
      <c r="P34" s="3"/>
    </row>
    <row r="35" spans="3:26" x14ac:dyDescent="0.35">
      <c r="C35">
        <f t="shared" si="1"/>
        <v>1900</v>
      </c>
      <c r="D35" s="7">
        <v>34</v>
      </c>
      <c r="E35">
        <v>62.603299999999997</v>
      </c>
      <c r="K35" s="3"/>
      <c r="L35" s="3"/>
      <c r="M35" s="3"/>
      <c r="N35" s="3">
        <v>252</v>
      </c>
      <c r="O35" s="3"/>
      <c r="P35" s="3"/>
    </row>
    <row r="36" spans="3:26" x14ac:dyDescent="0.35">
      <c r="C36">
        <f t="shared" si="1"/>
        <v>1900</v>
      </c>
      <c r="D36" s="7">
        <v>35</v>
      </c>
      <c r="E36">
        <v>61.128100000000003</v>
      </c>
    </row>
    <row r="37" spans="3:26" x14ac:dyDescent="0.35">
      <c r="C37">
        <f t="shared" si="1"/>
        <v>1900</v>
      </c>
      <c r="D37" s="7">
        <v>36</v>
      </c>
      <c r="E37">
        <v>58.128999999999998</v>
      </c>
      <c r="H37">
        <f>TAN(RADIANS(0.51))</f>
        <v>8.9014142757039647E-3</v>
      </c>
    </row>
    <row r="38" spans="3:26" x14ac:dyDescent="0.35">
      <c r="C38">
        <f t="shared" si="1"/>
        <v>1900</v>
      </c>
      <c r="D38" s="7">
        <v>37</v>
      </c>
      <c r="E38">
        <v>55.256100000000004</v>
      </c>
      <c r="H38">
        <f>H37/2</f>
        <v>4.4507071378519824E-3</v>
      </c>
    </row>
    <row r="39" spans="3:26" x14ac:dyDescent="0.35">
      <c r="C39">
        <f t="shared" si="1"/>
        <v>1900</v>
      </c>
      <c r="D39" s="7">
        <v>38</v>
      </c>
      <c r="E39">
        <v>55.200499999999998</v>
      </c>
    </row>
    <row r="40" spans="3:26" x14ac:dyDescent="0.35">
      <c r="C40">
        <f t="shared" si="1"/>
        <v>1900</v>
      </c>
      <c r="D40" s="7">
        <v>39</v>
      </c>
      <c r="E40">
        <v>58.130200000000002</v>
      </c>
      <c r="H40">
        <f>TAN(0.51/(180/PI()))</f>
        <v>8.9014142757039647E-3</v>
      </c>
    </row>
    <row r="41" spans="3:26" x14ac:dyDescent="0.35">
      <c r="C41">
        <f t="shared" si="1"/>
        <v>1900</v>
      </c>
      <c r="D41" s="7">
        <v>40</v>
      </c>
      <c r="E41">
        <v>58.238500000000002</v>
      </c>
    </row>
    <row r="42" spans="3:26" x14ac:dyDescent="0.35">
      <c r="C42">
        <f t="shared" si="1"/>
        <v>1900</v>
      </c>
      <c r="D42" s="7">
        <v>41</v>
      </c>
      <c r="E42">
        <v>58.391199999999998</v>
      </c>
    </row>
    <row r="43" spans="3:26" x14ac:dyDescent="0.35">
      <c r="C43">
        <f t="shared" si="1"/>
        <v>1900</v>
      </c>
      <c r="D43" s="7">
        <v>42</v>
      </c>
      <c r="E43">
        <v>58.945300000000003</v>
      </c>
    </row>
    <row r="44" spans="3:26" x14ac:dyDescent="0.35">
      <c r="C44">
        <f t="shared" si="1"/>
        <v>1900</v>
      </c>
      <c r="D44" s="7">
        <v>43</v>
      </c>
      <c r="E44">
        <v>60.501600000000003</v>
      </c>
    </row>
    <row r="45" spans="3:26" x14ac:dyDescent="0.35">
      <c r="C45">
        <f t="shared" si="1"/>
        <v>1900</v>
      </c>
      <c r="D45" s="7">
        <v>44</v>
      </c>
      <c r="E45">
        <v>61.9176</v>
      </c>
    </row>
    <row r="46" spans="3:26" x14ac:dyDescent="0.35">
      <c r="C46">
        <f t="shared" si="1"/>
        <v>1900</v>
      </c>
      <c r="D46" s="7">
        <v>45</v>
      </c>
      <c r="E46">
        <v>61.3476</v>
      </c>
    </row>
    <row r="47" spans="3:26" x14ac:dyDescent="0.35">
      <c r="C47">
        <f t="shared" si="1"/>
        <v>1900</v>
      </c>
      <c r="D47" s="7">
        <v>46</v>
      </c>
      <c r="E47">
        <v>61.593400000000003</v>
      </c>
    </row>
    <row r="48" spans="3:26" x14ac:dyDescent="0.35">
      <c r="C48">
        <f t="shared" si="1"/>
        <v>1900</v>
      </c>
      <c r="D48" s="7">
        <v>47</v>
      </c>
      <c r="E48">
        <v>61.6145</v>
      </c>
    </row>
    <row r="49" spans="3:5" x14ac:dyDescent="0.35">
      <c r="C49">
        <f t="shared" si="1"/>
        <v>1900</v>
      </c>
      <c r="D49" s="7">
        <v>48</v>
      </c>
      <c r="E49">
        <v>62.726599999999998</v>
      </c>
    </row>
    <row r="50" spans="3:5" x14ac:dyDescent="0.35">
      <c r="C50">
        <f t="shared" si="1"/>
        <v>1900</v>
      </c>
      <c r="D50" s="7">
        <v>49</v>
      </c>
      <c r="E50">
        <v>61.381799999999998</v>
      </c>
    </row>
    <row r="51" spans="3:5" x14ac:dyDescent="0.35">
      <c r="C51">
        <f t="shared" si="1"/>
        <v>1900</v>
      </c>
      <c r="D51" s="7">
        <v>50</v>
      </c>
      <c r="E51">
        <v>61.267000000000003</v>
      </c>
    </row>
    <row r="52" spans="3:5" x14ac:dyDescent="0.35">
      <c r="C52">
        <f t="shared" si="1"/>
        <v>1900</v>
      </c>
      <c r="D52" s="7">
        <v>51</v>
      </c>
      <c r="E52">
        <v>62.121899999999997</v>
      </c>
    </row>
    <row r="53" spans="3:5" x14ac:dyDescent="0.35">
      <c r="C53">
        <f t="shared" si="1"/>
        <v>1900</v>
      </c>
      <c r="D53" s="7">
        <v>52</v>
      </c>
      <c r="E53">
        <v>60.187399999999997</v>
      </c>
    </row>
    <row r="54" spans="3:5" x14ac:dyDescent="0.35">
      <c r="C54">
        <f t="shared" si="1"/>
        <v>1900</v>
      </c>
      <c r="D54" s="7">
        <v>53</v>
      </c>
      <c r="E54">
        <v>60.930999999999997</v>
      </c>
    </row>
    <row r="55" spans="3:5" x14ac:dyDescent="0.35">
      <c r="C55">
        <f t="shared" si="1"/>
        <v>1900</v>
      </c>
      <c r="D55" s="7">
        <v>54</v>
      </c>
      <c r="E55">
        <v>60.708300000000001</v>
      </c>
    </row>
    <row r="56" spans="3:5" x14ac:dyDescent="0.35">
      <c r="C56">
        <f t="shared" si="1"/>
        <v>1900</v>
      </c>
      <c r="D56" s="7">
        <v>55</v>
      </c>
      <c r="E56">
        <v>59.880200000000002</v>
      </c>
    </row>
    <row r="57" spans="3:5" x14ac:dyDescent="0.35">
      <c r="C57">
        <f t="shared" si="1"/>
        <v>1900</v>
      </c>
      <c r="D57" s="7">
        <v>56</v>
      </c>
      <c r="E57">
        <v>60.182899999999997</v>
      </c>
    </row>
    <row r="58" spans="3:5" x14ac:dyDescent="0.35">
      <c r="C58">
        <f t="shared" si="1"/>
        <v>1900</v>
      </c>
      <c r="D58" s="7">
        <v>57</v>
      </c>
      <c r="E58">
        <v>61.9953</v>
      </c>
    </row>
    <row r="59" spans="3:5" x14ac:dyDescent="0.35">
      <c r="C59">
        <f t="shared" si="1"/>
        <v>1900</v>
      </c>
      <c r="D59" s="7">
        <v>58</v>
      </c>
      <c r="E59">
        <v>59.924100000000003</v>
      </c>
    </row>
    <row r="60" spans="3:5" x14ac:dyDescent="0.35">
      <c r="C60">
        <f t="shared" si="1"/>
        <v>1900</v>
      </c>
      <c r="D60" s="7">
        <v>59</v>
      </c>
      <c r="E60">
        <v>60.480800000000002</v>
      </c>
    </row>
    <row r="61" spans="3:5" x14ac:dyDescent="0.35">
      <c r="C61">
        <f t="shared" si="1"/>
        <v>1900</v>
      </c>
      <c r="D61" s="7">
        <v>60</v>
      </c>
      <c r="E61">
        <v>60.758600000000001</v>
      </c>
    </row>
    <row r="62" spans="3:5" x14ac:dyDescent="0.35">
      <c r="C62">
        <f t="shared" si="1"/>
        <v>1900</v>
      </c>
      <c r="D62" s="7">
        <v>61</v>
      </c>
      <c r="E62">
        <v>60.775500000000001</v>
      </c>
    </row>
    <row r="63" spans="3:5" x14ac:dyDescent="0.35">
      <c r="C63">
        <f t="shared" si="1"/>
        <v>1900</v>
      </c>
      <c r="D63" s="7">
        <v>62</v>
      </c>
      <c r="E63">
        <v>60.181699999999999</v>
      </c>
    </row>
    <row r="64" spans="3:5" x14ac:dyDescent="0.35">
      <c r="C64">
        <f t="shared" si="1"/>
        <v>1900</v>
      </c>
      <c r="D64" s="7">
        <v>63</v>
      </c>
      <c r="E64">
        <v>61.834400000000002</v>
      </c>
    </row>
    <row r="65" spans="3:5" x14ac:dyDescent="0.35">
      <c r="C65">
        <f t="shared" si="1"/>
        <v>1900</v>
      </c>
      <c r="D65" s="7">
        <v>64</v>
      </c>
      <c r="E65">
        <v>60.665799999999997</v>
      </c>
    </row>
    <row r="66" spans="3:5" x14ac:dyDescent="0.35">
      <c r="C66">
        <f t="shared" si="1"/>
        <v>1900</v>
      </c>
      <c r="D66" s="7">
        <v>65</v>
      </c>
      <c r="E66">
        <v>58.837200000000003</v>
      </c>
    </row>
    <row r="67" spans="3:5" x14ac:dyDescent="0.35">
      <c r="C67">
        <f t="shared" ref="C67:C130" si="2">YEAR(D67)</f>
        <v>1900</v>
      </c>
      <c r="D67" s="7">
        <v>66</v>
      </c>
      <c r="E67">
        <v>57.842599999999997</v>
      </c>
    </row>
    <row r="68" spans="3:5" x14ac:dyDescent="0.35">
      <c r="C68">
        <f t="shared" si="2"/>
        <v>1900</v>
      </c>
      <c r="D68" s="7">
        <v>67</v>
      </c>
      <c r="E68">
        <v>57.6616</v>
      </c>
    </row>
    <row r="69" spans="3:5" x14ac:dyDescent="0.35">
      <c r="C69">
        <f t="shared" si="2"/>
        <v>1900</v>
      </c>
      <c r="D69" s="7">
        <v>68</v>
      </c>
      <c r="E69">
        <v>56.5411</v>
      </c>
    </row>
    <row r="70" spans="3:5" x14ac:dyDescent="0.35">
      <c r="C70">
        <f t="shared" si="2"/>
        <v>1900</v>
      </c>
      <c r="D70" s="7">
        <v>69</v>
      </c>
      <c r="E70">
        <v>57.133899999999997</v>
      </c>
    </row>
    <row r="71" spans="3:5" x14ac:dyDescent="0.35">
      <c r="C71">
        <f t="shared" si="2"/>
        <v>1900</v>
      </c>
      <c r="D71" s="7">
        <v>70</v>
      </c>
      <c r="E71">
        <v>57.248399999999997</v>
      </c>
    </row>
    <row r="72" spans="3:5" x14ac:dyDescent="0.35">
      <c r="C72">
        <f t="shared" si="2"/>
        <v>1900</v>
      </c>
      <c r="D72" s="7">
        <v>71</v>
      </c>
      <c r="E72">
        <v>58.3431</v>
      </c>
    </row>
    <row r="73" spans="3:5" x14ac:dyDescent="0.35">
      <c r="C73">
        <f t="shared" si="2"/>
        <v>1900</v>
      </c>
      <c r="D73" s="7">
        <v>72</v>
      </c>
      <c r="E73">
        <v>59.760599999999997</v>
      </c>
    </row>
    <row r="74" spans="3:5" x14ac:dyDescent="0.35">
      <c r="C74">
        <f t="shared" si="2"/>
        <v>1900</v>
      </c>
      <c r="D74" s="7">
        <v>73</v>
      </c>
      <c r="E74">
        <v>58.524500000000003</v>
      </c>
    </row>
    <row r="75" spans="3:5" x14ac:dyDescent="0.35">
      <c r="C75">
        <f t="shared" si="2"/>
        <v>1900</v>
      </c>
      <c r="D75" s="7">
        <v>74</v>
      </c>
      <c r="E75">
        <v>57.702599999999997</v>
      </c>
    </row>
    <row r="76" spans="3:5" x14ac:dyDescent="0.35">
      <c r="C76">
        <f t="shared" si="2"/>
        <v>1900</v>
      </c>
      <c r="D76" s="7">
        <v>75</v>
      </c>
      <c r="E76">
        <v>57.289700000000003</v>
      </c>
    </row>
    <row r="77" spans="3:5" x14ac:dyDescent="0.35">
      <c r="C77">
        <f t="shared" si="2"/>
        <v>1900</v>
      </c>
      <c r="D77" s="7">
        <v>76</v>
      </c>
      <c r="E77">
        <v>57.376300000000001</v>
      </c>
    </row>
    <row r="78" spans="3:5" x14ac:dyDescent="0.35">
      <c r="C78">
        <f t="shared" si="2"/>
        <v>1900</v>
      </c>
      <c r="D78" s="7">
        <v>77</v>
      </c>
      <c r="E78">
        <v>56.826799999999999</v>
      </c>
    </row>
    <row r="79" spans="3:5" x14ac:dyDescent="0.35">
      <c r="C79">
        <f t="shared" si="2"/>
        <v>1900</v>
      </c>
      <c r="D79" s="7">
        <v>78</v>
      </c>
      <c r="E79">
        <v>57.599600000000002</v>
      </c>
    </row>
    <row r="80" spans="3:5" x14ac:dyDescent="0.35">
      <c r="C80">
        <f t="shared" si="2"/>
        <v>1900</v>
      </c>
      <c r="D80" s="7">
        <v>79</v>
      </c>
      <c r="E80">
        <v>55.576599999999999</v>
      </c>
    </row>
    <row r="81" spans="3:5" x14ac:dyDescent="0.35">
      <c r="C81">
        <f t="shared" si="2"/>
        <v>1900</v>
      </c>
      <c r="D81" s="7">
        <v>80</v>
      </c>
      <c r="E81">
        <v>55.607900000000001</v>
      </c>
    </row>
    <row r="82" spans="3:5" x14ac:dyDescent="0.35">
      <c r="C82">
        <f t="shared" si="2"/>
        <v>1900</v>
      </c>
      <c r="D82" s="7">
        <v>81</v>
      </c>
      <c r="E82">
        <v>56.063699999999997</v>
      </c>
    </row>
    <row r="83" spans="3:5" x14ac:dyDescent="0.35">
      <c r="C83">
        <f t="shared" si="2"/>
        <v>1900</v>
      </c>
      <c r="D83" s="7">
        <v>82</v>
      </c>
      <c r="E83">
        <v>55.254199999999997</v>
      </c>
    </row>
    <row r="84" spans="3:5" x14ac:dyDescent="0.35">
      <c r="C84">
        <f t="shared" si="2"/>
        <v>1900</v>
      </c>
      <c r="D84" s="7">
        <v>83</v>
      </c>
      <c r="E84">
        <v>54.618400000000001</v>
      </c>
    </row>
    <row r="85" spans="3:5" x14ac:dyDescent="0.35">
      <c r="C85">
        <f t="shared" si="2"/>
        <v>1900</v>
      </c>
      <c r="D85" s="7">
        <v>84</v>
      </c>
      <c r="E85">
        <v>53.728000000000002</v>
      </c>
    </row>
    <row r="86" spans="3:5" x14ac:dyDescent="0.35">
      <c r="C86">
        <f t="shared" si="2"/>
        <v>1900</v>
      </c>
      <c r="D86" s="7">
        <v>85</v>
      </c>
      <c r="E86">
        <v>51.8444</v>
      </c>
    </row>
    <row r="87" spans="3:5" x14ac:dyDescent="0.35">
      <c r="C87">
        <f t="shared" si="2"/>
        <v>1900</v>
      </c>
      <c r="D87" s="7">
        <v>86</v>
      </c>
      <c r="E87">
        <v>47.890099999999997</v>
      </c>
    </row>
    <row r="88" spans="3:5" x14ac:dyDescent="0.35">
      <c r="C88">
        <f t="shared" si="2"/>
        <v>1900</v>
      </c>
      <c r="D88" s="7">
        <v>87</v>
      </c>
      <c r="E88">
        <v>45.298499999999997</v>
      </c>
    </row>
    <row r="89" spans="3:5" x14ac:dyDescent="0.35">
      <c r="C89">
        <f t="shared" si="2"/>
        <v>1900</v>
      </c>
      <c r="D89" s="7">
        <v>88</v>
      </c>
      <c r="E89">
        <v>49.985500000000002</v>
      </c>
    </row>
    <row r="90" spans="3:5" x14ac:dyDescent="0.35">
      <c r="C90">
        <f t="shared" si="2"/>
        <v>1900</v>
      </c>
      <c r="D90" s="7">
        <v>89</v>
      </c>
      <c r="E90">
        <v>49.5916</v>
      </c>
    </row>
    <row r="91" spans="3:5" x14ac:dyDescent="0.35">
      <c r="C91">
        <f t="shared" si="2"/>
        <v>1900</v>
      </c>
      <c r="D91" s="7">
        <v>90</v>
      </c>
      <c r="E91">
        <v>50.646500000000003</v>
      </c>
    </row>
    <row r="92" spans="3:5" x14ac:dyDescent="0.35">
      <c r="C92">
        <f t="shared" si="2"/>
        <v>1900</v>
      </c>
      <c r="D92" s="7">
        <v>91</v>
      </c>
      <c r="E92">
        <v>50.4193</v>
      </c>
    </row>
    <row r="93" spans="3:5" x14ac:dyDescent="0.35">
      <c r="C93">
        <f t="shared" si="2"/>
        <v>1900</v>
      </c>
      <c r="D93" s="7">
        <v>92</v>
      </c>
      <c r="E93">
        <v>48.331299999999999</v>
      </c>
    </row>
    <row r="94" spans="3:5" x14ac:dyDescent="0.35">
      <c r="C94">
        <f t="shared" si="2"/>
        <v>1900</v>
      </c>
      <c r="D94" s="7">
        <v>93</v>
      </c>
      <c r="E94">
        <v>46.677500000000002</v>
      </c>
    </row>
    <row r="95" spans="3:5" x14ac:dyDescent="0.35">
      <c r="C95">
        <f t="shared" si="2"/>
        <v>1900</v>
      </c>
      <c r="D95" s="7">
        <v>94</v>
      </c>
      <c r="E95">
        <v>45.562899999999999</v>
      </c>
    </row>
    <row r="96" spans="3:5" x14ac:dyDescent="0.35">
      <c r="C96">
        <f t="shared" si="2"/>
        <v>1900</v>
      </c>
      <c r="D96" s="7">
        <v>95</v>
      </c>
      <c r="E96">
        <v>46.216000000000001</v>
      </c>
    </row>
    <row r="97" spans="3:5" x14ac:dyDescent="0.35">
      <c r="C97">
        <f t="shared" si="2"/>
        <v>1900</v>
      </c>
      <c r="D97" s="7">
        <v>96</v>
      </c>
      <c r="E97">
        <v>43.272500000000001</v>
      </c>
    </row>
    <row r="98" spans="3:5" x14ac:dyDescent="0.35">
      <c r="C98">
        <f t="shared" si="2"/>
        <v>1900</v>
      </c>
      <c r="D98" s="7">
        <v>97</v>
      </c>
      <c r="E98">
        <v>43.224800000000002</v>
      </c>
    </row>
    <row r="99" spans="3:5" x14ac:dyDescent="0.35">
      <c r="C99">
        <f t="shared" si="2"/>
        <v>1900</v>
      </c>
      <c r="D99" s="7">
        <v>98</v>
      </c>
      <c r="E99">
        <v>43.626300000000001</v>
      </c>
    </row>
    <row r="100" spans="3:5" x14ac:dyDescent="0.35">
      <c r="C100">
        <f t="shared" si="2"/>
        <v>1900</v>
      </c>
      <c r="D100" s="7">
        <v>99</v>
      </c>
      <c r="E100">
        <v>42.1327</v>
      </c>
    </row>
    <row r="101" spans="3:5" x14ac:dyDescent="0.35">
      <c r="C101">
        <f t="shared" si="2"/>
        <v>1900</v>
      </c>
      <c r="D101" s="7">
        <v>100</v>
      </c>
      <c r="E101">
        <v>43.0563</v>
      </c>
    </row>
    <row r="102" spans="3:5" x14ac:dyDescent="0.35">
      <c r="C102">
        <f t="shared" si="2"/>
        <v>1900</v>
      </c>
      <c r="D102" s="7">
        <v>101</v>
      </c>
      <c r="E102">
        <v>44.934399999999997</v>
      </c>
    </row>
    <row r="103" spans="3:5" x14ac:dyDescent="0.35">
      <c r="C103">
        <f t="shared" si="2"/>
        <v>1900</v>
      </c>
      <c r="D103" s="7">
        <v>102</v>
      </c>
      <c r="E103">
        <v>45.730200000000004</v>
      </c>
    </row>
    <row r="104" spans="3:5" x14ac:dyDescent="0.35">
      <c r="C104">
        <f t="shared" si="2"/>
        <v>1900</v>
      </c>
      <c r="D104" s="7">
        <v>103</v>
      </c>
      <c r="E104">
        <v>44.380400000000002</v>
      </c>
    </row>
    <row r="105" spans="3:5" x14ac:dyDescent="0.35">
      <c r="C105">
        <f t="shared" si="2"/>
        <v>1900</v>
      </c>
      <c r="D105" s="7">
        <v>104</v>
      </c>
      <c r="E105">
        <v>45.072800000000001</v>
      </c>
    </row>
    <row r="106" spans="3:5" x14ac:dyDescent="0.35">
      <c r="C106">
        <f t="shared" si="2"/>
        <v>1900</v>
      </c>
      <c r="D106" s="7">
        <v>105</v>
      </c>
      <c r="E106">
        <v>46.5608</v>
      </c>
    </row>
    <row r="107" spans="3:5" x14ac:dyDescent="0.35">
      <c r="C107">
        <f t="shared" si="2"/>
        <v>1900</v>
      </c>
      <c r="D107" s="7">
        <v>106</v>
      </c>
      <c r="E107">
        <v>43.390500000000003</v>
      </c>
    </row>
    <row r="108" spans="3:5" x14ac:dyDescent="0.35">
      <c r="C108">
        <f t="shared" si="2"/>
        <v>1900</v>
      </c>
      <c r="D108" s="7">
        <v>107</v>
      </c>
      <c r="E108">
        <v>42.433700000000002</v>
      </c>
    </row>
    <row r="109" spans="3:5" x14ac:dyDescent="0.35">
      <c r="C109">
        <f t="shared" si="2"/>
        <v>1900</v>
      </c>
      <c r="D109" s="7">
        <v>108</v>
      </c>
      <c r="E109">
        <v>43.502200000000002</v>
      </c>
    </row>
    <row r="110" spans="3:5" x14ac:dyDescent="0.35">
      <c r="C110">
        <f t="shared" si="2"/>
        <v>1900</v>
      </c>
      <c r="D110" s="7">
        <v>109</v>
      </c>
      <c r="E110">
        <v>44.697400000000002</v>
      </c>
    </row>
    <row r="111" spans="3:5" x14ac:dyDescent="0.35">
      <c r="C111">
        <f t="shared" si="2"/>
        <v>1900</v>
      </c>
      <c r="D111" s="7">
        <v>110</v>
      </c>
      <c r="E111">
        <v>45.643700000000003</v>
      </c>
    </row>
    <row r="112" spans="3:5" x14ac:dyDescent="0.35">
      <c r="C112">
        <f t="shared" si="2"/>
        <v>1900</v>
      </c>
      <c r="D112" s="7">
        <v>111</v>
      </c>
      <c r="E112">
        <v>45.411900000000003</v>
      </c>
    </row>
    <row r="113" spans="3:5" x14ac:dyDescent="0.35">
      <c r="C113">
        <f t="shared" si="2"/>
        <v>1900</v>
      </c>
      <c r="D113" s="7">
        <v>112</v>
      </c>
      <c r="E113">
        <v>47.506500000000003</v>
      </c>
    </row>
    <row r="114" spans="3:5" x14ac:dyDescent="0.35">
      <c r="C114">
        <f t="shared" si="2"/>
        <v>1900</v>
      </c>
      <c r="D114" s="7">
        <v>113</v>
      </c>
      <c r="E114">
        <v>49.295299999999997</v>
      </c>
    </row>
    <row r="115" spans="3:5" x14ac:dyDescent="0.35">
      <c r="C115">
        <f t="shared" si="2"/>
        <v>1900</v>
      </c>
      <c r="D115" s="7">
        <v>114</v>
      </c>
      <c r="E115">
        <v>49.136899999999997</v>
      </c>
    </row>
    <row r="116" spans="3:5" x14ac:dyDescent="0.35">
      <c r="C116">
        <f t="shared" si="2"/>
        <v>1900</v>
      </c>
      <c r="D116" s="7">
        <v>115</v>
      </c>
      <c r="E116">
        <v>48.855200000000004</v>
      </c>
    </row>
    <row r="117" spans="3:5" x14ac:dyDescent="0.35">
      <c r="C117">
        <f t="shared" si="2"/>
        <v>1900</v>
      </c>
      <c r="D117" s="7">
        <v>116</v>
      </c>
      <c r="E117">
        <v>48.4908</v>
      </c>
    </row>
    <row r="118" spans="3:5" x14ac:dyDescent="0.35">
      <c r="C118">
        <f t="shared" si="2"/>
        <v>1900</v>
      </c>
      <c r="D118" s="7">
        <v>117</v>
      </c>
      <c r="E118">
        <v>48.818600000000004</v>
      </c>
    </row>
    <row r="119" spans="3:5" x14ac:dyDescent="0.35">
      <c r="C119">
        <f t="shared" si="2"/>
        <v>1900</v>
      </c>
      <c r="D119" s="7">
        <v>118</v>
      </c>
      <c r="E119">
        <v>47.3812</v>
      </c>
    </row>
    <row r="120" spans="3:5" x14ac:dyDescent="0.35">
      <c r="C120">
        <f t="shared" si="2"/>
        <v>1900</v>
      </c>
      <c r="D120" s="7">
        <v>119</v>
      </c>
      <c r="E120">
        <v>46.309899999999999</v>
      </c>
    </row>
    <row r="121" spans="3:5" x14ac:dyDescent="0.35">
      <c r="C121">
        <f t="shared" si="2"/>
        <v>1900</v>
      </c>
      <c r="D121" s="7">
        <v>120</v>
      </c>
      <c r="E121">
        <v>45.740299999999998</v>
      </c>
    </row>
    <row r="122" spans="3:5" x14ac:dyDescent="0.35">
      <c r="C122">
        <f t="shared" si="2"/>
        <v>1900</v>
      </c>
      <c r="D122" s="7">
        <v>121</v>
      </c>
      <c r="E122">
        <v>44.983499999999999</v>
      </c>
    </row>
    <row r="123" spans="3:5" x14ac:dyDescent="0.35">
      <c r="C123">
        <f t="shared" si="2"/>
        <v>1900</v>
      </c>
      <c r="D123" s="7">
        <v>122</v>
      </c>
      <c r="E123">
        <v>45.819499999999998</v>
      </c>
    </row>
    <row r="124" spans="3:5" x14ac:dyDescent="0.35">
      <c r="C124">
        <f t="shared" si="2"/>
        <v>1900</v>
      </c>
      <c r="D124" s="7">
        <v>123</v>
      </c>
      <c r="E124">
        <v>44.740099999999998</v>
      </c>
    </row>
    <row r="125" spans="3:5" x14ac:dyDescent="0.35">
      <c r="C125">
        <f t="shared" si="2"/>
        <v>1900</v>
      </c>
      <c r="D125" s="7">
        <v>124</v>
      </c>
      <c r="E125">
        <v>44.862699999999997</v>
      </c>
    </row>
    <row r="126" spans="3:5" x14ac:dyDescent="0.35">
      <c r="C126">
        <f t="shared" si="2"/>
        <v>1900</v>
      </c>
      <c r="D126" s="7">
        <v>125</v>
      </c>
      <c r="E126">
        <v>45.952599999999997</v>
      </c>
    </row>
    <row r="127" spans="3:5" x14ac:dyDescent="0.35">
      <c r="C127">
        <f t="shared" si="2"/>
        <v>1900</v>
      </c>
      <c r="D127" s="7">
        <v>126</v>
      </c>
      <c r="E127">
        <v>48.771900000000002</v>
      </c>
    </row>
    <row r="128" spans="3:5" x14ac:dyDescent="0.35">
      <c r="C128">
        <f t="shared" si="2"/>
        <v>1900</v>
      </c>
      <c r="D128" s="7">
        <v>127</v>
      </c>
      <c r="E128">
        <v>50.530900000000003</v>
      </c>
    </row>
    <row r="129" spans="3:5" x14ac:dyDescent="0.35">
      <c r="C129">
        <f t="shared" si="2"/>
        <v>1900</v>
      </c>
      <c r="D129" s="7">
        <v>128</v>
      </c>
      <c r="E129">
        <v>49.9636</v>
      </c>
    </row>
    <row r="130" spans="3:5" x14ac:dyDescent="0.35">
      <c r="C130">
        <f t="shared" si="2"/>
        <v>1900</v>
      </c>
      <c r="D130" s="7">
        <v>129</v>
      </c>
      <c r="E130">
        <v>50.944600000000001</v>
      </c>
    </row>
    <row r="131" spans="3:5" x14ac:dyDescent="0.35">
      <c r="C131">
        <f t="shared" ref="C131:C194" si="3">YEAR(D131)</f>
        <v>1900</v>
      </c>
      <c r="D131" s="7">
        <v>130</v>
      </c>
      <c r="E131">
        <v>49.970500000000001</v>
      </c>
    </row>
    <row r="132" spans="3:5" x14ac:dyDescent="0.35">
      <c r="C132">
        <f t="shared" si="3"/>
        <v>1900</v>
      </c>
      <c r="D132" s="7">
        <v>131</v>
      </c>
      <c r="E132">
        <v>50.365099999999998</v>
      </c>
    </row>
    <row r="133" spans="3:5" x14ac:dyDescent="0.35">
      <c r="C133">
        <f t="shared" si="3"/>
        <v>1900</v>
      </c>
      <c r="D133" s="7">
        <v>132</v>
      </c>
      <c r="E133">
        <v>50.587400000000002</v>
      </c>
    </row>
    <row r="134" spans="3:5" x14ac:dyDescent="0.35">
      <c r="C134">
        <f t="shared" si="3"/>
        <v>1900</v>
      </c>
      <c r="D134" s="7">
        <v>133</v>
      </c>
      <c r="E134">
        <v>51.254899999999999</v>
      </c>
    </row>
    <row r="135" spans="3:5" x14ac:dyDescent="0.35">
      <c r="C135">
        <f t="shared" si="3"/>
        <v>1900</v>
      </c>
      <c r="D135" s="7">
        <v>134</v>
      </c>
      <c r="E135">
        <v>52.151600000000002</v>
      </c>
    </row>
    <row r="136" spans="3:5" x14ac:dyDescent="0.35">
      <c r="C136">
        <f t="shared" si="3"/>
        <v>1900</v>
      </c>
      <c r="D136" s="7">
        <v>135</v>
      </c>
      <c r="E136">
        <v>53.254800000000003</v>
      </c>
    </row>
    <row r="137" spans="3:5" x14ac:dyDescent="0.35">
      <c r="C137">
        <f t="shared" si="3"/>
        <v>1900</v>
      </c>
      <c r="D137" s="7">
        <v>136</v>
      </c>
      <c r="E137">
        <v>54.363599999999998</v>
      </c>
    </row>
    <row r="138" spans="3:5" x14ac:dyDescent="0.35">
      <c r="C138">
        <f t="shared" si="3"/>
        <v>1900</v>
      </c>
      <c r="D138" s="7">
        <v>137</v>
      </c>
      <c r="E138">
        <v>55.231900000000003</v>
      </c>
    </row>
    <row r="139" spans="3:5" x14ac:dyDescent="0.35">
      <c r="C139">
        <f t="shared" si="3"/>
        <v>1900</v>
      </c>
      <c r="D139" s="7">
        <v>138</v>
      </c>
      <c r="E139">
        <v>55.580599999999997</v>
      </c>
    </row>
    <row r="140" spans="3:5" x14ac:dyDescent="0.35">
      <c r="C140">
        <f t="shared" si="3"/>
        <v>1900</v>
      </c>
      <c r="D140" s="7">
        <v>139</v>
      </c>
      <c r="E140">
        <v>55.431699999999999</v>
      </c>
    </row>
    <row r="141" spans="3:5" x14ac:dyDescent="0.35">
      <c r="C141">
        <f t="shared" si="3"/>
        <v>1900</v>
      </c>
      <c r="D141" s="7">
        <v>140</v>
      </c>
      <c r="E141">
        <v>55.435899999999997</v>
      </c>
    </row>
    <row r="142" spans="3:5" x14ac:dyDescent="0.35">
      <c r="C142">
        <f t="shared" si="3"/>
        <v>1900</v>
      </c>
      <c r="D142" s="7">
        <v>141</v>
      </c>
      <c r="E142">
        <v>55.935899999999997</v>
      </c>
    </row>
    <row r="143" spans="3:5" x14ac:dyDescent="0.35">
      <c r="C143">
        <f t="shared" si="3"/>
        <v>1900</v>
      </c>
      <c r="D143" s="7">
        <v>142</v>
      </c>
      <c r="E143">
        <v>58.569899999999997</v>
      </c>
    </row>
    <row r="144" spans="3:5" x14ac:dyDescent="0.35">
      <c r="C144">
        <f t="shared" si="3"/>
        <v>1900</v>
      </c>
      <c r="D144" s="7">
        <v>143</v>
      </c>
      <c r="E144">
        <v>57.853299999999997</v>
      </c>
    </row>
    <row r="145" spans="3:5" x14ac:dyDescent="0.35">
      <c r="C145">
        <f t="shared" si="3"/>
        <v>1900</v>
      </c>
      <c r="D145" s="7">
        <v>144</v>
      </c>
      <c r="E145">
        <v>56.976599999999998</v>
      </c>
    </row>
    <row r="146" spans="3:5" x14ac:dyDescent="0.35">
      <c r="C146">
        <f t="shared" si="3"/>
        <v>1900</v>
      </c>
      <c r="D146" s="7">
        <v>145</v>
      </c>
      <c r="E146">
        <v>55.262500000000003</v>
      </c>
    </row>
    <row r="147" spans="3:5" x14ac:dyDescent="0.35">
      <c r="C147">
        <f t="shared" si="3"/>
        <v>1900</v>
      </c>
      <c r="D147" s="7">
        <v>146</v>
      </c>
      <c r="E147">
        <v>55.637900000000002</v>
      </c>
    </row>
    <row r="148" spans="3:5" x14ac:dyDescent="0.35">
      <c r="C148">
        <f t="shared" si="3"/>
        <v>1900</v>
      </c>
      <c r="D148" s="7">
        <v>147</v>
      </c>
      <c r="E148">
        <v>56.359400000000001</v>
      </c>
    </row>
    <row r="149" spans="3:5" x14ac:dyDescent="0.35">
      <c r="C149">
        <f t="shared" si="3"/>
        <v>1900</v>
      </c>
      <c r="D149" s="7">
        <v>148</v>
      </c>
      <c r="E149">
        <v>55.704900000000002</v>
      </c>
    </row>
    <row r="150" spans="3:5" x14ac:dyDescent="0.35">
      <c r="C150">
        <f t="shared" si="3"/>
        <v>1900</v>
      </c>
      <c r="D150" s="7">
        <v>149</v>
      </c>
      <c r="E150">
        <v>56.329099999999997</v>
      </c>
    </row>
    <row r="151" spans="3:5" x14ac:dyDescent="0.35">
      <c r="C151">
        <f t="shared" si="3"/>
        <v>1900</v>
      </c>
      <c r="D151" s="7">
        <v>150</v>
      </c>
      <c r="E151">
        <v>55.688299999999998</v>
      </c>
    </row>
    <row r="152" spans="3:5" x14ac:dyDescent="0.35">
      <c r="C152">
        <f t="shared" si="3"/>
        <v>1900</v>
      </c>
      <c r="D152" s="7">
        <v>151</v>
      </c>
      <c r="E152">
        <v>56.829300000000003</v>
      </c>
    </row>
    <row r="153" spans="3:5" x14ac:dyDescent="0.35">
      <c r="C153">
        <f t="shared" si="3"/>
        <v>1900</v>
      </c>
      <c r="D153" s="7">
        <v>152</v>
      </c>
      <c r="E153">
        <v>56.6372</v>
      </c>
    </row>
    <row r="154" spans="3:5" x14ac:dyDescent="0.35">
      <c r="C154">
        <f t="shared" si="3"/>
        <v>1900</v>
      </c>
      <c r="D154" s="7">
        <v>153</v>
      </c>
      <c r="E154">
        <v>55.838299999999997</v>
      </c>
    </row>
    <row r="155" spans="3:5" x14ac:dyDescent="0.35">
      <c r="C155">
        <f t="shared" si="3"/>
        <v>1900</v>
      </c>
      <c r="D155" s="7">
        <v>154</v>
      </c>
      <c r="E155">
        <v>55.049100000000003</v>
      </c>
    </row>
    <row r="156" spans="3:5" x14ac:dyDescent="0.35">
      <c r="C156">
        <f t="shared" si="3"/>
        <v>1900</v>
      </c>
      <c r="D156" s="7">
        <v>155</v>
      </c>
      <c r="E156">
        <v>55.503</v>
      </c>
    </row>
    <row r="157" spans="3:5" x14ac:dyDescent="0.35">
      <c r="C157">
        <f t="shared" si="3"/>
        <v>1900</v>
      </c>
      <c r="D157" s="7">
        <v>156</v>
      </c>
      <c r="E157">
        <v>55.648400000000002</v>
      </c>
    </row>
    <row r="158" spans="3:5" x14ac:dyDescent="0.35">
      <c r="C158">
        <f t="shared" si="3"/>
        <v>1900</v>
      </c>
      <c r="D158" s="7">
        <v>157</v>
      </c>
      <c r="E158">
        <v>56.0473</v>
      </c>
    </row>
    <row r="159" spans="3:5" x14ac:dyDescent="0.35">
      <c r="C159">
        <f t="shared" si="3"/>
        <v>1900</v>
      </c>
      <c r="D159" s="7">
        <v>158</v>
      </c>
      <c r="E159">
        <v>57.847799999999999</v>
      </c>
    </row>
    <row r="160" spans="3:5" x14ac:dyDescent="0.35">
      <c r="C160">
        <f t="shared" si="3"/>
        <v>1900</v>
      </c>
      <c r="D160" s="7">
        <v>159</v>
      </c>
      <c r="E160">
        <v>58.035499999999999</v>
      </c>
    </row>
    <row r="161" spans="3:5" x14ac:dyDescent="0.35">
      <c r="C161">
        <f t="shared" si="3"/>
        <v>1900</v>
      </c>
      <c r="D161" s="7">
        <v>160</v>
      </c>
      <c r="E161">
        <v>58.212000000000003</v>
      </c>
    </row>
    <row r="162" spans="3:5" x14ac:dyDescent="0.35">
      <c r="C162">
        <f t="shared" si="3"/>
        <v>1900</v>
      </c>
      <c r="D162" s="7">
        <v>161</v>
      </c>
      <c r="E162">
        <v>55.815300000000001</v>
      </c>
    </row>
    <row r="163" spans="3:5" x14ac:dyDescent="0.35">
      <c r="C163">
        <f t="shared" si="3"/>
        <v>1900</v>
      </c>
      <c r="D163" s="7">
        <v>162</v>
      </c>
      <c r="E163">
        <v>56.524500000000003</v>
      </c>
    </row>
    <row r="164" spans="3:5" x14ac:dyDescent="0.35">
      <c r="C164">
        <f t="shared" si="3"/>
        <v>1900</v>
      </c>
      <c r="D164" s="7">
        <v>163</v>
      </c>
      <c r="E164">
        <v>55.785699999999999</v>
      </c>
    </row>
    <row r="165" spans="3:5" x14ac:dyDescent="0.35">
      <c r="C165">
        <f t="shared" si="3"/>
        <v>1900</v>
      </c>
      <c r="D165" s="7">
        <v>164</v>
      </c>
      <c r="E165">
        <v>56.945500000000003</v>
      </c>
    </row>
    <row r="166" spans="3:5" x14ac:dyDescent="0.35">
      <c r="C166">
        <f t="shared" si="3"/>
        <v>1900</v>
      </c>
      <c r="D166" s="7">
        <v>165</v>
      </c>
      <c r="E166">
        <v>56.835299999999997</v>
      </c>
    </row>
    <row r="167" spans="3:5" x14ac:dyDescent="0.35">
      <c r="C167">
        <f t="shared" si="3"/>
        <v>1900</v>
      </c>
      <c r="D167" s="7">
        <v>166</v>
      </c>
      <c r="E167">
        <v>57.352400000000003</v>
      </c>
    </row>
    <row r="168" spans="3:5" x14ac:dyDescent="0.35">
      <c r="C168">
        <f t="shared" si="3"/>
        <v>1900</v>
      </c>
      <c r="D168" s="7">
        <v>167</v>
      </c>
      <c r="E168">
        <v>56.897799999999997</v>
      </c>
    </row>
    <row r="169" spans="3:5" x14ac:dyDescent="0.35">
      <c r="C169">
        <f t="shared" si="3"/>
        <v>1900</v>
      </c>
      <c r="D169" s="7">
        <v>168</v>
      </c>
      <c r="E169">
        <v>58.119100000000003</v>
      </c>
    </row>
    <row r="170" spans="3:5" x14ac:dyDescent="0.35">
      <c r="C170">
        <f t="shared" si="3"/>
        <v>1900</v>
      </c>
      <c r="D170" s="7">
        <v>169</v>
      </c>
      <c r="E170">
        <v>58.052599999999998</v>
      </c>
    </row>
    <row r="171" spans="3:5" x14ac:dyDescent="0.35">
      <c r="C171">
        <f t="shared" si="3"/>
        <v>1900</v>
      </c>
      <c r="D171" s="7">
        <v>170</v>
      </c>
      <c r="E171">
        <v>58.344499999999996</v>
      </c>
    </row>
    <row r="172" spans="3:5" x14ac:dyDescent="0.35">
      <c r="C172">
        <f t="shared" si="3"/>
        <v>1900</v>
      </c>
      <c r="D172" s="7">
        <v>171</v>
      </c>
      <c r="E172">
        <v>58.058100000000003</v>
      </c>
    </row>
    <row r="173" spans="3:5" x14ac:dyDescent="0.35">
      <c r="C173">
        <f t="shared" si="3"/>
        <v>1900</v>
      </c>
      <c r="D173" s="7">
        <v>172</v>
      </c>
      <c r="E173">
        <v>57.6145</v>
      </c>
    </row>
    <row r="174" spans="3:5" x14ac:dyDescent="0.35">
      <c r="C174">
        <f t="shared" si="3"/>
        <v>1900</v>
      </c>
      <c r="D174" s="7">
        <v>173</v>
      </c>
      <c r="E174">
        <v>57.927399999999999</v>
      </c>
    </row>
    <row r="175" spans="3:5" x14ac:dyDescent="0.35">
      <c r="C175">
        <f t="shared" si="3"/>
        <v>1900</v>
      </c>
      <c r="D175" s="7">
        <v>174</v>
      </c>
      <c r="E175">
        <v>58.347999999999999</v>
      </c>
    </row>
    <row r="176" spans="3:5" x14ac:dyDescent="0.35">
      <c r="C176">
        <f t="shared" si="3"/>
        <v>1900</v>
      </c>
      <c r="D176" s="7">
        <v>175</v>
      </c>
      <c r="E176">
        <v>59.672800000000002</v>
      </c>
    </row>
    <row r="177" spans="3:5" x14ac:dyDescent="0.35">
      <c r="C177">
        <f t="shared" si="3"/>
        <v>1900</v>
      </c>
      <c r="D177" s="7">
        <v>176</v>
      </c>
      <c r="E177">
        <v>60.354999999999997</v>
      </c>
    </row>
    <row r="178" spans="3:5" x14ac:dyDescent="0.35">
      <c r="C178">
        <f t="shared" si="3"/>
        <v>1900</v>
      </c>
      <c r="D178" s="7">
        <v>177</v>
      </c>
      <c r="E178">
        <v>62.114100000000001</v>
      </c>
    </row>
    <row r="179" spans="3:5" x14ac:dyDescent="0.35">
      <c r="C179">
        <f t="shared" si="3"/>
        <v>1900</v>
      </c>
      <c r="D179" s="7">
        <v>178</v>
      </c>
      <c r="E179">
        <v>61.935000000000002</v>
      </c>
    </row>
    <row r="180" spans="3:5" x14ac:dyDescent="0.35">
      <c r="C180">
        <f t="shared" si="3"/>
        <v>1900</v>
      </c>
      <c r="D180" s="7">
        <v>179</v>
      </c>
      <c r="E180">
        <v>61.5032</v>
      </c>
    </row>
    <row r="181" spans="3:5" x14ac:dyDescent="0.35">
      <c r="C181">
        <f t="shared" si="3"/>
        <v>1900</v>
      </c>
      <c r="D181" s="7">
        <v>180</v>
      </c>
      <c r="E181">
        <v>62.628300000000003</v>
      </c>
    </row>
    <row r="182" spans="3:5" x14ac:dyDescent="0.35">
      <c r="C182">
        <f t="shared" si="3"/>
        <v>1900</v>
      </c>
      <c r="D182" s="7">
        <v>181</v>
      </c>
      <c r="E182">
        <v>63.075800000000001</v>
      </c>
    </row>
    <row r="183" spans="3:5" x14ac:dyDescent="0.35">
      <c r="C183">
        <f t="shared" si="3"/>
        <v>1900</v>
      </c>
      <c r="D183" s="7">
        <v>182</v>
      </c>
      <c r="E183">
        <v>62.318600000000004</v>
      </c>
    </row>
    <row r="184" spans="3:5" x14ac:dyDescent="0.35">
      <c r="C184">
        <f t="shared" si="3"/>
        <v>1900</v>
      </c>
      <c r="D184" s="7">
        <v>183</v>
      </c>
      <c r="E184">
        <v>61.651299999999999</v>
      </c>
    </row>
    <row r="185" spans="3:5" x14ac:dyDescent="0.35">
      <c r="C185">
        <f t="shared" si="3"/>
        <v>1900</v>
      </c>
      <c r="D185" s="7">
        <v>184</v>
      </c>
      <c r="E185">
        <v>61.483400000000003</v>
      </c>
    </row>
    <row r="186" spans="3:5" x14ac:dyDescent="0.35">
      <c r="C186">
        <f t="shared" si="3"/>
        <v>1900</v>
      </c>
      <c r="D186" s="7">
        <v>185</v>
      </c>
      <c r="E186">
        <v>62.464500000000001</v>
      </c>
    </row>
    <row r="187" spans="3:5" x14ac:dyDescent="0.35">
      <c r="C187">
        <f t="shared" si="3"/>
        <v>1900</v>
      </c>
      <c r="D187" s="7">
        <v>186</v>
      </c>
      <c r="E187">
        <v>65.158299999999997</v>
      </c>
    </row>
    <row r="188" spans="3:5" x14ac:dyDescent="0.35">
      <c r="C188">
        <f t="shared" si="3"/>
        <v>1900</v>
      </c>
      <c r="D188" s="7">
        <v>187</v>
      </c>
      <c r="E188">
        <v>67.114500000000007</v>
      </c>
    </row>
    <row r="189" spans="3:5" x14ac:dyDescent="0.35">
      <c r="C189">
        <f t="shared" si="3"/>
        <v>1900</v>
      </c>
      <c r="D189" s="7">
        <v>188</v>
      </c>
      <c r="E189">
        <v>70.100800000000007</v>
      </c>
    </row>
    <row r="190" spans="3:5" x14ac:dyDescent="0.35">
      <c r="C190">
        <f t="shared" si="3"/>
        <v>1900</v>
      </c>
      <c r="D190" s="7">
        <v>189</v>
      </c>
      <c r="E190">
        <v>68.700699999999998</v>
      </c>
    </row>
    <row r="191" spans="3:5" x14ac:dyDescent="0.35">
      <c r="C191">
        <f t="shared" si="3"/>
        <v>1900</v>
      </c>
      <c r="D191" s="7">
        <v>190</v>
      </c>
      <c r="E191">
        <v>70.096900000000005</v>
      </c>
    </row>
    <row r="192" spans="3:5" x14ac:dyDescent="0.35">
      <c r="C192">
        <f t="shared" si="3"/>
        <v>1900</v>
      </c>
      <c r="D192" s="7">
        <v>191</v>
      </c>
      <c r="E192">
        <v>71.736599999999996</v>
      </c>
    </row>
    <row r="193" spans="3:5" x14ac:dyDescent="0.35">
      <c r="C193">
        <f t="shared" si="3"/>
        <v>1900</v>
      </c>
      <c r="D193" s="7">
        <v>192</v>
      </c>
      <c r="E193">
        <v>71.573599999999999</v>
      </c>
    </row>
    <row r="194" spans="3:5" x14ac:dyDescent="0.35">
      <c r="C194">
        <f t="shared" si="3"/>
        <v>1900</v>
      </c>
      <c r="D194" s="7">
        <v>193</v>
      </c>
      <c r="E194">
        <v>71.5869</v>
      </c>
    </row>
    <row r="195" spans="3:5" x14ac:dyDescent="0.35">
      <c r="C195">
        <f t="shared" ref="C195:C258" si="4">YEAR(D195)</f>
        <v>1900</v>
      </c>
      <c r="D195" s="7">
        <v>194</v>
      </c>
      <c r="E195">
        <v>70.584800000000001</v>
      </c>
    </row>
    <row r="196" spans="3:5" x14ac:dyDescent="0.35">
      <c r="C196">
        <f t="shared" si="4"/>
        <v>1900</v>
      </c>
      <c r="D196" s="7">
        <v>195</v>
      </c>
      <c r="E196">
        <v>72.077699999999993</v>
      </c>
    </row>
    <row r="197" spans="3:5" x14ac:dyDescent="0.35">
      <c r="C197">
        <f t="shared" si="4"/>
        <v>1900</v>
      </c>
      <c r="D197" s="7">
        <v>196</v>
      </c>
      <c r="E197">
        <v>72.810299999999998</v>
      </c>
    </row>
    <row r="198" spans="3:5" x14ac:dyDescent="0.35">
      <c r="C198">
        <f t="shared" si="4"/>
        <v>1900</v>
      </c>
      <c r="D198" s="7">
        <v>197</v>
      </c>
      <c r="E198">
        <v>70.0227</v>
      </c>
    </row>
    <row r="199" spans="3:5" x14ac:dyDescent="0.35">
      <c r="C199">
        <f t="shared" si="4"/>
        <v>1900</v>
      </c>
      <c r="D199" s="7">
        <v>198</v>
      </c>
      <c r="E199">
        <v>67.5886</v>
      </c>
    </row>
    <row r="200" spans="3:5" x14ac:dyDescent="0.35">
      <c r="C200">
        <f t="shared" si="4"/>
        <v>1900</v>
      </c>
      <c r="D200" s="7">
        <v>199</v>
      </c>
      <c r="E200">
        <v>68.367000000000004</v>
      </c>
    </row>
    <row r="201" spans="3:5" x14ac:dyDescent="0.35">
      <c r="C201">
        <f t="shared" si="4"/>
        <v>1900</v>
      </c>
      <c r="D201" s="7">
        <v>200</v>
      </c>
      <c r="E201">
        <v>68.1875</v>
      </c>
    </row>
    <row r="202" spans="3:5" x14ac:dyDescent="0.35">
      <c r="C202">
        <f t="shared" si="4"/>
        <v>1900</v>
      </c>
      <c r="D202" s="7">
        <v>201</v>
      </c>
      <c r="E202">
        <v>69.9221</v>
      </c>
    </row>
    <row r="203" spans="3:5" x14ac:dyDescent="0.35">
      <c r="C203">
        <f t="shared" si="4"/>
        <v>1900</v>
      </c>
      <c r="D203" s="7">
        <v>202</v>
      </c>
      <c r="E203">
        <v>69.458699999999993</v>
      </c>
    </row>
    <row r="204" spans="3:5" x14ac:dyDescent="0.35">
      <c r="C204">
        <f t="shared" si="4"/>
        <v>1900</v>
      </c>
      <c r="D204" s="7">
        <v>203</v>
      </c>
      <c r="E204">
        <v>71.221900000000005</v>
      </c>
    </row>
    <row r="205" spans="3:5" x14ac:dyDescent="0.35">
      <c r="C205">
        <f t="shared" si="4"/>
        <v>1900</v>
      </c>
      <c r="D205" s="7">
        <v>204</v>
      </c>
      <c r="E205">
        <v>72.226900000000001</v>
      </c>
    </row>
    <row r="206" spans="3:5" x14ac:dyDescent="0.35">
      <c r="C206">
        <f t="shared" si="4"/>
        <v>1900</v>
      </c>
      <c r="D206" s="7">
        <v>205</v>
      </c>
      <c r="E206">
        <v>72.249899999999997</v>
      </c>
    </row>
    <row r="207" spans="3:5" x14ac:dyDescent="0.35">
      <c r="C207">
        <f t="shared" si="4"/>
        <v>1900</v>
      </c>
      <c r="D207" s="7">
        <v>206</v>
      </c>
      <c r="E207">
        <v>73.162000000000006</v>
      </c>
    </row>
    <row r="208" spans="3:5" x14ac:dyDescent="0.35">
      <c r="C208">
        <f t="shared" si="4"/>
        <v>1900</v>
      </c>
      <c r="D208" s="7">
        <v>207</v>
      </c>
      <c r="E208">
        <v>71.171300000000002</v>
      </c>
    </row>
    <row r="209" spans="3:5" x14ac:dyDescent="0.35">
      <c r="C209">
        <f t="shared" si="4"/>
        <v>1900</v>
      </c>
      <c r="D209" s="7">
        <v>208</v>
      </c>
      <c r="E209">
        <v>69.275000000000006</v>
      </c>
    </row>
    <row r="210" spans="3:5" x14ac:dyDescent="0.35">
      <c r="C210">
        <f t="shared" si="4"/>
        <v>1900</v>
      </c>
      <c r="D210" s="7">
        <v>209</v>
      </c>
      <c r="E210">
        <v>69.137200000000007</v>
      </c>
    </row>
    <row r="211" spans="3:5" x14ac:dyDescent="0.35">
      <c r="C211">
        <f t="shared" si="4"/>
        <v>1900</v>
      </c>
      <c r="D211" s="7">
        <v>210</v>
      </c>
      <c r="E211">
        <v>68.7911</v>
      </c>
    </row>
    <row r="212" spans="3:5" x14ac:dyDescent="0.35">
      <c r="C212">
        <f t="shared" si="4"/>
        <v>1900</v>
      </c>
      <c r="D212" s="7">
        <v>211</v>
      </c>
      <c r="E212">
        <v>68.341700000000003</v>
      </c>
    </row>
    <row r="213" spans="3:5" x14ac:dyDescent="0.35">
      <c r="C213">
        <f t="shared" si="4"/>
        <v>1900</v>
      </c>
      <c r="D213" s="7">
        <v>212</v>
      </c>
      <c r="E213">
        <v>70.798299999999998</v>
      </c>
    </row>
    <row r="214" spans="3:5" x14ac:dyDescent="0.35">
      <c r="C214">
        <f t="shared" si="4"/>
        <v>1900</v>
      </c>
      <c r="D214" s="7">
        <v>213</v>
      </c>
      <c r="E214">
        <v>71.377399999999994</v>
      </c>
    </row>
    <row r="215" spans="3:5" x14ac:dyDescent="0.35">
      <c r="C215">
        <f t="shared" si="4"/>
        <v>1900</v>
      </c>
      <c r="D215" s="7">
        <v>214</v>
      </c>
      <c r="E215">
        <v>70.408299999999997</v>
      </c>
    </row>
    <row r="216" spans="3:5" x14ac:dyDescent="0.35">
      <c r="C216">
        <f t="shared" si="4"/>
        <v>1900</v>
      </c>
      <c r="D216" s="7">
        <v>215</v>
      </c>
      <c r="E216">
        <v>70.211799999999997</v>
      </c>
    </row>
    <row r="217" spans="3:5" x14ac:dyDescent="0.35">
      <c r="C217">
        <f t="shared" si="4"/>
        <v>1900</v>
      </c>
      <c r="D217" s="7">
        <v>216</v>
      </c>
      <c r="E217">
        <v>70.081500000000005</v>
      </c>
    </row>
    <row r="218" spans="3:5" x14ac:dyDescent="0.35">
      <c r="C218">
        <f t="shared" si="4"/>
        <v>1900</v>
      </c>
      <c r="D218" s="7">
        <v>217</v>
      </c>
      <c r="E218">
        <v>69.476699999999994</v>
      </c>
    </row>
    <row r="219" spans="3:5" x14ac:dyDescent="0.35">
      <c r="C219">
        <f t="shared" si="4"/>
        <v>1900</v>
      </c>
      <c r="D219" s="7">
        <v>218</v>
      </c>
      <c r="E219">
        <v>69.273700000000005</v>
      </c>
    </row>
    <row r="220" spans="3:5" x14ac:dyDescent="0.35">
      <c r="C220">
        <f t="shared" si="4"/>
        <v>1900</v>
      </c>
      <c r="D220" s="7">
        <v>219</v>
      </c>
      <c r="E220">
        <v>67.685900000000004</v>
      </c>
    </row>
    <row r="221" spans="3:5" x14ac:dyDescent="0.35">
      <c r="C221">
        <f t="shared" si="4"/>
        <v>1900</v>
      </c>
      <c r="D221" s="7">
        <v>220</v>
      </c>
      <c r="E221">
        <v>68.051100000000005</v>
      </c>
    </row>
    <row r="222" spans="3:5" x14ac:dyDescent="0.35">
      <c r="C222">
        <f t="shared" si="4"/>
        <v>1900</v>
      </c>
      <c r="D222" s="7">
        <v>221</v>
      </c>
      <c r="E222">
        <v>69.254099999999994</v>
      </c>
    </row>
    <row r="223" spans="3:5" x14ac:dyDescent="0.35">
      <c r="C223">
        <f t="shared" si="4"/>
        <v>1900</v>
      </c>
      <c r="D223" s="7">
        <v>222</v>
      </c>
      <c r="E223">
        <v>68.506600000000006</v>
      </c>
    </row>
    <row r="224" spans="3:5" x14ac:dyDescent="0.35">
      <c r="C224">
        <f t="shared" si="4"/>
        <v>1900</v>
      </c>
      <c r="D224" s="7">
        <v>223</v>
      </c>
      <c r="E224">
        <v>68.138800000000003</v>
      </c>
    </row>
    <row r="225" spans="3:5" x14ac:dyDescent="0.35">
      <c r="C225">
        <f t="shared" si="4"/>
        <v>1900</v>
      </c>
      <c r="D225" s="7">
        <v>224</v>
      </c>
      <c r="E225">
        <v>68.713499999999996</v>
      </c>
    </row>
    <row r="226" spans="3:5" x14ac:dyDescent="0.35">
      <c r="C226">
        <f t="shared" si="4"/>
        <v>1900</v>
      </c>
      <c r="D226" s="7">
        <v>225</v>
      </c>
      <c r="E226">
        <v>66.989500000000007</v>
      </c>
    </row>
    <row r="227" spans="3:5" x14ac:dyDescent="0.35">
      <c r="C227">
        <f t="shared" si="4"/>
        <v>1900</v>
      </c>
      <c r="D227" s="7">
        <v>226</v>
      </c>
      <c r="E227">
        <v>62.389600000000002</v>
      </c>
    </row>
    <row r="228" spans="3:5" x14ac:dyDescent="0.35">
      <c r="C228">
        <f t="shared" si="4"/>
        <v>1900</v>
      </c>
      <c r="D228" s="7">
        <v>227</v>
      </c>
      <c r="E228">
        <v>61.607700000000001</v>
      </c>
    </row>
    <row r="229" spans="3:5" x14ac:dyDescent="0.35">
      <c r="C229">
        <f t="shared" si="4"/>
        <v>1900</v>
      </c>
      <c r="D229" s="7">
        <v>228</v>
      </c>
      <c r="E229">
        <v>63.2136</v>
      </c>
    </row>
    <row r="230" spans="3:5" x14ac:dyDescent="0.35">
      <c r="C230">
        <f t="shared" si="4"/>
        <v>1900</v>
      </c>
      <c r="D230" s="7">
        <v>229</v>
      </c>
      <c r="E230">
        <v>59.0946</v>
      </c>
    </row>
    <row r="231" spans="3:5" x14ac:dyDescent="0.35">
      <c r="C231">
        <f t="shared" si="4"/>
        <v>1900</v>
      </c>
      <c r="D231" s="7">
        <v>230</v>
      </c>
      <c r="E231">
        <v>59.128999999999998</v>
      </c>
    </row>
    <row r="232" spans="3:5" x14ac:dyDescent="0.35">
      <c r="C232">
        <f t="shared" si="4"/>
        <v>1900</v>
      </c>
      <c r="D232" s="7">
        <v>231</v>
      </c>
      <c r="E232">
        <v>59.9039</v>
      </c>
    </row>
    <row r="233" spans="3:5" x14ac:dyDescent="0.35">
      <c r="C233">
        <f t="shared" si="4"/>
        <v>1900</v>
      </c>
      <c r="D233" s="7">
        <v>232</v>
      </c>
      <c r="E233">
        <v>61.077599999999997</v>
      </c>
    </row>
    <row r="234" spans="3:5" x14ac:dyDescent="0.35">
      <c r="C234">
        <f t="shared" si="4"/>
        <v>1900</v>
      </c>
      <c r="D234" s="7">
        <v>233</v>
      </c>
      <c r="E234">
        <v>58.502499999999998</v>
      </c>
    </row>
    <row r="235" spans="3:5" x14ac:dyDescent="0.35">
      <c r="C235">
        <f t="shared" si="4"/>
        <v>1900</v>
      </c>
      <c r="D235" s="7">
        <v>234</v>
      </c>
      <c r="E235">
        <v>57.461599999999997</v>
      </c>
    </row>
    <row r="236" spans="3:5" x14ac:dyDescent="0.35">
      <c r="C236">
        <f t="shared" si="4"/>
        <v>1900</v>
      </c>
      <c r="D236" s="7">
        <v>235</v>
      </c>
      <c r="E236">
        <v>56.764899999999997</v>
      </c>
    </row>
    <row r="237" spans="3:5" x14ac:dyDescent="0.35">
      <c r="C237">
        <f t="shared" si="4"/>
        <v>1900</v>
      </c>
      <c r="D237" s="7">
        <v>236</v>
      </c>
      <c r="E237">
        <v>57.877499999999998</v>
      </c>
    </row>
    <row r="238" spans="3:5" x14ac:dyDescent="0.35">
      <c r="C238">
        <f t="shared" si="4"/>
        <v>1900</v>
      </c>
      <c r="D238" s="7">
        <v>237</v>
      </c>
      <c r="E238">
        <v>55.324300000000001</v>
      </c>
    </row>
    <row r="239" spans="3:5" x14ac:dyDescent="0.35">
      <c r="C239">
        <f t="shared" si="4"/>
        <v>1900</v>
      </c>
      <c r="D239" s="7">
        <v>238</v>
      </c>
      <c r="E239">
        <v>54.020299999999999</v>
      </c>
    </row>
    <row r="240" spans="3:5" x14ac:dyDescent="0.35">
      <c r="C240">
        <f t="shared" si="4"/>
        <v>1900</v>
      </c>
      <c r="D240" s="7">
        <v>239</v>
      </c>
      <c r="E240">
        <v>54.304000000000002</v>
      </c>
    </row>
    <row r="241" spans="3:5" x14ac:dyDescent="0.35">
      <c r="C241">
        <f t="shared" si="4"/>
        <v>1900</v>
      </c>
      <c r="D241" s="7">
        <v>240</v>
      </c>
      <c r="E241">
        <v>55.8904</v>
      </c>
    </row>
    <row r="242" spans="3:5" x14ac:dyDescent="0.35">
      <c r="C242">
        <f t="shared" si="4"/>
        <v>1900</v>
      </c>
      <c r="D242" s="7">
        <v>241</v>
      </c>
      <c r="E242">
        <v>55.407499999999999</v>
      </c>
    </row>
    <row r="243" spans="3:5" x14ac:dyDescent="0.35">
      <c r="C243">
        <f t="shared" si="4"/>
        <v>1900</v>
      </c>
      <c r="D243" s="7">
        <v>242</v>
      </c>
      <c r="E243">
        <v>54.606999999999999</v>
      </c>
    </row>
    <row r="244" spans="3:5" x14ac:dyDescent="0.35">
      <c r="C244">
        <f t="shared" si="4"/>
        <v>1900</v>
      </c>
      <c r="D244" s="7">
        <v>243</v>
      </c>
      <c r="E244">
        <v>52.752699999999997</v>
      </c>
    </row>
    <row r="245" spans="3:5" x14ac:dyDescent="0.35">
      <c r="C245">
        <f t="shared" si="4"/>
        <v>1900</v>
      </c>
      <c r="D245" s="7">
        <v>244</v>
      </c>
      <c r="E245">
        <v>51.539700000000003</v>
      </c>
    </row>
    <row r="246" spans="3:5" x14ac:dyDescent="0.35">
      <c r="C246">
        <f t="shared" si="4"/>
        <v>1900</v>
      </c>
      <c r="D246" s="7">
        <v>245</v>
      </c>
      <c r="E246">
        <v>52.549700000000001</v>
      </c>
    </row>
    <row r="247" spans="3:5" x14ac:dyDescent="0.35">
      <c r="C247">
        <f t="shared" si="4"/>
        <v>1900</v>
      </c>
      <c r="D247" s="7">
        <v>246</v>
      </c>
      <c r="E247">
        <v>54.596400000000003</v>
      </c>
    </row>
    <row r="248" spans="3:5" x14ac:dyDescent="0.35">
      <c r="C248">
        <f t="shared" si="4"/>
        <v>1900</v>
      </c>
      <c r="D248" s="7">
        <v>247</v>
      </c>
      <c r="E248">
        <v>55.317900000000002</v>
      </c>
    </row>
    <row r="249" spans="3:5" x14ac:dyDescent="0.35">
      <c r="C249">
        <f t="shared" si="4"/>
        <v>1900</v>
      </c>
      <c r="D249" s="7">
        <v>248</v>
      </c>
      <c r="E249">
        <v>55.543700000000001</v>
      </c>
    </row>
    <row r="250" spans="3:5" x14ac:dyDescent="0.35">
      <c r="C250">
        <f t="shared" si="4"/>
        <v>1900</v>
      </c>
      <c r="D250" s="7">
        <v>249</v>
      </c>
      <c r="E250">
        <v>55.122300000000003</v>
      </c>
    </row>
    <row r="251" spans="3:5" x14ac:dyDescent="0.35">
      <c r="C251">
        <f t="shared" si="4"/>
        <v>1900</v>
      </c>
      <c r="D251" s="7">
        <v>250</v>
      </c>
      <c r="E251">
        <v>55.038400000000003</v>
      </c>
    </row>
    <row r="252" spans="3:5" x14ac:dyDescent="0.35">
      <c r="C252">
        <f t="shared" si="4"/>
        <v>1900</v>
      </c>
      <c r="D252" s="7">
        <v>251</v>
      </c>
      <c r="E252">
        <v>56.313899999999997</v>
      </c>
    </row>
    <row r="253" spans="3:5" x14ac:dyDescent="0.35">
      <c r="C253">
        <f t="shared" si="4"/>
        <v>1900</v>
      </c>
      <c r="D253" s="7">
        <v>252</v>
      </c>
      <c r="E253">
        <v>55.172600000000003</v>
      </c>
    </row>
    <row r="254" spans="3:5" x14ac:dyDescent="0.35">
      <c r="C254">
        <f t="shared" si="4"/>
        <v>1900</v>
      </c>
      <c r="D254" s="7">
        <v>253</v>
      </c>
      <c r="E254">
        <v>57.141300000000001</v>
      </c>
    </row>
    <row r="255" spans="3:5" x14ac:dyDescent="0.35">
      <c r="C255">
        <f t="shared" si="4"/>
        <v>1900</v>
      </c>
      <c r="D255" s="7">
        <v>254</v>
      </c>
      <c r="E255">
        <v>58.273400000000002</v>
      </c>
    </row>
    <row r="256" spans="3:5" x14ac:dyDescent="0.35">
      <c r="C256">
        <f t="shared" si="4"/>
        <v>1900</v>
      </c>
      <c r="D256" s="7">
        <v>255</v>
      </c>
      <c r="E256">
        <v>58.0276</v>
      </c>
    </row>
    <row r="257" spans="3:5" x14ac:dyDescent="0.35">
      <c r="C257">
        <f t="shared" si="4"/>
        <v>1900</v>
      </c>
      <c r="D257" s="7">
        <v>256</v>
      </c>
      <c r="E257">
        <v>57.939</v>
      </c>
    </row>
    <row r="258" spans="3:5" x14ac:dyDescent="0.35">
      <c r="C258">
        <f t="shared" si="4"/>
        <v>1900</v>
      </c>
      <c r="D258" s="7">
        <v>257</v>
      </c>
      <c r="E258">
        <v>57.538800000000002</v>
      </c>
    </row>
    <row r="259" spans="3:5" x14ac:dyDescent="0.35">
      <c r="C259">
        <f t="shared" ref="C259:C322" si="5">YEAR(D259)</f>
        <v>1900</v>
      </c>
      <c r="D259" s="7">
        <v>258</v>
      </c>
      <c r="E259">
        <v>53.900700000000001</v>
      </c>
    </row>
    <row r="260" spans="3:5" x14ac:dyDescent="0.35">
      <c r="C260">
        <f t="shared" si="5"/>
        <v>1900</v>
      </c>
      <c r="D260" s="7">
        <v>259</v>
      </c>
      <c r="E260">
        <v>52.929900000000004</v>
      </c>
    </row>
    <row r="261" spans="3:5" x14ac:dyDescent="0.35">
      <c r="C261">
        <f t="shared" si="5"/>
        <v>1900</v>
      </c>
      <c r="D261" s="7">
        <v>260</v>
      </c>
      <c r="E261">
        <v>53.4709</v>
      </c>
    </row>
    <row r="262" spans="3:5" x14ac:dyDescent="0.35">
      <c r="C262">
        <f t="shared" si="5"/>
        <v>1900</v>
      </c>
      <c r="D262" s="7">
        <v>261</v>
      </c>
      <c r="E262">
        <v>54.191400000000002</v>
      </c>
    </row>
    <row r="263" spans="3:5" x14ac:dyDescent="0.35">
      <c r="C263">
        <f t="shared" si="5"/>
        <v>1900</v>
      </c>
      <c r="D263" s="7">
        <v>262</v>
      </c>
      <c r="E263">
        <v>55.315199999999997</v>
      </c>
    </row>
    <row r="264" spans="3:5" x14ac:dyDescent="0.35">
      <c r="C264">
        <f t="shared" si="5"/>
        <v>1900</v>
      </c>
      <c r="D264" s="7">
        <v>263</v>
      </c>
      <c r="E264">
        <v>53.495600000000003</v>
      </c>
    </row>
    <row r="265" spans="3:5" x14ac:dyDescent="0.35">
      <c r="C265">
        <f t="shared" si="5"/>
        <v>1900</v>
      </c>
      <c r="D265" s="7">
        <v>264</v>
      </c>
      <c r="E265">
        <v>54.256500000000003</v>
      </c>
    </row>
    <row r="266" spans="3:5" x14ac:dyDescent="0.35">
      <c r="C266">
        <f t="shared" si="5"/>
        <v>1900</v>
      </c>
      <c r="D266" s="7">
        <v>265</v>
      </c>
      <c r="E266">
        <v>53.444699999999997</v>
      </c>
    </row>
    <row r="267" spans="3:5" x14ac:dyDescent="0.35">
      <c r="C267">
        <f t="shared" si="5"/>
        <v>1900</v>
      </c>
      <c r="D267" s="7">
        <v>266</v>
      </c>
      <c r="E267">
        <v>52.958599999999997</v>
      </c>
    </row>
    <row r="268" spans="3:5" x14ac:dyDescent="0.35">
      <c r="C268">
        <f t="shared" si="5"/>
        <v>1900</v>
      </c>
      <c r="D268" s="7">
        <v>267</v>
      </c>
      <c r="E268">
        <v>52.767000000000003</v>
      </c>
    </row>
    <row r="269" spans="3:5" x14ac:dyDescent="0.35">
      <c r="C269">
        <f t="shared" si="5"/>
        <v>1900</v>
      </c>
      <c r="D269" s="7">
        <v>268</v>
      </c>
      <c r="E269">
        <v>56.365299999999998</v>
      </c>
    </row>
    <row r="270" spans="3:5" x14ac:dyDescent="0.35">
      <c r="C270">
        <f t="shared" si="5"/>
        <v>1900</v>
      </c>
      <c r="D270" s="7">
        <v>269</v>
      </c>
      <c r="E270">
        <v>57.213799999999999</v>
      </c>
    </row>
    <row r="271" spans="3:5" x14ac:dyDescent="0.35">
      <c r="C271">
        <f t="shared" si="5"/>
        <v>1900</v>
      </c>
      <c r="D271" s="7">
        <v>270</v>
      </c>
      <c r="E271">
        <v>57.354500000000002</v>
      </c>
    </row>
    <row r="272" spans="3:5" x14ac:dyDescent="0.35">
      <c r="C272">
        <f t="shared" si="5"/>
        <v>1900</v>
      </c>
      <c r="D272" s="7">
        <v>271</v>
      </c>
      <c r="E272">
        <v>55.209499999999998</v>
      </c>
    </row>
    <row r="273" spans="3:5" x14ac:dyDescent="0.35">
      <c r="C273">
        <f t="shared" si="5"/>
        <v>1900</v>
      </c>
      <c r="D273" s="7">
        <v>272</v>
      </c>
      <c r="E273">
        <v>54.368000000000002</v>
      </c>
    </row>
    <row r="274" spans="3:5" x14ac:dyDescent="0.35">
      <c r="C274">
        <f t="shared" si="5"/>
        <v>1900</v>
      </c>
      <c r="D274" s="7">
        <v>273</v>
      </c>
      <c r="E274">
        <v>55.373699999999999</v>
      </c>
    </row>
    <row r="275" spans="3:5" x14ac:dyDescent="0.35">
      <c r="C275">
        <f t="shared" si="5"/>
        <v>1900</v>
      </c>
      <c r="D275" s="7">
        <v>274</v>
      </c>
      <c r="E275">
        <v>55.597999999999999</v>
      </c>
    </row>
    <row r="276" spans="3:5" x14ac:dyDescent="0.35">
      <c r="C276">
        <f t="shared" si="5"/>
        <v>1900</v>
      </c>
      <c r="D276" s="7">
        <v>275</v>
      </c>
      <c r="E276">
        <v>53.518799999999999</v>
      </c>
    </row>
    <row r="277" spans="3:5" x14ac:dyDescent="0.35">
      <c r="C277">
        <f t="shared" si="5"/>
        <v>1900</v>
      </c>
      <c r="D277" s="7">
        <v>276</v>
      </c>
      <c r="E277">
        <v>53.7074</v>
      </c>
    </row>
    <row r="278" spans="3:5" x14ac:dyDescent="0.35">
      <c r="C278">
        <f t="shared" si="5"/>
        <v>1900</v>
      </c>
      <c r="D278" s="7">
        <v>277</v>
      </c>
      <c r="E278">
        <v>54.078000000000003</v>
      </c>
    </row>
    <row r="279" spans="3:5" x14ac:dyDescent="0.35">
      <c r="C279">
        <f t="shared" si="5"/>
        <v>1900</v>
      </c>
      <c r="D279" s="7">
        <v>278</v>
      </c>
      <c r="E279">
        <v>53.502699999999997</v>
      </c>
    </row>
    <row r="280" spans="3:5" x14ac:dyDescent="0.35">
      <c r="C280">
        <f t="shared" si="5"/>
        <v>1900</v>
      </c>
      <c r="D280" s="7">
        <v>279</v>
      </c>
      <c r="E280">
        <v>54.561599999999999</v>
      </c>
    </row>
    <row r="281" spans="3:5" x14ac:dyDescent="0.35">
      <c r="C281">
        <f t="shared" si="5"/>
        <v>1900</v>
      </c>
      <c r="D281" s="7">
        <v>280</v>
      </c>
      <c r="E281">
        <v>53.556899999999999</v>
      </c>
    </row>
    <row r="282" spans="3:5" x14ac:dyDescent="0.35">
      <c r="C282">
        <f t="shared" si="5"/>
        <v>1900</v>
      </c>
      <c r="D282" s="7">
        <v>281</v>
      </c>
      <c r="E282">
        <v>54.7637</v>
      </c>
    </row>
    <row r="283" spans="3:5" x14ac:dyDescent="0.35">
      <c r="C283">
        <f t="shared" si="5"/>
        <v>1900</v>
      </c>
      <c r="D283" s="7">
        <v>282</v>
      </c>
      <c r="E283">
        <v>53.528500000000001</v>
      </c>
    </row>
    <row r="284" spans="3:5" x14ac:dyDescent="0.35">
      <c r="C284">
        <f t="shared" si="5"/>
        <v>1900</v>
      </c>
      <c r="D284" s="7">
        <v>283</v>
      </c>
      <c r="E284">
        <v>52.103700000000003</v>
      </c>
    </row>
    <row r="285" spans="3:5" x14ac:dyDescent="0.35">
      <c r="C285">
        <f t="shared" si="5"/>
        <v>1900</v>
      </c>
      <c r="D285" s="7">
        <v>284</v>
      </c>
      <c r="E285">
        <v>52.244799999999998</v>
      </c>
    </row>
    <row r="286" spans="3:5" x14ac:dyDescent="0.35">
      <c r="C286">
        <f t="shared" si="5"/>
        <v>1900</v>
      </c>
      <c r="D286" s="7">
        <v>285</v>
      </c>
      <c r="E286">
        <v>52.081499999999998</v>
      </c>
    </row>
    <row r="287" spans="3:5" x14ac:dyDescent="0.35">
      <c r="C287">
        <f t="shared" si="5"/>
        <v>1900</v>
      </c>
      <c r="D287" s="7">
        <v>286</v>
      </c>
      <c r="E287">
        <v>52.197699999999998</v>
      </c>
    </row>
    <row r="288" spans="3:5" x14ac:dyDescent="0.35">
      <c r="C288">
        <f t="shared" si="5"/>
        <v>1900</v>
      </c>
      <c r="D288" s="7">
        <v>287</v>
      </c>
      <c r="E288">
        <v>47.598500000000001</v>
      </c>
    </row>
    <row r="289" spans="3:5" x14ac:dyDescent="0.35">
      <c r="C289">
        <f t="shared" si="5"/>
        <v>1900</v>
      </c>
      <c r="D289" s="7">
        <v>288</v>
      </c>
      <c r="E289">
        <v>44.292999999999999</v>
      </c>
    </row>
    <row r="290" spans="3:5" x14ac:dyDescent="0.35">
      <c r="C290">
        <f t="shared" si="5"/>
        <v>1900</v>
      </c>
      <c r="D290" s="7">
        <v>289</v>
      </c>
      <c r="E290">
        <v>42.912199999999999</v>
      </c>
    </row>
    <row r="291" spans="3:5" x14ac:dyDescent="0.35">
      <c r="C291">
        <f t="shared" si="5"/>
        <v>1900</v>
      </c>
      <c r="D291" s="7">
        <v>290</v>
      </c>
      <c r="E291">
        <v>46.070300000000003</v>
      </c>
    </row>
    <row r="292" spans="3:5" x14ac:dyDescent="0.35">
      <c r="C292">
        <f t="shared" si="5"/>
        <v>1900</v>
      </c>
      <c r="D292" s="7">
        <v>291</v>
      </c>
      <c r="E292">
        <v>45.044699999999999</v>
      </c>
    </row>
    <row r="293" spans="3:5" x14ac:dyDescent="0.35">
      <c r="C293">
        <f t="shared" si="5"/>
        <v>1900</v>
      </c>
      <c r="D293" s="7">
        <v>292</v>
      </c>
      <c r="E293">
        <v>41.555700000000002</v>
      </c>
    </row>
    <row r="294" spans="3:5" x14ac:dyDescent="0.35">
      <c r="C294">
        <f t="shared" si="5"/>
        <v>1900</v>
      </c>
      <c r="D294" s="7">
        <v>293</v>
      </c>
      <c r="E294">
        <v>40.799100000000003</v>
      </c>
    </row>
    <row r="295" spans="3:5" x14ac:dyDescent="0.35">
      <c r="C295">
        <f t="shared" si="5"/>
        <v>1900</v>
      </c>
      <c r="D295" s="7">
        <v>294</v>
      </c>
      <c r="E295">
        <v>43.932600000000001</v>
      </c>
    </row>
    <row r="296" spans="3:5" x14ac:dyDescent="0.35">
      <c r="C296">
        <f t="shared" si="5"/>
        <v>1900</v>
      </c>
      <c r="D296" s="7">
        <v>295</v>
      </c>
      <c r="E296">
        <v>43.773600000000002</v>
      </c>
    </row>
    <row r="297" spans="3:5" x14ac:dyDescent="0.35">
      <c r="C297">
        <f t="shared" si="5"/>
        <v>1900</v>
      </c>
      <c r="D297" s="7">
        <v>296</v>
      </c>
      <c r="E297">
        <v>42.883200000000002</v>
      </c>
    </row>
    <row r="298" spans="3:5" x14ac:dyDescent="0.35">
      <c r="C298">
        <f t="shared" si="5"/>
        <v>1900</v>
      </c>
      <c r="D298" s="7">
        <v>297</v>
      </c>
      <c r="E298">
        <v>44.209099999999999</v>
      </c>
    </row>
    <row r="299" spans="3:5" x14ac:dyDescent="0.35">
      <c r="C299">
        <f t="shared" si="5"/>
        <v>1900</v>
      </c>
      <c r="D299" s="7">
        <v>298</v>
      </c>
      <c r="E299">
        <v>44.677300000000002</v>
      </c>
    </row>
    <row r="300" spans="3:5" x14ac:dyDescent="0.35">
      <c r="C300">
        <f t="shared" si="5"/>
        <v>1900</v>
      </c>
      <c r="D300" s="7">
        <v>299</v>
      </c>
      <c r="E300">
        <v>45.475900000000003</v>
      </c>
    </row>
    <row r="301" spans="3:5" x14ac:dyDescent="0.35">
      <c r="C301">
        <f t="shared" si="5"/>
        <v>1900</v>
      </c>
      <c r="D301" s="7">
        <v>300</v>
      </c>
      <c r="E301">
        <v>46.017899999999997</v>
      </c>
    </row>
    <row r="302" spans="3:5" x14ac:dyDescent="0.35">
      <c r="C302">
        <f t="shared" si="5"/>
        <v>1900</v>
      </c>
      <c r="D302" s="7">
        <v>301</v>
      </c>
      <c r="E302">
        <v>46.688499999999998</v>
      </c>
    </row>
    <row r="303" spans="3:5" x14ac:dyDescent="0.35">
      <c r="C303">
        <f t="shared" si="5"/>
        <v>1900</v>
      </c>
      <c r="D303" s="7">
        <v>302</v>
      </c>
      <c r="E303">
        <v>47.601999999999997</v>
      </c>
    </row>
    <row r="304" spans="3:5" x14ac:dyDescent="0.35">
      <c r="C304">
        <f t="shared" si="5"/>
        <v>1900</v>
      </c>
      <c r="D304" s="7">
        <v>303</v>
      </c>
      <c r="E304">
        <v>45.7607</v>
      </c>
    </row>
    <row r="305" spans="3:5" x14ac:dyDescent="0.35">
      <c r="C305">
        <f t="shared" si="5"/>
        <v>1900</v>
      </c>
      <c r="D305" s="7">
        <v>304</v>
      </c>
      <c r="E305">
        <v>45.9009</v>
      </c>
    </row>
    <row r="306" spans="3:5" x14ac:dyDescent="0.35">
      <c r="C306">
        <f t="shared" si="5"/>
        <v>1900</v>
      </c>
      <c r="D306" s="7">
        <v>305</v>
      </c>
      <c r="E306">
        <v>46.083300000000001</v>
      </c>
    </row>
    <row r="307" spans="3:5" x14ac:dyDescent="0.35">
      <c r="C307">
        <f t="shared" si="5"/>
        <v>1900</v>
      </c>
      <c r="D307" s="7">
        <v>306</v>
      </c>
      <c r="E307">
        <v>45.710999999999999</v>
      </c>
    </row>
    <row r="308" spans="3:5" x14ac:dyDescent="0.35">
      <c r="C308">
        <f t="shared" si="5"/>
        <v>1900</v>
      </c>
      <c r="D308" s="7">
        <v>307</v>
      </c>
      <c r="E308">
        <v>45.7303</v>
      </c>
    </row>
    <row r="309" spans="3:5" x14ac:dyDescent="0.35">
      <c r="C309">
        <f t="shared" si="5"/>
        <v>1900</v>
      </c>
      <c r="D309" s="7">
        <v>308</v>
      </c>
      <c r="E309">
        <v>45.246600000000001</v>
      </c>
    </row>
    <row r="310" spans="3:5" x14ac:dyDescent="0.35">
      <c r="C310">
        <f t="shared" si="5"/>
        <v>1900</v>
      </c>
      <c r="D310" s="7">
        <v>309</v>
      </c>
      <c r="E310">
        <v>43.941000000000003</v>
      </c>
    </row>
    <row r="311" spans="3:5" x14ac:dyDescent="0.35">
      <c r="C311">
        <f t="shared" si="5"/>
        <v>1900</v>
      </c>
      <c r="D311" s="7">
        <v>310</v>
      </c>
      <c r="E311">
        <v>43.387999999999998</v>
      </c>
    </row>
    <row r="312" spans="3:5" x14ac:dyDescent="0.35">
      <c r="C312">
        <f t="shared" si="5"/>
        <v>1900</v>
      </c>
      <c r="D312" s="7">
        <v>311</v>
      </c>
      <c r="E312">
        <v>43.552100000000003</v>
      </c>
    </row>
    <row r="313" spans="3:5" x14ac:dyDescent="0.35">
      <c r="C313">
        <f t="shared" si="5"/>
        <v>1900</v>
      </c>
      <c r="D313" s="7">
        <v>312</v>
      </c>
      <c r="E313">
        <v>43.287100000000002</v>
      </c>
    </row>
    <row r="314" spans="3:5" x14ac:dyDescent="0.35">
      <c r="C314">
        <f t="shared" si="5"/>
        <v>1900</v>
      </c>
      <c r="D314" s="7">
        <v>313</v>
      </c>
      <c r="E314">
        <v>44.091000000000001</v>
      </c>
    </row>
    <row r="315" spans="3:5" x14ac:dyDescent="0.35">
      <c r="C315">
        <f t="shared" si="5"/>
        <v>1900</v>
      </c>
      <c r="D315" s="7">
        <v>314</v>
      </c>
      <c r="E315">
        <v>43.4238</v>
      </c>
    </row>
    <row r="316" spans="3:5" x14ac:dyDescent="0.35">
      <c r="C316">
        <f t="shared" si="5"/>
        <v>1900</v>
      </c>
      <c r="D316" s="7">
        <v>315</v>
      </c>
      <c r="E316">
        <v>44.563800000000001</v>
      </c>
    </row>
    <row r="317" spans="3:5" x14ac:dyDescent="0.35">
      <c r="C317">
        <f t="shared" si="5"/>
        <v>1900</v>
      </c>
      <c r="D317" s="7">
        <v>316</v>
      </c>
      <c r="E317">
        <v>45.594000000000001</v>
      </c>
    </row>
    <row r="318" spans="3:5" x14ac:dyDescent="0.35">
      <c r="C318">
        <f t="shared" si="5"/>
        <v>1900</v>
      </c>
      <c r="D318" s="7">
        <v>317</v>
      </c>
      <c r="E318">
        <v>45.359499999999997</v>
      </c>
    </row>
    <row r="319" spans="3:5" x14ac:dyDescent="0.35">
      <c r="C319">
        <f t="shared" si="5"/>
        <v>1900</v>
      </c>
      <c r="D319" s="7">
        <v>318</v>
      </c>
      <c r="E319">
        <v>45.5565</v>
      </c>
    </row>
    <row r="320" spans="3:5" x14ac:dyDescent="0.35">
      <c r="C320">
        <f t="shared" si="5"/>
        <v>1900</v>
      </c>
      <c r="D320" s="7">
        <v>319</v>
      </c>
      <c r="E320">
        <v>45.946599999999997</v>
      </c>
    </row>
    <row r="321" spans="3:5" x14ac:dyDescent="0.35">
      <c r="C321">
        <f t="shared" si="5"/>
        <v>1900</v>
      </c>
      <c r="D321" s="7">
        <v>320</v>
      </c>
      <c r="E321">
        <v>44.473100000000002</v>
      </c>
    </row>
    <row r="322" spans="3:5" x14ac:dyDescent="0.35">
      <c r="C322">
        <f t="shared" si="5"/>
        <v>1900</v>
      </c>
      <c r="D322" s="7">
        <v>321</v>
      </c>
      <c r="E322">
        <v>45.049599999999998</v>
      </c>
    </row>
    <row r="323" spans="3:5" x14ac:dyDescent="0.35">
      <c r="C323">
        <f t="shared" ref="C323:C386" si="6">YEAR(D323)</f>
        <v>1900</v>
      </c>
      <c r="D323" s="7">
        <v>322</v>
      </c>
      <c r="E323">
        <v>45.9666</v>
      </c>
    </row>
    <row r="324" spans="3:5" x14ac:dyDescent="0.35">
      <c r="C324">
        <f t="shared" si="6"/>
        <v>1900</v>
      </c>
      <c r="D324" s="7">
        <v>323</v>
      </c>
      <c r="E324">
        <v>45.512700000000002</v>
      </c>
    </row>
    <row r="325" spans="3:5" x14ac:dyDescent="0.35">
      <c r="C325">
        <f t="shared" si="6"/>
        <v>1900</v>
      </c>
      <c r="D325" s="7">
        <v>324</v>
      </c>
      <c r="E325">
        <v>44.735300000000002</v>
      </c>
    </row>
    <row r="326" spans="3:5" x14ac:dyDescent="0.35">
      <c r="C326">
        <f t="shared" si="6"/>
        <v>1900</v>
      </c>
      <c r="D326" s="7">
        <v>325</v>
      </c>
      <c r="E326">
        <v>42.838700000000003</v>
      </c>
    </row>
    <row r="327" spans="3:5" x14ac:dyDescent="0.35">
      <c r="C327">
        <f t="shared" si="6"/>
        <v>1900</v>
      </c>
      <c r="D327" s="7">
        <v>326</v>
      </c>
      <c r="E327">
        <v>43.391199999999998</v>
      </c>
    </row>
    <row r="328" spans="3:5" x14ac:dyDescent="0.35">
      <c r="C328">
        <f t="shared" si="6"/>
        <v>1900</v>
      </c>
      <c r="D328" s="7">
        <v>327</v>
      </c>
      <c r="E328">
        <v>43.626800000000003</v>
      </c>
    </row>
    <row r="329" spans="3:5" x14ac:dyDescent="0.35">
      <c r="C329">
        <f t="shared" si="6"/>
        <v>1900</v>
      </c>
      <c r="D329" s="7">
        <v>328</v>
      </c>
      <c r="E329">
        <v>43.872900000000001</v>
      </c>
    </row>
    <row r="330" spans="3:5" x14ac:dyDescent="0.35">
      <c r="C330">
        <f t="shared" si="6"/>
        <v>1900</v>
      </c>
      <c r="D330" s="7">
        <v>329</v>
      </c>
      <c r="E330">
        <v>44.487099999999998</v>
      </c>
    </row>
    <row r="331" spans="3:5" x14ac:dyDescent="0.35">
      <c r="C331">
        <f t="shared" si="6"/>
        <v>1900</v>
      </c>
      <c r="D331" s="7">
        <v>330</v>
      </c>
      <c r="E331">
        <v>44.061999999999998</v>
      </c>
    </row>
    <row r="332" spans="3:5" x14ac:dyDescent="0.35">
      <c r="C332">
        <f t="shared" si="6"/>
        <v>1900</v>
      </c>
      <c r="D332" s="7">
        <v>331</v>
      </c>
      <c r="E332">
        <v>43.233400000000003</v>
      </c>
    </row>
    <row r="333" spans="3:5" x14ac:dyDescent="0.35">
      <c r="C333">
        <f t="shared" si="6"/>
        <v>1900</v>
      </c>
      <c r="D333" s="7">
        <v>332</v>
      </c>
      <c r="E333">
        <v>43.404400000000003</v>
      </c>
    </row>
    <row r="334" spans="3:5" x14ac:dyDescent="0.35">
      <c r="C334">
        <f t="shared" si="6"/>
        <v>1900</v>
      </c>
      <c r="D334" s="7">
        <v>333</v>
      </c>
      <c r="E334">
        <v>42.787700000000001</v>
      </c>
    </row>
    <row r="335" spans="3:5" x14ac:dyDescent="0.35">
      <c r="C335">
        <f t="shared" si="6"/>
        <v>1900</v>
      </c>
      <c r="D335" s="7">
        <v>334</v>
      </c>
      <c r="E335">
        <v>42.754800000000003</v>
      </c>
    </row>
    <row r="336" spans="3:5" x14ac:dyDescent="0.35">
      <c r="C336">
        <f t="shared" si="6"/>
        <v>1900</v>
      </c>
      <c r="D336" s="7">
        <v>335</v>
      </c>
      <c r="E336">
        <v>43.504399999999997</v>
      </c>
    </row>
    <row r="337" spans="3:5" x14ac:dyDescent="0.35">
      <c r="C337">
        <f t="shared" si="6"/>
        <v>1900</v>
      </c>
      <c r="D337" s="7">
        <v>336</v>
      </c>
      <c r="E337">
        <v>44.9497</v>
      </c>
    </row>
    <row r="338" spans="3:5" x14ac:dyDescent="0.35">
      <c r="C338">
        <f t="shared" si="6"/>
        <v>1900</v>
      </c>
      <c r="D338" s="7">
        <v>337</v>
      </c>
      <c r="E338">
        <v>45.777099999999997</v>
      </c>
    </row>
    <row r="339" spans="3:5" x14ac:dyDescent="0.35">
      <c r="C339">
        <f t="shared" si="6"/>
        <v>1900</v>
      </c>
      <c r="D339" s="7">
        <v>338</v>
      </c>
      <c r="E339">
        <v>45.777900000000002</v>
      </c>
    </row>
    <row r="340" spans="3:5" x14ac:dyDescent="0.35">
      <c r="C340">
        <f t="shared" si="6"/>
        <v>1900</v>
      </c>
      <c r="D340" s="7">
        <v>339</v>
      </c>
      <c r="E340">
        <v>45.194699999999997</v>
      </c>
    </row>
    <row r="341" spans="3:5" x14ac:dyDescent="0.35">
      <c r="C341">
        <f t="shared" si="6"/>
        <v>1900</v>
      </c>
      <c r="D341" s="7">
        <v>340</v>
      </c>
      <c r="E341">
        <v>43.9617</v>
      </c>
    </row>
    <row r="342" spans="3:5" x14ac:dyDescent="0.35">
      <c r="C342">
        <f t="shared" si="6"/>
        <v>1900</v>
      </c>
      <c r="D342" s="7">
        <v>341</v>
      </c>
      <c r="E342">
        <v>42.9739</v>
      </c>
    </row>
    <row r="343" spans="3:5" x14ac:dyDescent="0.35">
      <c r="C343">
        <f t="shared" si="6"/>
        <v>1900</v>
      </c>
      <c r="D343" s="7">
        <v>342</v>
      </c>
      <c r="E343">
        <v>43.139400000000002</v>
      </c>
    </row>
    <row r="344" spans="3:5" x14ac:dyDescent="0.35">
      <c r="C344">
        <f t="shared" si="6"/>
        <v>1900</v>
      </c>
      <c r="D344" s="7">
        <v>343</v>
      </c>
      <c r="E344">
        <v>42.396099999999997</v>
      </c>
    </row>
    <row r="345" spans="3:5" x14ac:dyDescent="0.35">
      <c r="C345">
        <f t="shared" si="6"/>
        <v>1900</v>
      </c>
      <c r="D345" s="7">
        <v>344</v>
      </c>
      <c r="E345">
        <v>41.694099999999999</v>
      </c>
    </row>
    <row r="346" spans="3:5" x14ac:dyDescent="0.35">
      <c r="C346">
        <f t="shared" si="6"/>
        <v>1900</v>
      </c>
      <c r="D346" s="7">
        <v>345</v>
      </c>
      <c r="E346">
        <v>43.202300000000001</v>
      </c>
    </row>
    <row r="347" spans="3:5" x14ac:dyDescent="0.35">
      <c r="C347">
        <f t="shared" si="6"/>
        <v>1900</v>
      </c>
      <c r="D347" s="7">
        <v>346</v>
      </c>
      <c r="E347">
        <v>41.007599999999996</v>
      </c>
    </row>
    <row r="348" spans="3:5" x14ac:dyDescent="0.35">
      <c r="C348">
        <f t="shared" si="6"/>
        <v>1900</v>
      </c>
      <c r="D348" s="7">
        <v>347</v>
      </c>
      <c r="E348">
        <v>42.114199999999997</v>
      </c>
    </row>
    <row r="349" spans="3:5" x14ac:dyDescent="0.35">
      <c r="C349">
        <f t="shared" si="6"/>
        <v>1900</v>
      </c>
      <c r="D349" s="7">
        <v>348</v>
      </c>
      <c r="E349">
        <v>40.756100000000004</v>
      </c>
    </row>
    <row r="350" spans="3:5" x14ac:dyDescent="0.35">
      <c r="C350">
        <f t="shared" si="6"/>
        <v>1900</v>
      </c>
      <c r="D350" s="7">
        <v>349</v>
      </c>
      <c r="E350">
        <v>40.147199999999998</v>
      </c>
    </row>
    <row r="351" spans="3:5" x14ac:dyDescent="0.35">
      <c r="C351">
        <f t="shared" si="6"/>
        <v>1900</v>
      </c>
      <c r="D351" s="7">
        <v>350</v>
      </c>
      <c r="E351">
        <v>40.1265</v>
      </c>
    </row>
    <row r="352" spans="3:5" x14ac:dyDescent="0.35">
      <c r="C352">
        <f t="shared" si="6"/>
        <v>1900</v>
      </c>
      <c r="D352" s="7">
        <v>351</v>
      </c>
      <c r="E352">
        <v>39.582799999999999</v>
      </c>
    </row>
    <row r="353" spans="3:5" x14ac:dyDescent="0.35">
      <c r="C353">
        <f t="shared" si="6"/>
        <v>1900</v>
      </c>
      <c r="D353" s="7">
        <v>352</v>
      </c>
      <c r="E353">
        <v>39.471400000000003</v>
      </c>
    </row>
    <row r="354" spans="3:5" x14ac:dyDescent="0.35">
      <c r="C354">
        <f t="shared" si="6"/>
        <v>1900</v>
      </c>
      <c r="D354" s="7">
        <v>353</v>
      </c>
      <c r="E354">
        <v>38.096499999999999</v>
      </c>
    </row>
    <row r="355" spans="3:5" x14ac:dyDescent="0.35">
      <c r="C355">
        <f t="shared" si="6"/>
        <v>1900</v>
      </c>
      <c r="D355" s="7">
        <v>354</v>
      </c>
      <c r="E355">
        <v>38.972200000000001</v>
      </c>
    </row>
    <row r="356" spans="3:5" x14ac:dyDescent="0.35">
      <c r="C356">
        <f t="shared" si="6"/>
        <v>1900</v>
      </c>
      <c r="D356" s="7">
        <v>355</v>
      </c>
      <c r="E356">
        <v>39.285600000000002</v>
      </c>
    </row>
    <row r="357" spans="3:5" x14ac:dyDescent="0.35">
      <c r="C357">
        <f t="shared" si="6"/>
        <v>1900</v>
      </c>
      <c r="D357" s="7">
        <v>356</v>
      </c>
      <c r="E357">
        <v>39.144799999999996</v>
      </c>
    </row>
    <row r="358" spans="3:5" x14ac:dyDescent="0.35">
      <c r="C358">
        <f t="shared" si="6"/>
        <v>1900</v>
      </c>
      <c r="D358" s="7">
        <v>357</v>
      </c>
      <c r="E358">
        <v>39.174799999999998</v>
      </c>
    </row>
    <row r="359" spans="3:5" x14ac:dyDescent="0.35">
      <c r="C359">
        <f t="shared" si="6"/>
        <v>1900</v>
      </c>
      <c r="D359" s="7">
        <v>358</v>
      </c>
      <c r="E359">
        <v>39.436999999999998</v>
      </c>
    </row>
    <row r="360" spans="3:5" x14ac:dyDescent="0.35">
      <c r="C360">
        <f t="shared" si="6"/>
        <v>1900</v>
      </c>
      <c r="D360" s="7">
        <v>359</v>
      </c>
      <c r="E360">
        <v>39.894300000000001</v>
      </c>
    </row>
    <row r="361" spans="3:5" x14ac:dyDescent="0.35">
      <c r="C361">
        <f t="shared" si="6"/>
        <v>1900</v>
      </c>
      <c r="D361" s="7">
        <v>360</v>
      </c>
      <c r="E361">
        <v>39.601900000000001</v>
      </c>
    </row>
    <row r="362" spans="3:5" x14ac:dyDescent="0.35">
      <c r="C362">
        <f t="shared" si="6"/>
        <v>1900</v>
      </c>
      <c r="D362" s="7">
        <v>361</v>
      </c>
      <c r="E362">
        <v>39.104399999999998</v>
      </c>
    </row>
    <row r="363" spans="3:5" x14ac:dyDescent="0.35">
      <c r="C363">
        <f t="shared" si="6"/>
        <v>1900</v>
      </c>
      <c r="D363" s="7">
        <v>362</v>
      </c>
      <c r="E363">
        <v>39.599499999999999</v>
      </c>
    </row>
    <row r="364" spans="3:5" x14ac:dyDescent="0.35">
      <c r="C364">
        <f t="shared" si="6"/>
        <v>1900</v>
      </c>
      <c r="D364" s="7">
        <v>363</v>
      </c>
      <c r="E364">
        <v>40.1111</v>
      </c>
    </row>
    <row r="365" spans="3:5" x14ac:dyDescent="0.35">
      <c r="C365">
        <f t="shared" si="6"/>
        <v>1900</v>
      </c>
      <c r="D365" s="7">
        <v>364</v>
      </c>
      <c r="E365">
        <v>39.023099999999999</v>
      </c>
    </row>
    <row r="366" spans="3:5" x14ac:dyDescent="0.35">
      <c r="C366">
        <f t="shared" si="6"/>
        <v>1900</v>
      </c>
      <c r="D366" s="7">
        <v>365</v>
      </c>
      <c r="E366">
        <v>38.163600000000002</v>
      </c>
    </row>
    <row r="367" spans="3:5" x14ac:dyDescent="0.35">
      <c r="C367">
        <f t="shared" si="6"/>
        <v>1900</v>
      </c>
      <c r="D367" s="7">
        <v>366</v>
      </c>
      <c r="E367">
        <v>37.516800000000003</v>
      </c>
    </row>
    <row r="368" spans="3:5" x14ac:dyDescent="0.35">
      <c r="C368">
        <f t="shared" si="6"/>
        <v>1901</v>
      </c>
      <c r="D368" s="7">
        <v>367</v>
      </c>
      <c r="E368">
        <v>37.720100000000002</v>
      </c>
    </row>
    <row r="369" spans="3:5" x14ac:dyDescent="0.35">
      <c r="C369">
        <f t="shared" si="6"/>
        <v>1901</v>
      </c>
      <c r="D369" s="7">
        <v>368</v>
      </c>
      <c r="E369">
        <v>38.111400000000003</v>
      </c>
    </row>
    <row r="370" spans="3:5" x14ac:dyDescent="0.35">
      <c r="C370">
        <f t="shared" si="6"/>
        <v>1901</v>
      </c>
      <c r="D370" s="7">
        <v>369</v>
      </c>
      <c r="E370">
        <v>38.178100000000001</v>
      </c>
    </row>
    <row r="371" spans="3:5" x14ac:dyDescent="0.35">
      <c r="C371">
        <f t="shared" si="6"/>
        <v>1901</v>
      </c>
      <c r="D371" s="7">
        <v>370</v>
      </c>
      <c r="E371">
        <v>37.460099999999997</v>
      </c>
    </row>
    <row r="372" spans="3:5" x14ac:dyDescent="0.35">
      <c r="C372">
        <f t="shared" si="6"/>
        <v>1901</v>
      </c>
      <c r="D372" s="7">
        <v>371</v>
      </c>
      <c r="E372">
        <v>38.686700000000002</v>
      </c>
    </row>
    <row r="373" spans="3:5" x14ac:dyDescent="0.35">
      <c r="C373">
        <f t="shared" si="6"/>
        <v>1901</v>
      </c>
      <c r="D373" s="7">
        <v>372</v>
      </c>
      <c r="E373">
        <v>39.409500000000001</v>
      </c>
    </row>
    <row r="374" spans="3:5" x14ac:dyDescent="0.35">
      <c r="C374">
        <f t="shared" si="6"/>
        <v>1901</v>
      </c>
      <c r="D374" s="7">
        <v>373</v>
      </c>
      <c r="E374">
        <v>39.6111</v>
      </c>
    </row>
    <row r="375" spans="3:5" x14ac:dyDescent="0.35">
      <c r="C375">
        <f t="shared" si="6"/>
        <v>1901</v>
      </c>
      <c r="D375" s="7">
        <v>374</v>
      </c>
      <c r="E375">
        <v>39.418999999999997</v>
      </c>
    </row>
    <row r="376" spans="3:5" x14ac:dyDescent="0.35">
      <c r="C376">
        <f t="shared" si="6"/>
        <v>1901</v>
      </c>
      <c r="D376" s="7">
        <v>375</v>
      </c>
      <c r="E376">
        <v>38.655299999999997</v>
      </c>
    </row>
    <row r="377" spans="3:5" x14ac:dyDescent="0.35">
      <c r="C377">
        <f t="shared" si="6"/>
        <v>1901</v>
      </c>
      <c r="D377" s="7">
        <v>376</v>
      </c>
      <c r="E377">
        <v>39.537199999999999</v>
      </c>
    </row>
    <row r="378" spans="3:5" x14ac:dyDescent="0.35">
      <c r="C378">
        <f t="shared" si="6"/>
        <v>1901</v>
      </c>
      <c r="D378" s="7">
        <v>377</v>
      </c>
      <c r="E378">
        <v>40.137300000000003</v>
      </c>
    </row>
    <row r="379" spans="3:5" x14ac:dyDescent="0.35">
      <c r="C379">
        <f t="shared" si="6"/>
        <v>1901</v>
      </c>
      <c r="D379" s="7">
        <v>378</v>
      </c>
      <c r="E379">
        <v>38.687899999999999</v>
      </c>
    </row>
    <row r="380" spans="3:5" x14ac:dyDescent="0.35">
      <c r="C380">
        <f t="shared" si="6"/>
        <v>1901</v>
      </c>
      <c r="D380" s="7">
        <v>379</v>
      </c>
      <c r="E380">
        <v>37.909100000000002</v>
      </c>
    </row>
    <row r="381" spans="3:5" x14ac:dyDescent="0.35">
      <c r="C381">
        <f t="shared" si="6"/>
        <v>1901</v>
      </c>
      <c r="D381" s="7">
        <v>380</v>
      </c>
      <c r="E381">
        <v>37.482599999999998</v>
      </c>
    </row>
    <row r="382" spans="3:5" x14ac:dyDescent="0.35">
      <c r="C382">
        <f t="shared" si="6"/>
        <v>1901</v>
      </c>
      <c r="D382" s="7">
        <v>381</v>
      </c>
      <c r="E382">
        <v>37.349499999999999</v>
      </c>
    </row>
    <row r="383" spans="3:5" x14ac:dyDescent="0.35">
      <c r="C383">
        <f t="shared" si="6"/>
        <v>1901</v>
      </c>
      <c r="D383" s="7">
        <v>382</v>
      </c>
      <c r="E383">
        <v>37.198399999999999</v>
      </c>
    </row>
    <row r="384" spans="3:5" x14ac:dyDescent="0.35">
      <c r="C384">
        <f t="shared" si="6"/>
        <v>1901</v>
      </c>
      <c r="D384" s="7">
        <v>383</v>
      </c>
      <c r="E384">
        <v>36.209600000000002</v>
      </c>
    </row>
    <row r="385" spans="3:5" x14ac:dyDescent="0.35">
      <c r="C385">
        <f t="shared" si="6"/>
        <v>1901</v>
      </c>
      <c r="D385" s="7">
        <v>384</v>
      </c>
      <c r="E385">
        <v>35.771799999999999</v>
      </c>
    </row>
    <row r="386" spans="3:5" x14ac:dyDescent="0.35">
      <c r="C386">
        <f t="shared" si="6"/>
        <v>1901</v>
      </c>
      <c r="D386" s="7">
        <v>385</v>
      </c>
      <c r="E386">
        <v>35.434699999999999</v>
      </c>
    </row>
    <row r="387" spans="3:5" x14ac:dyDescent="0.35">
      <c r="C387">
        <f t="shared" ref="C387:C450" si="7">YEAR(D387)</f>
        <v>1901</v>
      </c>
      <c r="D387" s="7">
        <v>386</v>
      </c>
      <c r="E387">
        <v>34.685600000000001</v>
      </c>
    </row>
    <row r="388" spans="3:5" x14ac:dyDescent="0.35">
      <c r="C388">
        <f t="shared" si="7"/>
        <v>1901</v>
      </c>
      <c r="D388" s="7">
        <v>387</v>
      </c>
      <c r="E388">
        <v>33.336399999999998</v>
      </c>
    </row>
    <row r="389" spans="3:5" x14ac:dyDescent="0.35">
      <c r="C389">
        <f t="shared" si="7"/>
        <v>1901</v>
      </c>
      <c r="D389" s="7">
        <v>388</v>
      </c>
      <c r="E389">
        <v>32.607100000000003</v>
      </c>
    </row>
    <row r="390" spans="3:5" x14ac:dyDescent="0.35">
      <c r="C390">
        <f t="shared" si="7"/>
        <v>1901</v>
      </c>
      <c r="D390" s="7">
        <v>389</v>
      </c>
      <c r="E390">
        <v>32.3232</v>
      </c>
    </row>
    <row r="391" spans="3:5" x14ac:dyDescent="0.35">
      <c r="C391">
        <f t="shared" si="7"/>
        <v>1901</v>
      </c>
      <c r="D391" s="7">
        <v>390</v>
      </c>
      <c r="E391">
        <v>31.585100000000001</v>
      </c>
    </row>
    <row r="392" spans="3:5" x14ac:dyDescent="0.35">
      <c r="C392">
        <f t="shared" si="7"/>
        <v>1901</v>
      </c>
      <c r="D392" s="7">
        <v>391</v>
      </c>
      <c r="E392">
        <v>31.344200000000001</v>
      </c>
    </row>
    <row r="393" spans="3:5" x14ac:dyDescent="0.35">
      <c r="C393">
        <f t="shared" si="7"/>
        <v>1901</v>
      </c>
      <c r="D393" s="7">
        <v>392</v>
      </c>
      <c r="E393">
        <v>30.9831</v>
      </c>
    </row>
    <row r="394" spans="3:5" x14ac:dyDescent="0.35">
      <c r="C394">
        <f t="shared" si="7"/>
        <v>1901</v>
      </c>
      <c r="D394" s="7">
        <v>393</v>
      </c>
      <c r="E394">
        <v>30.8432</v>
      </c>
    </row>
    <row r="395" spans="3:5" x14ac:dyDescent="0.35">
      <c r="C395">
        <f t="shared" si="7"/>
        <v>1901</v>
      </c>
      <c r="D395" s="7">
        <v>394</v>
      </c>
      <c r="E395">
        <v>31.184899999999999</v>
      </c>
    </row>
    <row r="396" spans="3:5" x14ac:dyDescent="0.35">
      <c r="C396">
        <f t="shared" si="7"/>
        <v>1901</v>
      </c>
      <c r="D396" s="7">
        <v>395</v>
      </c>
      <c r="E396">
        <v>31.5547</v>
      </c>
    </row>
    <row r="397" spans="3:5" x14ac:dyDescent="0.35">
      <c r="C397">
        <f t="shared" si="7"/>
        <v>1901</v>
      </c>
      <c r="D397" s="7">
        <v>396</v>
      </c>
      <c r="E397">
        <v>31.383299999999998</v>
      </c>
    </row>
    <row r="398" spans="3:5" x14ac:dyDescent="0.35">
      <c r="C398">
        <f t="shared" si="7"/>
        <v>1901</v>
      </c>
      <c r="D398" s="7">
        <v>397</v>
      </c>
      <c r="E398">
        <v>30.903500000000001</v>
      </c>
    </row>
    <row r="399" spans="3:5" x14ac:dyDescent="0.35">
      <c r="C399">
        <f t="shared" si="7"/>
        <v>1901</v>
      </c>
      <c r="D399" s="7">
        <v>398</v>
      </c>
      <c r="E399">
        <v>30.290400000000002</v>
      </c>
    </row>
    <row r="400" spans="3:5" x14ac:dyDescent="0.35">
      <c r="C400">
        <f t="shared" si="7"/>
        <v>1901</v>
      </c>
      <c r="D400" s="7">
        <v>399</v>
      </c>
      <c r="E400">
        <v>29.166</v>
      </c>
    </row>
    <row r="401" spans="3:5" x14ac:dyDescent="0.35">
      <c r="C401">
        <f t="shared" si="7"/>
        <v>1901</v>
      </c>
      <c r="D401" s="7">
        <v>400</v>
      </c>
      <c r="E401">
        <v>28.839500000000001</v>
      </c>
    </row>
    <row r="402" spans="3:5" x14ac:dyDescent="0.35">
      <c r="C402">
        <f t="shared" si="7"/>
        <v>1901</v>
      </c>
      <c r="D402" s="7">
        <v>401</v>
      </c>
      <c r="E402">
        <v>26.5717</v>
      </c>
    </row>
    <row r="403" spans="3:5" x14ac:dyDescent="0.35">
      <c r="C403">
        <f t="shared" si="7"/>
        <v>1901</v>
      </c>
      <c r="D403" s="7">
        <v>402</v>
      </c>
      <c r="E403">
        <v>23.319800000000001</v>
      </c>
    </row>
    <row r="404" spans="3:5" x14ac:dyDescent="0.35">
      <c r="C404">
        <f t="shared" si="7"/>
        <v>1901</v>
      </c>
      <c r="D404" s="7">
        <v>403</v>
      </c>
      <c r="E404">
        <v>22.955400000000001</v>
      </c>
    </row>
    <row r="405" spans="3:5" x14ac:dyDescent="0.35">
      <c r="C405">
        <f t="shared" si="7"/>
        <v>1901</v>
      </c>
      <c r="D405" s="7">
        <v>404</v>
      </c>
      <c r="E405">
        <v>21.736599999999999</v>
      </c>
    </row>
    <row r="406" spans="3:5" x14ac:dyDescent="0.35">
      <c r="C406">
        <f t="shared" si="7"/>
        <v>1901</v>
      </c>
      <c r="D406" s="7">
        <v>405</v>
      </c>
      <c r="E406">
        <v>22.2209</v>
      </c>
    </row>
    <row r="407" spans="3:5" x14ac:dyDescent="0.35">
      <c r="C407">
        <f t="shared" si="7"/>
        <v>1901</v>
      </c>
      <c r="D407" s="7">
        <v>406</v>
      </c>
      <c r="E407">
        <v>22.203099999999999</v>
      </c>
    </row>
    <row r="408" spans="3:5" x14ac:dyDescent="0.35">
      <c r="C408">
        <f t="shared" si="7"/>
        <v>1901</v>
      </c>
      <c r="D408" s="7">
        <v>407</v>
      </c>
      <c r="E408">
        <v>22.0381</v>
      </c>
    </row>
    <row r="409" spans="3:5" x14ac:dyDescent="0.35">
      <c r="C409">
        <f t="shared" si="7"/>
        <v>1901</v>
      </c>
      <c r="D409" s="7">
        <v>408</v>
      </c>
      <c r="E409">
        <v>21.5091</v>
      </c>
    </row>
    <row r="410" spans="3:5" x14ac:dyDescent="0.35">
      <c r="C410">
        <f t="shared" si="7"/>
        <v>1901</v>
      </c>
      <c r="D410" s="7">
        <v>409</v>
      </c>
      <c r="E410">
        <v>21.527200000000001</v>
      </c>
    </row>
    <row r="411" spans="3:5" x14ac:dyDescent="0.35">
      <c r="C411">
        <f t="shared" si="7"/>
        <v>1901</v>
      </c>
      <c r="D411" s="7">
        <v>410</v>
      </c>
      <c r="E411">
        <v>20.265799999999999</v>
      </c>
    </row>
    <row r="412" spans="3:5" x14ac:dyDescent="0.35">
      <c r="C412">
        <f t="shared" si="7"/>
        <v>1901</v>
      </c>
      <c r="D412" s="7">
        <v>411</v>
      </c>
      <c r="E412">
        <v>19.693899999999999</v>
      </c>
    </row>
    <row r="413" spans="3:5" x14ac:dyDescent="0.35">
      <c r="C413">
        <f t="shared" si="7"/>
        <v>1901</v>
      </c>
      <c r="D413" s="7">
        <v>412</v>
      </c>
      <c r="E413">
        <v>19.6068</v>
      </c>
    </row>
    <row r="414" spans="3:5" x14ac:dyDescent="0.35">
      <c r="C414">
        <f t="shared" si="7"/>
        <v>1901</v>
      </c>
      <c r="D414" s="7">
        <v>413</v>
      </c>
      <c r="E414">
        <v>19.573399999999999</v>
      </c>
    </row>
    <row r="415" spans="3:5" x14ac:dyDescent="0.35">
      <c r="C415">
        <f t="shared" si="7"/>
        <v>1901</v>
      </c>
      <c r="D415" s="7">
        <v>414</v>
      </c>
      <c r="E415">
        <v>20.924900000000001</v>
      </c>
    </row>
    <row r="416" spans="3:5" x14ac:dyDescent="0.35">
      <c r="C416">
        <f t="shared" si="7"/>
        <v>1901</v>
      </c>
      <c r="D416" s="7">
        <v>415</v>
      </c>
      <c r="E416">
        <v>20.541599999999999</v>
      </c>
    </row>
    <row r="417" spans="3:5" x14ac:dyDescent="0.35">
      <c r="C417">
        <f t="shared" si="7"/>
        <v>1901</v>
      </c>
      <c r="D417" s="7">
        <v>416</v>
      </c>
      <c r="E417">
        <v>20.555599999999998</v>
      </c>
    </row>
    <row r="418" spans="3:5" x14ac:dyDescent="0.35">
      <c r="C418">
        <f t="shared" si="7"/>
        <v>1901</v>
      </c>
      <c r="D418" s="7">
        <v>417</v>
      </c>
      <c r="E418">
        <v>20.689599999999999</v>
      </c>
    </row>
    <row r="419" spans="3:5" x14ac:dyDescent="0.35">
      <c r="C419">
        <f t="shared" si="7"/>
        <v>1901</v>
      </c>
      <c r="D419" s="7">
        <v>418</v>
      </c>
      <c r="E419">
        <v>20.464300000000001</v>
      </c>
    </row>
    <row r="420" spans="3:5" x14ac:dyDescent="0.35">
      <c r="C420">
        <f t="shared" si="7"/>
        <v>1901</v>
      </c>
      <c r="D420" s="7">
        <v>419</v>
      </c>
      <c r="E420">
        <v>20.421700000000001</v>
      </c>
    </row>
    <row r="421" spans="3:5" x14ac:dyDescent="0.35">
      <c r="C421">
        <f t="shared" si="7"/>
        <v>1901</v>
      </c>
      <c r="D421" s="7">
        <v>420</v>
      </c>
      <c r="E421">
        <v>20.648900000000001</v>
      </c>
    </row>
    <row r="422" spans="3:5" x14ac:dyDescent="0.35">
      <c r="C422">
        <f t="shared" si="7"/>
        <v>1901</v>
      </c>
      <c r="D422" s="7">
        <v>421</v>
      </c>
      <c r="E422">
        <v>20.501100000000001</v>
      </c>
    </row>
    <row r="423" spans="3:5" x14ac:dyDescent="0.35">
      <c r="C423">
        <f t="shared" si="7"/>
        <v>1901</v>
      </c>
      <c r="D423" s="7">
        <v>422</v>
      </c>
      <c r="E423">
        <v>19.8856</v>
      </c>
    </row>
    <row r="424" spans="3:5" x14ac:dyDescent="0.35">
      <c r="C424">
        <f t="shared" si="7"/>
        <v>1901</v>
      </c>
      <c r="D424" s="7">
        <v>423</v>
      </c>
      <c r="E424">
        <v>21.446400000000001</v>
      </c>
    </row>
    <row r="425" spans="3:5" x14ac:dyDescent="0.35">
      <c r="C425">
        <f t="shared" si="7"/>
        <v>1901</v>
      </c>
      <c r="D425" s="7">
        <v>424</v>
      </c>
      <c r="E425">
        <v>21.673300000000001</v>
      </c>
    </row>
    <row r="426" spans="3:5" x14ac:dyDescent="0.35">
      <c r="C426">
        <f t="shared" si="7"/>
        <v>1901</v>
      </c>
      <c r="D426" s="7">
        <v>425</v>
      </c>
      <c r="E426">
        <v>21.703399999999998</v>
      </c>
    </row>
    <row r="427" spans="3:5" x14ac:dyDescent="0.35">
      <c r="C427">
        <f t="shared" si="7"/>
        <v>1901</v>
      </c>
      <c r="D427" s="7">
        <v>426</v>
      </c>
      <c r="E427">
        <v>22.8993</v>
      </c>
    </row>
    <row r="428" spans="3:5" x14ac:dyDescent="0.35">
      <c r="C428">
        <f t="shared" si="7"/>
        <v>1901</v>
      </c>
      <c r="D428" s="7">
        <v>427</v>
      </c>
      <c r="E428">
        <v>23.3032</v>
      </c>
    </row>
    <row r="429" spans="3:5" x14ac:dyDescent="0.35">
      <c r="C429">
        <f t="shared" si="7"/>
        <v>1901</v>
      </c>
      <c r="D429" s="7">
        <v>428</v>
      </c>
      <c r="E429">
        <v>23.122800000000002</v>
      </c>
    </row>
    <row r="430" spans="3:5" x14ac:dyDescent="0.35">
      <c r="C430">
        <f t="shared" si="7"/>
        <v>1901</v>
      </c>
      <c r="D430" s="7">
        <v>429</v>
      </c>
      <c r="E430">
        <v>23.6479</v>
      </c>
    </row>
    <row r="431" spans="3:5" x14ac:dyDescent="0.35">
      <c r="C431">
        <f t="shared" si="7"/>
        <v>1901</v>
      </c>
      <c r="D431" s="7">
        <v>430</v>
      </c>
      <c r="E431">
        <v>23.399699999999999</v>
      </c>
    </row>
    <row r="432" spans="3:5" x14ac:dyDescent="0.35">
      <c r="C432">
        <f t="shared" si="7"/>
        <v>1901</v>
      </c>
      <c r="D432" s="7">
        <v>431</v>
      </c>
      <c r="E432">
        <v>24.019500000000001</v>
      </c>
    </row>
    <row r="433" spans="3:5" x14ac:dyDescent="0.35">
      <c r="C433">
        <f t="shared" si="7"/>
        <v>1901</v>
      </c>
      <c r="D433" s="7">
        <v>432</v>
      </c>
      <c r="E433">
        <v>23.808</v>
      </c>
    </row>
    <row r="434" spans="3:5" x14ac:dyDescent="0.35">
      <c r="C434">
        <f t="shared" si="7"/>
        <v>1901</v>
      </c>
      <c r="D434" s="7">
        <v>433</v>
      </c>
      <c r="E434">
        <v>24.104500000000002</v>
      </c>
    </row>
    <row r="435" spans="3:5" x14ac:dyDescent="0.35">
      <c r="C435">
        <f t="shared" si="7"/>
        <v>1901</v>
      </c>
      <c r="D435" s="7">
        <v>434</v>
      </c>
      <c r="E435">
        <v>23.3659</v>
      </c>
    </row>
    <row r="436" spans="3:5" x14ac:dyDescent="0.35">
      <c r="C436">
        <f t="shared" si="7"/>
        <v>1901</v>
      </c>
      <c r="D436" s="7">
        <v>435</v>
      </c>
      <c r="E436">
        <v>23.441700000000001</v>
      </c>
    </row>
    <row r="437" spans="3:5" x14ac:dyDescent="0.35">
      <c r="C437">
        <f t="shared" si="7"/>
        <v>1901</v>
      </c>
      <c r="D437" s="7">
        <v>436</v>
      </c>
      <c r="E437">
        <v>24.119299999999999</v>
      </c>
    </row>
    <row r="438" spans="3:5" x14ac:dyDescent="0.35">
      <c r="C438">
        <f t="shared" si="7"/>
        <v>1901</v>
      </c>
      <c r="D438" s="7">
        <v>437</v>
      </c>
      <c r="E438">
        <v>23.3856</v>
      </c>
    </row>
    <row r="439" spans="3:5" x14ac:dyDescent="0.35">
      <c r="C439">
        <f t="shared" si="7"/>
        <v>1901</v>
      </c>
      <c r="D439" s="7">
        <v>438</v>
      </c>
      <c r="E439">
        <v>24.707100000000001</v>
      </c>
    </row>
    <row r="440" spans="3:5" x14ac:dyDescent="0.35">
      <c r="C440">
        <f t="shared" si="7"/>
        <v>1901</v>
      </c>
      <c r="D440" s="7">
        <v>439</v>
      </c>
      <c r="E440">
        <v>24.844100000000001</v>
      </c>
    </row>
    <row r="441" spans="3:5" x14ac:dyDescent="0.35">
      <c r="C441">
        <f t="shared" si="7"/>
        <v>1901</v>
      </c>
      <c r="D441" s="7">
        <v>440</v>
      </c>
      <c r="E441">
        <v>24.542000000000002</v>
      </c>
    </row>
    <row r="442" spans="3:5" x14ac:dyDescent="0.35">
      <c r="C442">
        <f t="shared" si="7"/>
        <v>1901</v>
      </c>
      <c r="D442" s="7">
        <v>441</v>
      </c>
      <c r="E442">
        <v>24.131</v>
      </c>
    </row>
    <row r="443" spans="3:5" x14ac:dyDescent="0.35">
      <c r="C443">
        <f t="shared" si="7"/>
        <v>1901</v>
      </c>
      <c r="D443" s="7">
        <v>442</v>
      </c>
      <c r="E443">
        <v>23.250599999999999</v>
      </c>
    </row>
    <row r="444" spans="3:5" x14ac:dyDescent="0.35">
      <c r="C444">
        <f t="shared" si="7"/>
        <v>1901</v>
      </c>
      <c r="D444" s="7">
        <v>443</v>
      </c>
      <c r="E444">
        <v>23.101600000000001</v>
      </c>
    </row>
    <row r="445" spans="3:5" x14ac:dyDescent="0.35">
      <c r="C445">
        <f t="shared" si="7"/>
        <v>1901</v>
      </c>
      <c r="D445" s="7">
        <v>444</v>
      </c>
      <c r="E445">
        <v>22.785299999999999</v>
      </c>
    </row>
    <row r="446" spans="3:5" x14ac:dyDescent="0.35">
      <c r="C446">
        <f t="shared" si="7"/>
        <v>1901</v>
      </c>
      <c r="D446" s="7">
        <v>445</v>
      </c>
      <c r="E446">
        <v>23.541399999999999</v>
      </c>
    </row>
    <row r="447" spans="3:5" x14ac:dyDescent="0.35">
      <c r="C447">
        <f t="shared" si="7"/>
        <v>1901</v>
      </c>
      <c r="D447" s="7">
        <v>446</v>
      </c>
      <c r="E447">
        <v>22.787700000000001</v>
      </c>
    </row>
    <row r="448" spans="3:5" x14ac:dyDescent="0.35">
      <c r="C448">
        <f t="shared" si="7"/>
        <v>1901</v>
      </c>
      <c r="D448" s="7">
        <v>447</v>
      </c>
      <c r="E448">
        <v>23.384599999999999</v>
      </c>
    </row>
    <row r="449" spans="3:5" x14ac:dyDescent="0.35">
      <c r="C449">
        <f t="shared" si="7"/>
        <v>1901</v>
      </c>
      <c r="D449" s="7">
        <v>448</v>
      </c>
      <c r="E449">
        <v>23.111000000000001</v>
      </c>
    </row>
    <row r="450" spans="3:5" x14ac:dyDescent="0.35">
      <c r="C450">
        <f t="shared" si="7"/>
        <v>1901</v>
      </c>
      <c r="D450" s="7">
        <v>449</v>
      </c>
      <c r="E450">
        <v>23.3933</v>
      </c>
    </row>
    <row r="451" spans="3:5" x14ac:dyDescent="0.35">
      <c r="C451">
        <f t="shared" ref="C451:C514" si="8">YEAR(D451)</f>
        <v>1901</v>
      </c>
      <c r="D451" s="7">
        <v>450</v>
      </c>
      <c r="E451">
        <v>22.972899999999999</v>
      </c>
    </row>
    <row r="452" spans="3:5" x14ac:dyDescent="0.35">
      <c r="C452">
        <f t="shared" si="8"/>
        <v>1901</v>
      </c>
      <c r="D452" s="7">
        <v>451</v>
      </c>
      <c r="E452">
        <v>22.8002</v>
      </c>
    </row>
    <row r="453" spans="3:5" x14ac:dyDescent="0.35">
      <c r="C453">
        <f t="shared" si="8"/>
        <v>1901</v>
      </c>
      <c r="D453" s="7">
        <v>452</v>
      </c>
      <c r="E453">
        <v>22.561299999999999</v>
      </c>
    </row>
    <row r="454" spans="3:5" x14ac:dyDescent="0.35">
      <c r="C454">
        <f t="shared" si="8"/>
        <v>1901</v>
      </c>
      <c r="D454" s="7">
        <v>453</v>
      </c>
      <c r="E454">
        <v>22.323499999999999</v>
      </c>
    </row>
    <row r="455" spans="3:5" x14ac:dyDescent="0.35">
      <c r="C455">
        <f t="shared" si="8"/>
        <v>1901</v>
      </c>
      <c r="D455" s="7">
        <v>454</v>
      </c>
      <c r="E455">
        <v>22.3916</v>
      </c>
    </row>
    <row r="456" spans="3:5" x14ac:dyDescent="0.35">
      <c r="C456">
        <f t="shared" si="8"/>
        <v>1901</v>
      </c>
      <c r="D456" s="7">
        <v>455</v>
      </c>
      <c r="E456">
        <v>22.623799999999999</v>
      </c>
    </row>
    <row r="457" spans="3:5" x14ac:dyDescent="0.35">
      <c r="C457">
        <f t="shared" si="8"/>
        <v>1901</v>
      </c>
      <c r="D457" s="7">
        <v>456</v>
      </c>
      <c r="E457">
        <v>22.553799999999999</v>
      </c>
    </row>
    <row r="458" spans="3:5" x14ac:dyDescent="0.35">
      <c r="C458">
        <f t="shared" si="8"/>
        <v>1901</v>
      </c>
      <c r="D458" s="7">
        <v>457</v>
      </c>
      <c r="E458">
        <v>22.4894</v>
      </c>
    </row>
    <row r="459" spans="3:5" x14ac:dyDescent="0.35">
      <c r="C459">
        <f t="shared" si="8"/>
        <v>1901</v>
      </c>
      <c r="D459" s="7">
        <v>458</v>
      </c>
      <c r="E459">
        <v>22.102799999999998</v>
      </c>
    </row>
    <row r="460" spans="3:5" x14ac:dyDescent="0.35">
      <c r="C460">
        <f t="shared" si="8"/>
        <v>1901</v>
      </c>
      <c r="D460" s="7">
        <v>459</v>
      </c>
      <c r="E460">
        <v>22.833300000000001</v>
      </c>
    </row>
    <row r="461" spans="3:5" x14ac:dyDescent="0.35">
      <c r="C461">
        <f t="shared" si="8"/>
        <v>1901</v>
      </c>
      <c r="D461" s="7">
        <v>460</v>
      </c>
      <c r="E461">
        <v>23.3401</v>
      </c>
    </row>
    <row r="462" spans="3:5" x14ac:dyDescent="0.35">
      <c r="C462">
        <f t="shared" si="8"/>
        <v>1901</v>
      </c>
      <c r="D462" s="7">
        <v>461</v>
      </c>
      <c r="E462">
        <v>22.9663</v>
      </c>
    </row>
    <row r="463" spans="3:5" x14ac:dyDescent="0.35">
      <c r="C463">
        <f t="shared" si="8"/>
        <v>1901</v>
      </c>
      <c r="D463" s="7">
        <v>462</v>
      </c>
      <c r="E463">
        <v>22.175799999999999</v>
      </c>
    </row>
    <row r="464" spans="3:5" x14ac:dyDescent="0.35">
      <c r="C464">
        <f t="shared" si="8"/>
        <v>1901</v>
      </c>
      <c r="D464" s="7">
        <v>463</v>
      </c>
      <c r="E464">
        <v>21.73</v>
      </c>
    </row>
    <row r="465" spans="3:5" x14ac:dyDescent="0.35">
      <c r="C465">
        <f t="shared" si="8"/>
        <v>1901</v>
      </c>
      <c r="D465" s="7">
        <v>464</v>
      </c>
      <c r="E465">
        <v>21.6205</v>
      </c>
    </row>
    <row r="466" spans="3:5" x14ac:dyDescent="0.35">
      <c r="C466">
        <f t="shared" si="8"/>
        <v>1901</v>
      </c>
      <c r="D466" s="7">
        <v>465</v>
      </c>
      <c r="E466">
        <v>21.8123</v>
      </c>
    </row>
    <row r="467" spans="3:5" x14ac:dyDescent="0.35">
      <c r="C467">
        <f t="shared" si="8"/>
        <v>1901</v>
      </c>
      <c r="D467" s="7">
        <v>466</v>
      </c>
      <c r="E467">
        <v>21.2621</v>
      </c>
    </row>
    <row r="468" spans="3:5" x14ac:dyDescent="0.35">
      <c r="C468">
        <f t="shared" si="8"/>
        <v>1901</v>
      </c>
      <c r="D468" s="7">
        <v>467</v>
      </c>
      <c r="E468">
        <v>21.010200000000001</v>
      </c>
    </row>
    <row r="469" spans="3:5" x14ac:dyDescent="0.35">
      <c r="C469">
        <f t="shared" si="8"/>
        <v>1901</v>
      </c>
      <c r="D469" s="7">
        <v>468</v>
      </c>
      <c r="E469">
        <v>21.1829</v>
      </c>
    </row>
    <row r="470" spans="3:5" x14ac:dyDescent="0.35">
      <c r="C470">
        <f t="shared" si="8"/>
        <v>1901</v>
      </c>
      <c r="D470" s="7">
        <v>469</v>
      </c>
      <c r="E470">
        <v>20.765799999999999</v>
      </c>
    </row>
    <row r="471" spans="3:5" x14ac:dyDescent="0.35">
      <c r="C471">
        <f t="shared" si="8"/>
        <v>1901</v>
      </c>
      <c r="D471" s="7">
        <v>470</v>
      </c>
      <c r="E471">
        <v>20.6173</v>
      </c>
    </row>
    <row r="472" spans="3:5" x14ac:dyDescent="0.35">
      <c r="C472">
        <f t="shared" si="8"/>
        <v>1901</v>
      </c>
      <c r="D472" s="7">
        <v>471</v>
      </c>
      <c r="E472">
        <v>21.5776</v>
      </c>
    </row>
    <row r="473" spans="3:5" x14ac:dyDescent="0.35">
      <c r="C473">
        <f t="shared" si="8"/>
        <v>1901</v>
      </c>
      <c r="D473" s="7">
        <v>472</v>
      </c>
      <c r="E473">
        <v>22.0077</v>
      </c>
    </row>
    <row r="474" spans="3:5" x14ac:dyDescent="0.35">
      <c r="C474">
        <f t="shared" si="8"/>
        <v>1901</v>
      </c>
      <c r="D474" s="7">
        <v>473</v>
      </c>
      <c r="E474">
        <v>22.0503</v>
      </c>
    </row>
    <row r="475" spans="3:5" x14ac:dyDescent="0.35">
      <c r="C475">
        <f t="shared" si="8"/>
        <v>1901</v>
      </c>
      <c r="D475" s="7">
        <v>474</v>
      </c>
      <c r="E475">
        <v>22.538599999999999</v>
      </c>
    </row>
    <row r="476" spans="3:5" x14ac:dyDescent="0.35">
      <c r="C476">
        <f t="shared" si="8"/>
        <v>1901</v>
      </c>
      <c r="D476" s="7">
        <v>475</v>
      </c>
      <c r="E476">
        <v>21.837700000000002</v>
      </c>
    </row>
    <row r="477" spans="3:5" x14ac:dyDescent="0.35">
      <c r="C477">
        <f t="shared" si="8"/>
        <v>1901</v>
      </c>
      <c r="D477" s="7">
        <v>476</v>
      </c>
      <c r="E477">
        <v>21.1859</v>
      </c>
    </row>
    <row r="478" spans="3:5" x14ac:dyDescent="0.35">
      <c r="C478">
        <f t="shared" si="8"/>
        <v>1901</v>
      </c>
      <c r="D478" s="7">
        <v>477</v>
      </c>
      <c r="E478">
        <v>20.528600000000001</v>
      </c>
    </row>
    <row r="479" spans="3:5" x14ac:dyDescent="0.35">
      <c r="C479">
        <f t="shared" si="8"/>
        <v>1901</v>
      </c>
      <c r="D479" s="7">
        <v>478</v>
      </c>
      <c r="E479">
        <v>20.349299999999999</v>
      </c>
    </row>
    <row r="480" spans="3:5" x14ac:dyDescent="0.35">
      <c r="C480">
        <f t="shared" si="8"/>
        <v>1901</v>
      </c>
      <c r="D480" s="7">
        <v>479</v>
      </c>
      <c r="E480">
        <v>19.839200000000002</v>
      </c>
    </row>
    <row r="481" spans="3:5" x14ac:dyDescent="0.35">
      <c r="C481">
        <f t="shared" si="8"/>
        <v>1901</v>
      </c>
      <c r="D481" s="7">
        <v>480</v>
      </c>
      <c r="E481">
        <v>19.8111</v>
      </c>
    </row>
    <row r="482" spans="3:5" x14ac:dyDescent="0.35">
      <c r="C482">
        <f t="shared" si="8"/>
        <v>1901</v>
      </c>
      <c r="D482" s="7">
        <v>481</v>
      </c>
      <c r="E482">
        <v>19.546800000000001</v>
      </c>
    </row>
    <row r="483" spans="3:5" x14ac:dyDescent="0.35">
      <c r="C483">
        <f t="shared" si="8"/>
        <v>1901</v>
      </c>
      <c r="D483" s="7">
        <v>482</v>
      </c>
      <c r="E483">
        <v>19.850300000000001</v>
      </c>
    </row>
    <row r="484" spans="3:5" x14ac:dyDescent="0.35">
      <c r="C484">
        <f t="shared" si="8"/>
        <v>1901</v>
      </c>
      <c r="D484" s="7">
        <v>483</v>
      </c>
      <c r="E484">
        <v>20.241700000000002</v>
      </c>
    </row>
    <row r="485" spans="3:5" x14ac:dyDescent="0.35">
      <c r="C485">
        <f t="shared" si="8"/>
        <v>1901</v>
      </c>
      <c r="D485" s="7">
        <v>484</v>
      </c>
      <c r="E485">
        <v>20.008099999999999</v>
      </c>
    </row>
    <row r="486" spans="3:5" x14ac:dyDescent="0.35">
      <c r="C486">
        <f t="shared" si="8"/>
        <v>1901</v>
      </c>
      <c r="D486" s="7">
        <v>485</v>
      </c>
      <c r="E486">
        <v>20.39</v>
      </c>
    </row>
    <row r="487" spans="3:5" x14ac:dyDescent="0.35">
      <c r="C487">
        <f t="shared" si="8"/>
        <v>1901</v>
      </c>
      <c r="D487" s="7">
        <v>486</v>
      </c>
      <c r="E487">
        <v>20.074300000000001</v>
      </c>
    </row>
    <row r="488" spans="3:5" x14ac:dyDescent="0.35">
      <c r="C488">
        <f t="shared" si="8"/>
        <v>1901</v>
      </c>
      <c r="D488" s="7">
        <v>487</v>
      </c>
      <c r="E488">
        <v>19.997199999999999</v>
      </c>
    </row>
    <row r="489" spans="3:5" x14ac:dyDescent="0.35">
      <c r="C489">
        <f t="shared" si="8"/>
        <v>1901</v>
      </c>
      <c r="D489" s="7">
        <v>488</v>
      </c>
      <c r="E489">
        <v>19.8034</v>
      </c>
    </row>
    <row r="490" spans="3:5" x14ac:dyDescent="0.35">
      <c r="C490">
        <f t="shared" si="8"/>
        <v>1901</v>
      </c>
      <c r="D490" s="7">
        <v>489</v>
      </c>
      <c r="E490">
        <v>19.654800000000002</v>
      </c>
    </row>
    <row r="491" spans="3:5" x14ac:dyDescent="0.35">
      <c r="C491">
        <f t="shared" si="8"/>
        <v>1901</v>
      </c>
      <c r="D491" s="7">
        <v>490</v>
      </c>
      <c r="E491">
        <v>19.782699999999998</v>
      </c>
    </row>
    <row r="492" spans="3:5" x14ac:dyDescent="0.35">
      <c r="C492">
        <f t="shared" si="8"/>
        <v>1901</v>
      </c>
      <c r="D492" s="7">
        <v>491</v>
      </c>
      <c r="E492">
        <v>19.7303</v>
      </c>
    </row>
    <row r="493" spans="3:5" x14ac:dyDescent="0.35">
      <c r="C493">
        <f t="shared" si="8"/>
        <v>1901</v>
      </c>
      <c r="D493" s="7">
        <v>492</v>
      </c>
      <c r="E493">
        <v>19.430499999999999</v>
      </c>
    </row>
    <row r="494" spans="3:5" x14ac:dyDescent="0.35">
      <c r="C494">
        <f t="shared" si="8"/>
        <v>1901</v>
      </c>
      <c r="D494" s="7">
        <v>493</v>
      </c>
      <c r="E494">
        <v>19.967700000000001</v>
      </c>
    </row>
    <row r="495" spans="3:5" x14ac:dyDescent="0.35">
      <c r="C495">
        <f t="shared" si="8"/>
        <v>1901</v>
      </c>
      <c r="D495" s="7">
        <v>494</v>
      </c>
      <c r="E495">
        <v>20.234200000000001</v>
      </c>
    </row>
    <row r="496" spans="3:5" x14ac:dyDescent="0.35">
      <c r="C496">
        <f t="shared" si="8"/>
        <v>1901</v>
      </c>
      <c r="D496" s="7">
        <v>495</v>
      </c>
      <c r="E496">
        <v>19.808700000000002</v>
      </c>
    </row>
    <row r="497" spans="3:5" x14ac:dyDescent="0.35">
      <c r="C497">
        <f t="shared" si="8"/>
        <v>1901</v>
      </c>
      <c r="D497" s="7">
        <v>496</v>
      </c>
      <c r="E497">
        <v>19.909700000000001</v>
      </c>
    </row>
    <row r="498" spans="3:5" x14ac:dyDescent="0.35">
      <c r="C498">
        <f t="shared" si="8"/>
        <v>1901</v>
      </c>
      <c r="D498" s="7">
        <v>497</v>
      </c>
      <c r="E498">
        <v>19.783300000000001</v>
      </c>
    </row>
    <row r="499" spans="3:5" x14ac:dyDescent="0.35">
      <c r="C499">
        <f t="shared" si="8"/>
        <v>1901</v>
      </c>
      <c r="D499" s="7">
        <v>498</v>
      </c>
      <c r="E499">
        <v>19.8139</v>
      </c>
    </row>
    <row r="500" spans="3:5" x14ac:dyDescent="0.35">
      <c r="C500">
        <f t="shared" si="8"/>
        <v>1901</v>
      </c>
      <c r="D500" s="7">
        <v>499</v>
      </c>
      <c r="E500">
        <v>19.823599999999999</v>
      </c>
    </row>
    <row r="501" spans="3:5" x14ac:dyDescent="0.35">
      <c r="C501">
        <f t="shared" si="8"/>
        <v>1901</v>
      </c>
      <c r="D501" s="7">
        <v>500</v>
      </c>
      <c r="E501">
        <v>19.750399999999999</v>
      </c>
    </row>
    <row r="502" spans="3:5" x14ac:dyDescent="0.35">
      <c r="C502">
        <f t="shared" si="8"/>
        <v>1901</v>
      </c>
      <c r="D502" s="7">
        <v>501</v>
      </c>
      <c r="E502">
        <v>19.707699999999999</v>
      </c>
    </row>
    <row r="503" spans="3:5" x14ac:dyDescent="0.35">
      <c r="C503">
        <f t="shared" si="8"/>
        <v>1901</v>
      </c>
      <c r="D503" s="7">
        <v>502</v>
      </c>
      <c r="E503">
        <v>19.596699999999998</v>
      </c>
    </row>
    <row r="504" spans="3:5" x14ac:dyDescent="0.35">
      <c r="C504">
        <f t="shared" si="8"/>
        <v>1901</v>
      </c>
      <c r="D504" s="7">
        <v>503</v>
      </c>
      <c r="E504">
        <v>19.208600000000001</v>
      </c>
    </row>
    <row r="505" spans="3:5" x14ac:dyDescent="0.35">
      <c r="C505">
        <f t="shared" si="8"/>
        <v>1901</v>
      </c>
      <c r="D505" s="7">
        <v>504</v>
      </c>
      <c r="E505">
        <v>19.795000000000002</v>
      </c>
    </row>
    <row r="506" spans="3:5" x14ac:dyDescent="0.35">
      <c r="C506">
        <f t="shared" si="8"/>
        <v>1901</v>
      </c>
      <c r="D506" s="7">
        <v>505</v>
      </c>
      <c r="E506">
        <v>19.27</v>
      </c>
    </row>
    <row r="507" spans="3:5" x14ac:dyDescent="0.35">
      <c r="C507">
        <f t="shared" si="8"/>
        <v>1901</v>
      </c>
      <c r="D507" s="7">
        <v>506</v>
      </c>
      <c r="E507">
        <v>18.761800000000001</v>
      </c>
    </row>
    <row r="508" spans="3:5" x14ac:dyDescent="0.35">
      <c r="C508">
        <f t="shared" si="8"/>
        <v>1901</v>
      </c>
      <c r="D508" s="7">
        <v>507</v>
      </c>
      <c r="E508">
        <v>18.344899999999999</v>
      </c>
    </row>
    <row r="509" spans="3:5" x14ac:dyDescent="0.35">
      <c r="C509">
        <f t="shared" si="8"/>
        <v>1901</v>
      </c>
      <c r="D509" s="7">
        <v>508</v>
      </c>
      <c r="E509">
        <v>17.9039</v>
      </c>
    </row>
    <row r="510" spans="3:5" x14ac:dyDescent="0.35">
      <c r="C510">
        <f t="shared" si="8"/>
        <v>1901</v>
      </c>
      <c r="D510" s="7">
        <v>509</v>
      </c>
      <c r="E510">
        <v>18.021899999999999</v>
      </c>
    </row>
    <row r="511" spans="3:5" x14ac:dyDescent="0.35">
      <c r="C511">
        <f t="shared" si="8"/>
        <v>1901</v>
      </c>
      <c r="D511" s="7">
        <v>510</v>
      </c>
      <c r="E511">
        <v>18.198699999999999</v>
      </c>
    </row>
    <row r="512" spans="3:5" x14ac:dyDescent="0.35">
      <c r="C512">
        <f t="shared" si="8"/>
        <v>1901</v>
      </c>
      <c r="D512" s="7">
        <v>511</v>
      </c>
      <c r="E512">
        <v>18.784500000000001</v>
      </c>
    </row>
    <row r="513" spans="3:5" x14ac:dyDescent="0.35">
      <c r="C513">
        <f t="shared" si="8"/>
        <v>1901</v>
      </c>
      <c r="D513" s="7">
        <v>512</v>
      </c>
      <c r="E513">
        <v>18.454000000000001</v>
      </c>
    </row>
    <row r="514" spans="3:5" x14ac:dyDescent="0.35">
      <c r="C514">
        <f t="shared" si="8"/>
        <v>1901</v>
      </c>
      <c r="D514" s="7">
        <v>513</v>
      </c>
      <c r="E514">
        <v>18.813500000000001</v>
      </c>
    </row>
    <row r="515" spans="3:5" x14ac:dyDescent="0.35">
      <c r="C515">
        <f t="shared" ref="C515:C578" si="9">YEAR(D515)</f>
        <v>1901</v>
      </c>
      <c r="D515" s="7">
        <v>514</v>
      </c>
      <c r="E515">
        <v>19.311699999999998</v>
      </c>
    </row>
    <row r="516" spans="3:5" x14ac:dyDescent="0.35">
      <c r="C516">
        <f t="shared" si="9"/>
        <v>1901</v>
      </c>
      <c r="D516" s="7">
        <v>515</v>
      </c>
      <c r="E516">
        <v>19.388100000000001</v>
      </c>
    </row>
    <row r="517" spans="3:5" x14ac:dyDescent="0.35">
      <c r="C517">
        <f t="shared" si="9"/>
        <v>1901</v>
      </c>
      <c r="D517" s="7">
        <v>516</v>
      </c>
      <c r="E517">
        <v>19.501799999999999</v>
      </c>
    </row>
    <row r="518" spans="3:5" x14ac:dyDescent="0.35">
      <c r="C518">
        <f t="shared" si="9"/>
        <v>1901</v>
      </c>
      <c r="D518" s="7">
        <v>517</v>
      </c>
      <c r="E518">
        <v>19.975200000000001</v>
      </c>
    </row>
    <row r="519" spans="3:5" x14ac:dyDescent="0.35">
      <c r="C519">
        <f t="shared" si="9"/>
        <v>1901</v>
      </c>
      <c r="D519" s="7">
        <v>518</v>
      </c>
      <c r="E519">
        <v>19.7758</v>
      </c>
    </row>
    <row r="520" spans="3:5" x14ac:dyDescent="0.35">
      <c r="C520">
        <f t="shared" si="9"/>
        <v>1901</v>
      </c>
      <c r="D520" s="7">
        <v>519</v>
      </c>
      <c r="E520">
        <v>19.243300000000001</v>
      </c>
    </row>
    <row r="521" spans="3:5" x14ac:dyDescent="0.35">
      <c r="C521">
        <f t="shared" si="9"/>
        <v>1901</v>
      </c>
      <c r="D521" s="7">
        <v>520</v>
      </c>
      <c r="E521">
        <v>20.144200000000001</v>
      </c>
    </row>
    <row r="522" spans="3:5" x14ac:dyDescent="0.35">
      <c r="C522">
        <f t="shared" si="9"/>
        <v>1901</v>
      </c>
      <c r="D522" s="7">
        <v>521</v>
      </c>
      <c r="E522">
        <v>20.300699999999999</v>
      </c>
    </row>
    <row r="523" spans="3:5" x14ac:dyDescent="0.35">
      <c r="C523">
        <f t="shared" si="9"/>
        <v>1901</v>
      </c>
      <c r="D523" s="7">
        <v>522</v>
      </c>
      <c r="E523">
        <v>20.889500000000002</v>
      </c>
    </row>
    <row r="524" spans="3:5" x14ac:dyDescent="0.35">
      <c r="C524">
        <f t="shared" si="9"/>
        <v>1901</v>
      </c>
      <c r="D524" s="7">
        <v>523</v>
      </c>
      <c r="E524">
        <v>20.4773</v>
      </c>
    </row>
    <row r="525" spans="3:5" x14ac:dyDescent="0.35">
      <c r="C525">
        <f t="shared" si="9"/>
        <v>1901</v>
      </c>
      <c r="D525" s="7">
        <v>524</v>
      </c>
      <c r="E525">
        <v>21.811299999999999</v>
      </c>
    </row>
    <row r="526" spans="3:5" x14ac:dyDescent="0.35">
      <c r="C526">
        <f t="shared" si="9"/>
        <v>1901</v>
      </c>
      <c r="D526" s="7">
        <v>525</v>
      </c>
      <c r="E526">
        <v>23.164100000000001</v>
      </c>
    </row>
    <row r="527" spans="3:5" x14ac:dyDescent="0.35">
      <c r="C527">
        <f t="shared" si="9"/>
        <v>1901</v>
      </c>
      <c r="D527" s="7">
        <v>526</v>
      </c>
      <c r="E527">
        <v>23.9209</v>
      </c>
    </row>
    <row r="528" spans="3:5" x14ac:dyDescent="0.35">
      <c r="C528">
        <f t="shared" si="9"/>
        <v>1901</v>
      </c>
      <c r="D528" s="7">
        <v>527</v>
      </c>
      <c r="E528">
        <v>24.907900000000001</v>
      </c>
    </row>
    <row r="529" spans="3:5" x14ac:dyDescent="0.35">
      <c r="C529">
        <f t="shared" si="9"/>
        <v>1901</v>
      </c>
      <c r="D529" s="7">
        <v>528</v>
      </c>
      <c r="E529">
        <v>24.2425</v>
      </c>
    </row>
    <row r="530" spans="3:5" x14ac:dyDescent="0.35">
      <c r="C530">
        <f t="shared" si="9"/>
        <v>1901</v>
      </c>
      <c r="D530" s="7">
        <v>529</v>
      </c>
      <c r="E530">
        <v>24.802900000000001</v>
      </c>
    </row>
    <row r="531" spans="3:5" x14ac:dyDescent="0.35">
      <c r="C531">
        <f t="shared" si="9"/>
        <v>1901</v>
      </c>
      <c r="D531" s="7">
        <v>530</v>
      </c>
      <c r="E531">
        <v>23.632300000000001</v>
      </c>
    </row>
    <row r="532" spans="3:5" x14ac:dyDescent="0.35">
      <c r="C532">
        <f t="shared" si="9"/>
        <v>1901</v>
      </c>
      <c r="D532" s="7">
        <v>531</v>
      </c>
      <c r="E532">
        <v>23.658899999999999</v>
      </c>
    </row>
    <row r="533" spans="3:5" x14ac:dyDescent="0.35">
      <c r="C533">
        <f t="shared" si="9"/>
        <v>1901</v>
      </c>
      <c r="D533" s="7">
        <v>532</v>
      </c>
      <c r="E533">
        <v>24.366700000000002</v>
      </c>
    </row>
    <row r="534" spans="3:5" x14ac:dyDescent="0.35">
      <c r="C534">
        <f t="shared" si="9"/>
        <v>1901</v>
      </c>
      <c r="D534" s="7">
        <v>533</v>
      </c>
      <c r="E534">
        <v>23.906600000000001</v>
      </c>
    </row>
    <row r="535" spans="3:5" x14ac:dyDescent="0.35">
      <c r="C535">
        <f t="shared" si="9"/>
        <v>1901</v>
      </c>
      <c r="D535" s="7">
        <v>534</v>
      </c>
      <c r="E535">
        <v>24.111799999999999</v>
      </c>
    </row>
    <row r="536" spans="3:5" x14ac:dyDescent="0.35">
      <c r="C536">
        <f t="shared" si="9"/>
        <v>1901</v>
      </c>
      <c r="D536" s="7">
        <v>535</v>
      </c>
      <c r="E536">
        <v>23.987300000000001</v>
      </c>
    </row>
    <row r="537" spans="3:5" x14ac:dyDescent="0.35">
      <c r="C537">
        <f t="shared" si="9"/>
        <v>1901</v>
      </c>
      <c r="D537" s="7">
        <v>536</v>
      </c>
      <c r="E537">
        <v>24.585100000000001</v>
      </c>
    </row>
    <row r="538" spans="3:5" x14ac:dyDescent="0.35">
      <c r="C538">
        <f t="shared" si="9"/>
        <v>1901</v>
      </c>
      <c r="D538" s="7">
        <v>537</v>
      </c>
      <c r="E538">
        <v>25.427900000000001</v>
      </c>
    </row>
    <row r="539" spans="3:5" x14ac:dyDescent="0.35">
      <c r="C539">
        <f t="shared" si="9"/>
        <v>1901</v>
      </c>
      <c r="D539" s="7">
        <v>538</v>
      </c>
      <c r="E539">
        <v>24.349</v>
      </c>
    </row>
    <row r="540" spans="3:5" x14ac:dyDescent="0.35">
      <c r="C540">
        <f t="shared" si="9"/>
        <v>1901</v>
      </c>
      <c r="D540" s="7">
        <v>539</v>
      </c>
      <c r="E540">
        <v>23.4649</v>
      </c>
    </row>
    <row r="541" spans="3:5" x14ac:dyDescent="0.35">
      <c r="C541">
        <f t="shared" si="9"/>
        <v>1901</v>
      </c>
      <c r="D541" s="7">
        <v>540</v>
      </c>
      <c r="E541">
        <v>23.6005</v>
      </c>
    </row>
    <row r="542" spans="3:5" x14ac:dyDescent="0.35">
      <c r="C542">
        <f t="shared" si="9"/>
        <v>1901</v>
      </c>
      <c r="D542" s="7">
        <v>541</v>
      </c>
      <c r="E542">
        <v>22.247499999999999</v>
      </c>
    </row>
    <row r="543" spans="3:5" x14ac:dyDescent="0.35">
      <c r="C543">
        <f t="shared" si="9"/>
        <v>1901</v>
      </c>
      <c r="D543" s="7">
        <v>542</v>
      </c>
      <c r="E543">
        <v>22.5642</v>
      </c>
    </row>
    <row r="544" spans="3:5" x14ac:dyDescent="0.35">
      <c r="C544">
        <f t="shared" si="9"/>
        <v>1901</v>
      </c>
      <c r="D544" s="7">
        <v>543</v>
      </c>
      <c r="E544">
        <v>24.035900000000002</v>
      </c>
    </row>
    <row r="545" spans="3:5" x14ac:dyDescent="0.35">
      <c r="C545">
        <f t="shared" si="9"/>
        <v>1901</v>
      </c>
      <c r="D545" s="7">
        <v>544</v>
      </c>
      <c r="E545">
        <v>23.6372</v>
      </c>
    </row>
    <row r="546" spans="3:5" x14ac:dyDescent="0.35">
      <c r="C546">
        <f t="shared" si="9"/>
        <v>1901</v>
      </c>
      <c r="D546" s="7">
        <v>545</v>
      </c>
      <c r="E546">
        <v>23.6721</v>
      </c>
    </row>
    <row r="547" spans="3:5" x14ac:dyDescent="0.35">
      <c r="C547">
        <f t="shared" si="9"/>
        <v>1901</v>
      </c>
      <c r="D547" s="7">
        <v>546</v>
      </c>
      <c r="E547">
        <v>22.921800000000001</v>
      </c>
    </row>
    <row r="548" spans="3:5" x14ac:dyDescent="0.35">
      <c r="C548">
        <f t="shared" si="9"/>
        <v>1901</v>
      </c>
      <c r="D548" s="7">
        <v>547</v>
      </c>
      <c r="E548">
        <v>23.2163</v>
      </c>
    </row>
    <row r="549" spans="3:5" x14ac:dyDescent="0.35">
      <c r="C549">
        <f t="shared" si="9"/>
        <v>1901</v>
      </c>
      <c r="D549" s="7">
        <v>548</v>
      </c>
      <c r="E549">
        <v>22.962599999999998</v>
      </c>
    </row>
    <row r="550" spans="3:5" x14ac:dyDescent="0.35">
      <c r="C550">
        <f t="shared" si="9"/>
        <v>1901</v>
      </c>
      <c r="D550" s="7">
        <v>549</v>
      </c>
      <c r="E550">
        <v>22.729299999999999</v>
      </c>
    </row>
    <row r="551" spans="3:5" x14ac:dyDescent="0.35">
      <c r="C551">
        <f t="shared" si="9"/>
        <v>1901</v>
      </c>
      <c r="D551" s="7">
        <v>550</v>
      </c>
      <c r="E551">
        <v>22.454799999999999</v>
      </c>
    </row>
    <row r="552" spans="3:5" x14ac:dyDescent="0.35">
      <c r="C552">
        <f t="shared" si="9"/>
        <v>1901</v>
      </c>
      <c r="D552" s="7">
        <v>551</v>
      </c>
      <c r="E552">
        <v>22.118400000000001</v>
      </c>
    </row>
    <row r="553" spans="3:5" x14ac:dyDescent="0.35">
      <c r="C553">
        <f t="shared" si="9"/>
        <v>1901</v>
      </c>
      <c r="D553" s="7">
        <v>552</v>
      </c>
      <c r="E553">
        <v>22.0838</v>
      </c>
    </row>
    <row r="554" spans="3:5" x14ac:dyDescent="0.35">
      <c r="C554">
        <f t="shared" si="9"/>
        <v>1901</v>
      </c>
      <c r="D554" s="7">
        <v>553</v>
      </c>
      <c r="E554">
        <v>23.4224</v>
      </c>
    </row>
    <row r="555" spans="3:5" x14ac:dyDescent="0.35">
      <c r="C555">
        <f t="shared" si="9"/>
        <v>1901</v>
      </c>
      <c r="D555" s="7">
        <v>554</v>
      </c>
      <c r="E555">
        <v>23.478100000000001</v>
      </c>
    </row>
    <row r="556" spans="3:5" x14ac:dyDescent="0.35">
      <c r="C556">
        <f t="shared" si="9"/>
        <v>1901</v>
      </c>
      <c r="D556" s="7">
        <v>555</v>
      </c>
      <c r="E556">
        <v>24.112500000000001</v>
      </c>
    </row>
    <row r="557" spans="3:5" x14ac:dyDescent="0.35">
      <c r="C557">
        <f t="shared" si="9"/>
        <v>1901</v>
      </c>
      <c r="D557" s="7">
        <v>556</v>
      </c>
      <c r="E557">
        <v>23.792100000000001</v>
      </c>
    </row>
    <row r="558" spans="3:5" x14ac:dyDescent="0.35">
      <c r="C558">
        <f t="shared" si="9"/>
        <v>1901</v>
      </c>
      <c r="D558" s="7">
        <v>557</v>
      </c>
      <c r="E558">
        <v>23.59</v>
      </c>
    </row>
    <row r="559" spans="3:5" x14ac:dyDescent="0.35">
      <c r="C559">
        <f t="shared" si="9"/>
        <v>1901</v>
      </c>
      <c r="D559" s="7">
        <v>558</v>
      </c>
      <c r="E559">
        <v>23.681899999999999</v>
      </c>
    </row>
    <row r="560" spans="3:5" x14ac:dyDescent="0.35">
      <c r="C560">
        <f t="shared" si="9"/>
        <v>1901</v>
      </c>
      <c r="D560" s="7">
        <v>559</v>
      </c>
      <c r="E560">
        <v>24.170500000000001</v>
      </c>
    </row>
    <row r="561" spans="3:5" x14ac:dyDescent="0.35">
      <c r="C561">
        <f t="shared" si="9"/>
        <v>1901</v>
      </c>
      <c r="D561" s="7">
        <v>560</v>
      </c>
      <c r="E561">
        <v>23.230799999999999</v>
      </c>
    </row>
    <row r="562" spans="3:5" x14ac:dyDescent="0.35">
      <c r="C562">
        <f t="shared" si="9"/>
        <v>1901</v>
      </c>
      <c r="D562" s="7">
        <v>561</v>
      </c>
      <c r="E562">
        <v>23.461500000000001</v>
      </c>
    </row>
    <row r="563" spans="3:5" x14ac:dyDescent="0.35">
      <c r="C563">
        <f t="shared" si="9"/>
        <v>1901</v>
      </c>
      <c r="D563" s="7">
        <v>562</v>
      </c>
      <c r="E563">
        <v>23.746600000000001</v>
      </c>
    </row>
    <row r="564" spans="3:5" x14ac:dyDescent="0.35">
      <c r="C564">
        <f t="shared" si="9"/>
        <v>1901</v>
      </c>
      <c r="D564" s="7">
        <v>563</v>
      </c>
      <c r="E564">
        <v>23.637799999999999</v>
      </c>
    </row>
    <row r="565" spans="3:5" x14ac:dyDescent="0.35">
      <c r="C565">
        <f t="shared" si="9"/>
        <v>1901</v>
      </c>
      <c r="D565" s="7">
        <v>564</v>
      </c>
      <c r="E565">
        <v>23.544699999999999</v>
      </c>
    </row>
    <row r="566" spans="3:5" x14ac:dyDescent="0.35">
      <c r="C566">
        <f t="shared" si="9"/>
        <v>1901</v>
      </c>
      <c r="D566" s="7">
        <v>565</v>
      </c>
      <c r="E566">
        <v>23.6159</v>
      </c>
    </row>
    <row r="567" spans="3:5" x14ac:dyDescent="0.35">
      <c r="C567">
        <f t="shared" si="9"/>
        <v>1901</v>
      </c>
      <c r="D567" s="7">
        <v>566</v>
      </c>
      <c r="E567">
        <v>24.008900000000001</v>
      </c>
    </row>
    <row r="568" spans="3:5" x14ac:dyDescent="0.35">
      <c r="C568">
        <f t="shared" si="9"/>
        <v>1901</v>
      </c>
      <c r="D568" s="7">
        <v>567</v>
      </c>
      <c r="E568">
        <v>24.6327</v>
      </c>
    </row>
    <row r="569" spans="3:5" x14ac:dyDescent="0.35">
      <c r="C569">
        <f t="shared" si="9"/>
        <v>1901</v>
      </c>
      <c r="D569" s="7">
        <v>568</v>
      </c>
      <c r="E569">
        <v>24.956</v>
      </c>
    </row>
    <row r="570" spans="3:5" x14ac:dyDescent="0.35">
      <c r="C570">
        <f t="shared" si="9"/>
        <v>1901</v>
      </c>
      <c r="D570" s="7">
        <v>569</v>
      </c>
      <c r="E570">
        <v>24.557400000000001</v>
      </c>
    </row>
    <row r="571" spans="3:5" x14ac:dyDescent="0.35">
      <c r="C571">
        <f t="shared" si="9"/>
        <v>1901</v>
      </c>
      <c r="D571" s="7">
        <v>570</v>
      </c>
      <c r="E571">
        <v>24.2454</v>
      </c>
    </row>
    <row r="572" spans="3:5" x14ac:dyDescent="0.35">
      <c r="C572">
        <f t="shared" si="9"/>
        <v>1901</v>
      </c>
      <c r="D572" s="7">
        <v>571</v>
      </c>
      <c r="E572">
        <v>23.6663</v>
      </c>
    </row>
    <row r="573" spans="3:5" x14ac:dyDescent="0.35">
      <c r="C573">
        <f t="shared" si="9"/>
        <v>1901</v>
      </c>
      <c r="D573" s="7">
        <v>572</v>
      </c>
      <c r="E573">
        <v>23.835999999999999</v>
      </c>
    </row>
    <row r="574" spans="3:5" x14ac:dyDescent="0.35">
      <c r="C574">
        <f t="shared" si="9"/>
        <v>1901</v>
      </c>
      <c r="D574" s="7">
        <v>573</v>
      </c>
      <c r="E574">
        <v>24.514700000000001</v>
      </c>
    </row>
    <row r="575" spans="3:5" x14ac:dyDescent="0.35">
      <c r="C575">
        <f t="shared" si="9"/>
        <v>1901</v>
      </c>
      <c r="D575" s="7">
        <v>574</v>
      </c>
      <c r="E575">
        <v>25.917899999999999</v>
      </c>
    </row>
    <row r="576" spans="3:5" x14ac:dyDescent="0.35">
      <c r="C576">
        <f t="shared" si="9"/>
        <v>1901</v>
      </c>
      <c r="D576" s="7">
        <v>575</v>
      </c>
      <c r="E576">
        <v>25.755099999999999</v>
      </c>
    </row>
    <row r="577" spans="3:5" x14ac:dyDescent="0.35">
      <c r="C577">
        <f t="shared" si="9"/>
        <v>1901</v>
      </c>
      <c r="D577" s="7">
        <v>576</v>
      </c>
      <c r="E577">
        <v>25.457899999999999</v>
      </c>
    </row>
    <row r="578" spans="3:5" x14ac:dyDescent="0.35">
      <c r="C578">
        <f t="shared" si="9"/>
        <v>1901</v>
      </c>
      <c r="D578" s="7">
        <v>577</v>
      </c>
      <c r="E578">
        <v>25.2087</v>
      </c>
    </row>
    <row r="579" spans="3:5" x14ac:dyDescent="0.35">
      <c r="C579">
        <f t="shared" ref="C579:C642" si="10">YEAR(D579)</f>
        <v>1901</v>
      </c>
      <c r="D579" s="7">
        <v>578</v>
      </c>
      <c r="E579">
        <v>24.742000000000001</v>
      </c>
    </row>
    <row r="580" spans="3:5" x14ac:dyDescent="0.35">
      <c r="C580">
        <f t="shared" si="10"/>
        <v>1901</v>
      </c>
      <c r="D580" s="7">
        <v>579</v>
      </c>
      <c r="E580">
        <v>24.819099999999999</v>
      </c>
    </row>
    <row r="581" spans="3:5" x14ac:dyDescent="0.35">
      <c r="C581">
        <f t="shared" si="10"/>
        <v>1901</v>
      </c>
      <c r="D581" s="7">
        <v>580</v>
      </c>
      <c r="E581">
        <v>24.997900000000001</v>
      </c>
    </row>
    <row r="582" spans="3:5" x14ac:dyDescent="0.35">
      <c r="C582">
        <f t="shared" si="10"/>
        <v>1901</v>
      </c>
      <c r="D582" s="7">
        <v>581</v>
      </c>
      <c r="E582">
        <v>24.124700000000001</v>
      </c>
    </row>
    <row r="583" spans="3:5" x14ac:dyDescent="0.35">
      <c r="C583">
        <f t="shared" si="10"/>
        <v>1901</v>
      </c>
      <c r="D583" s="7">
        <v>582</v>
      </c>
      <c r="E583">
        <v>24.53</v>
      </c>
    </row>
    <row r="584" spans="3:5" x14ac:dyDescent="0.35">
      <c r="C584">
        <f t="shared" si="10"/>
        <v>1901</v>
      </c>
      <c r="D584" s="7">
        <v>583</v>
      </c>
      <c r="E584">
        <v>25.053899999999999</v>
      </c>
    </row>
    <row r="585" spans="3:5" x14ac:dyDescent="0.35">
      <c r="C585">
        <f t="shared" si="10"/>
        <v>1901</v>
      </c>
      <c r="D585" s="7">
        <v>584</v>
      </c>
      <c r="E585">
        <v>24.777899999999999</v>
      </c>
    </row>
    <row r="586" spans="3:5" x14ac:dyDescent="0.35">
      <c r="C586">
        <f t="shared" si="10"/>
        <v>1901</v>
      </c>
      <c r="D586" s="7">
        <v>585</v>
      </c>
      <c r="E586">
        <v>24.8643</v>
      </c>
    </row>
    <row r="587" spans="3:5" x14ac:dyDescent="0.35">
      <c r="C587">
        <f t="shared" si="10"/>
        <v>1901</v>
      </c>
      <c r="D587" s="7">
        <v>586</v>
      </c>
      <c r="E587">
        <v>24.932300000000001</v>
      </c>
    </row>
    <row r="588" spans="3:5" x14ac:dyDescent="0.35">
      <c r="C588">
        <f t="shared" si="10"/>
        <v>1901</v>
      </c>
      <c r="D588" s="7">
        <v>587</v>
      </c>
      <c r="E588">
        <v>24.345500000000001</v>
      </c>
    </row>
    <row r="589" spans="3:5" x14ac:dyDescent="0.35">
      <c r="C589">
        <f t="shared" si="10"/>
        <v>1901</v>
      </c>
      <c r="D589" s="7">
        <v>588</v>
      </c>
      <c r="E589">
        <v>24.8325</v>
      </c>
    </row>
    <row r="590" spans="3:5" x14ac:dyDescent="0.35">
      <c r="C590">
        <f t="shared" si="10"/>
        <v>1901</v>
      </c>
      <c r="D590" s="7">
        <v>589</v>
      </c>
      <c r="E590">
        <v>25.122699999999998</v>
      </c>
    </row>
    <row r="591" spans="3:5" x14ac:dyDescent="0.35">
      <c r="C591">
        <f t="shared" si="10"/>
        <v>1901</v>
      </c>
      <c r="D591" s="7">
        <v>590</v>
      </c>
      <c r="E591">
        <v>25.679500000000001</v>
      </c>
    </row>
    <row r="592" spans="3:5" x14ac:dyDescent="0.35">
      <c r="C592">
        <f t="shared" si="10"/>
        <v>1901</v>
      </c>
      <c r="D592" s="7">
        <v>591</v>
      </c>
      <c r="E592">
        <v>26.539899999999999</v>
      </c>
    </row>
    <row r="593" spans="3:5" x14ac:dyDescent="0.35">
      <c r="C593">
        <f t="shared" si="10"/>
        <v>1901</v>
      </c>
      <c r="D593" s="7">
        <v>592</v>
      </c>
      <c r="E593">
        <v>25.781500000000001</v>
      </c>
    </row>
    <row r="594" spans="3:5" x14ac:dyDescent="0.35">
      <c r="C594">
        <f t="shared" si="10"/>
        <v>1901</v>
      </c>
      <c r="D594" s="7">
        <v>593</v>
      </c>
      <c r="E594">
        <v>25.993099999999998</v>
      </c>
    </row>
    <row r="595" spans="3:5" x14ac:dyDescent="0.35">
      <c r="C595">
        <f t="shared" si="10"/>
        <v>1901</v>
      </c>
      <c r="D595" s="7">
        <v>594</v>
      </c>
      <c r="E595">
        <v>26.583100000000002</v>
      </c>
    </row>
    <row r="596" spans="3:5" x14ac:dyDescent="0.35">
      <c r="C596">
        <f t="shared" si="10"/>
        <v>1901</v>
      </c>
      <c r="D596" s="7">
        <v>595</v>
      </c>
      <c r="E596">
        <v>26.983899999999998</v>
      </c>
    </row>
    <row r="597" spans="3:5" x14ac:dyDescent="0.35">
      <c r="C597">
        <f t="shared" si="10"/>
        <v>1901</v>
      </c>
      <c r="D597" s="7">
        <v>596</v>
      </c>
      <c r="E597">
        <v>26.200800000000001</v>
      </c>
    </row>
    <row r="598" spans="3:5" x14ac:dyDescent="0.35">
      <c r="C598">
        <f t="shared" si="10"/>
        <v>1901</v>
      </c>
      <c r="D598" s="7">
        <v>597</v>
      </c>
      <c r="E598">
        <v>26.564699999999998</v>
      </c>
    </row>
    <row r="599" spans="3:5" x14ac:dyDescent="0.35">
      <c r="C599">
        <f t="shared" si="10"/>
        <v>1901</v>
      </c>
      <c r="D599" s="7">
        <v>598</v>
      </c>
      <c r="E599">
        <v>25.5457</v>
      </c>
    </row>
    <row r="600" spans="3:5" x14ac:dyDescent="0.35">
      <c r="C600">
        <f t="shared" si="10"/>
        <v>1901</v>
      </c>
      <c r="D600" s="7">
        <v>599</v>
      </c>
      <c r="E600">
        <v>24.910799999999998</v>
      </c>
    </row>
    <row r="601" spans="3:5" x14ac:dyDescent="0.35">
      <c r="C601">
        <f t="shared" si="10"/>
        <v>1901</v>
      </c>
      <c r="D601" s="7">
        <v>600</v>
      </c>
      <c r="E601">
        <v>25.539000000000001</v>
      </c>
    </row>
    <row r="602" spans="3:5" x14ac:dyDescent="0.35">
      <c r="C602">
        <f t="shared" si="10"/>
        <v>1901</v>
      </c>
      <c r="D602" s="7">
        <v>601</v>
      </c>
      <c r="E602">
        <v>25.9603</v>
      </c>
    </row>
    <row r="603" spans="3:5" x14ac:dyDescent="0.35">
      <c r="C603">
        <f t="shared" si="10"/>
        <v>1901</v>
      </c>
      <c r="D603" s="7">
        <v>602</v>
      </c>
      <c r="E603">
        <v>25.5809</v>
      </c>
    </row>
    <row r="604" spans="3:5" x14ac:dyDescent="0.35">
      <c r="C604">
        <f t="shared" si="10"/>
        <v>1901</v>
      </c>
      <c r="D604" s="7">
        <v>603</v>
      </c>
      <c r="E604">
        <v>24.412400000000002</v>
      </c>
    </row>
    <row r="605" spans="3:5" x14ac:dyDescent="0.35">
      <c r="C605">
        <f t="shared" si="10"/>
        <v>1901</v>
      </c>
      <c r="D605" s="7">
        <v>604</v>
      </c>
      <c r="E605">
        <v>23.625800000000002</v>
      </c>
    </row>
    <row r="606" spans="3:5" x14ac:dyDescent="0.35">
      <c r="C606">
        <f t="shared" si="10"/>
        <v>1901</v>
      </c>
      <c r="D606" s="7">
        <v>605</v>
      </c>
      <c r="E606">
        <v>24.354900000000001</v>
      </c>
    </row>
    <row r="607" spans="3:5" x14ac:dyDescent="0.35">
      <c r="C607">
        <f t="shared" si="10"/>
        <v>1901</v>
      </c>
      <c r="D607" s="7">
        <v>606</v>
      </c>
      <c r="E607">
        <v>23.824000000000002</v>
      </c>
    </row>
    <row r="608" spans="3:5" x14ac:dyDescent="0.35">
      <c r="C608">
        <f t="shared" si="10"/>
        <v>1901</v>
      </c>
      <c r="D608" s="7">
        <v>607</v>
      </c>
      <c r="E608">
        <v>23.5137</v>
      </c>
    </row>
    <row r="609" spans="3:5" x14ac:dyDescent="0.35">
      <c r="C609">
        <f t="shared" si="10"/>
        <v>1901</v>
      </c>
      <c r="D609" s="7">
        <v>608</v>
      </c>
      <c r="E609">
        <v>23.187100000000001</v>
      </c>
    </row>
    <row r="610" spans="3:5" x14ac:dyDescent="0.35">
      <c r="C610">
        <f t="shared" si="10"/>
        <v>1901</v>
      </c>
      <c r="D610" s="7">
        <v>609</v>
      </c>
      <c r="E610">
        <v>23.552099999999999</v>
      </c>
    </row>
    <row r="611" spans="3:5" x14ac:dyDescent="0.35">
      <c r="C611">
        <f t="shared" si="10"/>
        <v>1901</v>
      </c>
      <c r="D611" s="7">
        <v>610</v>
      </c>
      <c r="E611">
        <v>23.691500000000001</v>
      </c>
    </row>
    <row r="612" spans="3:5" x14ac:dyDescent="0.35">
      <c r="C612">
        <f t="shared" si="10"/>
        <v>1901</v>
      </c>
      <c r="D612" s="7">
        <v>611</v>
      </c>
      <c r="E612">
        <v>24.235499999999998</v>
      </c>
    </row>
    <row r="613" spans="3:5" x14ac:dyDescent="0.35">
      <c r="C613">
        <f t="shared" si="10"/>
        <v>1901</v>
      </c>
      <c r="D613" s="7">
        <v>612</v>
      </c>
      <c r="E613">
        <v>25.0853</v>
      </c>
    </row>
    <row r="614" spans="3:5" x14ac:dyDescent="0.35">
      <c r="C614">
        <f t="shared" si="10"/>
        <v>1901</v>
      </c>
      <c r="D614" s="7">
        <v>613</v>
      </c>
      <c r="E614">
        <v>25.438500000000001</v>
      </c>
    </row>
    <row r="615" spans="3:5" x14ac:dyDescent="0.35">
      <c r="C615">
        <f t="shared" si="10"/>
        <v>1901</v>
      </c>
      <c r="D615" s="7">
        <v>614</v>
      </c>
      <c r="E615">
        <v>25.6035</v>
      </c>
    </row>
    <row r="616" spans="3:5" x14ac:dyDescent="0.35">
      <c r="C616">
        <f t="shared" si="10"/>
        <v>1901</v>
      </c>
      <c r="D616" s="7">
        <v>615</v>
      </c>
      <c r="E616">
        <v>25.221499999999999</v>
      </c>
    </row>
    <row r="617" spans="3:5" x14ac:dyDescent="0.35">
      <c r="C617">
        <f t="shared" si="10"/>
        <v>1901</v>
      </c>
      <c r="D617" s="7">
        <v>616</v>
      </c>
      <c r="E617">
        <v>25.297999999999998</v>
      </c>
    </row>
    <row r="618" spans="3:5" x14ac:dyDescent="0.35">
      <c r="C618">
        <f t="shared" si="10"/>
        <v>1901</v>
      </c>
      <c r="D618" s="7">
        <v>617</v>
      </c>
      <c r="E618">
        <v>25.826499999999999</v>
      </c>
    </row>
    <row r="619" spans="3:5" x14ac:dyDescent="0.35">
      <c r="C619">
        <f t="shared" si="10"/>
        <v>1901</v>
      </c>
      <c r="D619" s="7">
        <v>618</v>
      </c>
      <c r="E619">
        <v>25.396999999999998</v>
      </c>
    </row>
    <row r="620" spans="3:5" x14ac:dyDescent="0.35">
      <c r="C620">
        <f t="shared" si="10"/>
        <v>1901</v>
      </c>
      <c r="D620" s="7">
        <v>619</v>
      </c>
      <c r="E620">
        <v>26.019600000000001</v>
      </c>
    </row>
    <row r="621" spans="3:5" x14ac:dyDescent="0.35">
      <c r="C621">
        <f t="shared" si="10"/>
        <v>1901</v>
      </c>
      <c r="D621" s="7">
        <v>620</v>
      </c>
      <c r="E621">
        <v>26.616700000000002</v>
      </c>
    </row>
    <row r="622" spans="3:5" x14ac:dyDescent="0.35">
      <c r="C622">
        <f t="shared" si="10"/>
        <v>1901</v>
      </c>
      <c r="D622" s="7">
        <v>621</v>
      </c>
      <c r="E622">
        <v>26.806100000000001</v>
      </c>
    </row>
    <row r="623" spans="3:5" x14ac:dyDescent="0.35">
      <c r="C623">
        <f t="shared" si="10"/>
        <v>1901</v>
      </c>
      <c r="D623" s="7">
        <v>622</v>
      </c>
      <c r="E623">
        <v>29.1998</v>
      </c>
    </row>
    <row r="624" spans="3:5" x14ac:dyDescent="0.35">
      <c r="C624">
        <f t="shared" si="10"/>
        <v>1901</v>
      </c>
      <c r="D624" s="7">
        <v>623</v>
      </c>
      <c r="E624">
        <v>29.0166</v>
      </c>
    </row>
    <row r="625" spans="3:5" x14ac:dyDescent="0.35">
      <c r="C625">
        <f t="shared" si="10"/>
        <v>1901</v>
      </c>
      <c r="D625" s="7">
        <v>624</v>
      </c>
      <c r="E625">
        <v>27.536899999999999</v>
      </c>
    </row>
    <row r="626" spans="3:5" x14ac:dyDescent="0.35">
      <c r="C626">
        <f t="shared" si="10"/>
        <v>1901</v>
      </c>
      <c r="D626" s="7">
        <v>625</v>
      </c>
      <c r="E626">
        <v>28.528600000000001</v>
      </c>
    </row>
    <row r="627" spans="3:5" x14ac:dyDescent="0.35">
      <c r="C627">
        <f t="shared" si="10"/>
        <v>1901</v>
      </c>
      <c r="D627" s="7">
        <v>626</v>
      </c>
      <c r="E627">
        <v>29.966100000000001</v>
      </c>
    </row>
    <row r="628" spans="3:5" x14ac:dyDescent="0.35">
      <c r="C628">
        <f t="shared" si="10"/>
        <v>1901</v>
      </c>
      <c r="D628" s="7">
        <v>627</v>
      </c>
      <c r="E628">
        <v>30.8063</v>
      </c>
    </row>
    <row r="629" spans="3:5" x14ac:dyDescent="0.35">
      <c r="C629">
        <f t="shared" si="10"/>
        <v>1901</v>
      </c>
      <c r="D629" s="7">
        <v>628</v>
      </c>
      <c r="E629">
        <v>29.363099999999999</v>
      </c>
    </row>
    <row r="630" spans="3:5" x14ac:dyDescent="0.35">
      <c r="C630">
        <f t="shared" si="10"/>
        <v>1901</v>
      </c>
      <c r="D630" s="7">
        <v>629</v>
      </c>
      <c r="E630">
        <v>30.1265</v>
      </c>
    </row>
    <row r="631" spans="3:5" x14ac:dyDescent="0.35">
      <c r="C631">
        <f t="shared" si="10"/>
        <v>1901</v>
      </c>
      <c r="D631" s="7">
        <v>630</v>
      </c>
      <c r="E631">
        <v>29.407800000000002</v>
      </c>
    </row>
    <row r="632" spans="3:5" x14ac:dyDescent="0.35">
      <c r="C632">
        <f t="shared" si="10"/>
        <v>1901</v>
      </c>
      <c r="D632" s="7">
        <v>631</v>
      </c>
      <c r="E632">
        <v>29.2471</v>
      </c>
    </row>
    <row r="633" spans="3:5" x14ac:dyDescent="0.35">
      <c r="C633">
        <f t="shared" si="10"/>
        <v>1901</v>
      </c>
      <c r="D633" s="7">
        <v>632</v>
      </c>
      <c r="E633">
        <v>30.204999999999998</v>
      </c>
    </row>
    <row r="634" spans="3:5" x14ac:dyDescent="0.35">
      <c r="C634">
        <f t="shared" si="10"/>
        <v>1901</v>
      </c>
      <c r="D634" s="7">
        <v>633</v>
      </c>
      <c r="E634">
        <v>29.770499999999998</v>
      </c>
    </row>
    <row r="635" spans="3:5" x14ac:dyDescent="0.35">
      <c r="C635">
        <f t="shared" si="10"/>
        <v>1901</v>
      </c>
      <c r="D635" s="7">
        <v>634</v>
      </c>
      <c r="E635">
        <v>30.7241</v>
      </c>
    </row>
    <row r="636" spans="3:5" x14ac:dyDescent="0.35">
      <c r="C636">
        <f t="shared" si="10"/>
        <v>1901</v>
      </c>
      <c r="D636" s="7">
        <v>635</v>
      </c>
      <c r="E636">
        <v>31.889600000000002</v>
      </c>
    </row>
    <row r="637" spans="3:5" x14ac:dyDescent="0.35">
      <c r="C637">
        <f t="shared" si="10"/>
        <v>1901</v>
      </c>
      <c r="D637" s="7">
        <v>636</v>
      </c>
      <c r="E637">
        <v>32.066200000000002</v>
      </c>
    </row>
    <row r="638" spans="3:5" x14ac:dyDescent="0.35">
      <c r="C638">
        <f t="shared" si="10"/>
        <v>1901</v>
      </c>
      <c r="D638" s="7">
        <v>637</v>
      </c>
      <c r="E638">
        <v>30.837399999999999</v>
      </c>
    </row>
    <row r="639" spans="3:5" x14ac:dyDescent="0.35">
      <c r="C639">
        <f t="shared" si="10"/>
        <v>1901</v>
      </c>
      <c r="D639" s="7">
        <v>638</v>
      </c>
      <c r="E639">
        <v>30.3461</v>
      </c>
    </row>
    <row r="640" spans="3:5" x14ac:dyDescent="0.35">
      <c r="C640">
        <f t="shared" si="10"/>
        <v>1901</v>
      </c>
      <c r="D640" s="7">
        <v>639</v>
      </c>
      <c r="E640">
        <v>29.7639</v>
      </c>
    </row>
    <row r="641" spans="3:5" x14ac:dyDescent="0.35">
      <c r="C641">
        <f t="shared" si="10"/>
        <v>1901</v>
      </c>
      <c r="D641" s="7">
        <v>640</v>
      </c>
      <c r="E641">
        <v>30.942399999999999</v>
      </c>
    </row>
    <row r="642" spans="3:5" x14ac:dyDescent="0.35">
      <c r="C642">
        <f t="shared" si="10"/>
        <v>1901</v>
      </c>
      <c r="D642" s="7">
        <v>641</v>
      </c>
      <c r="E642">
        <v>30.698399999999999</v>
      </c>
    </row>
    <row r="643" spans="3:5" x14ac:dyDescent="0.35">
      <c r="C643">
        <f t="shared" ref="C643:C706" si="11">YEAR(D643)</f>
        <v>1901</v>
      </c>
      <c r="D643" s="7">
        <v>642</v>
      </c>
      <c r="E643">
        <v>30.160599999999999</v>
      </c>
    </row>
    <row r="644" spans="3:5" x14ac:dyDescent="0.35">
      <c r="C644">
        <f t="shared" si="11"/>
        <v>1901</v>
      </c>
      <c r="D644" s="7">
        <v>643</v>
      </c>
      <c r="E644">
        <v>29.969100000000001</v>
      </c>
    </row>
    <row r="645" spans="3:5" x14ac:dyDescent="0.35">
      <c r="C645">
        <f t="shared" si="11"/>
        <v>1901</v>
      </c>
      <c r="D645" s="7">
        <v>644</v>
      </c>
      <c r="E645">
        <v>30.200600000000001</v>
      </c>
    </row>
    <row r="646" spans="3:5" x14ac:dyDescent="0.35">
      <c r="C646">
        <f t="shared" si="11"/>
        <v>1901</v>
      </c>
      <c r="D646" s="7">
        <v>645</v>
      </c>
      <c r="E646">
        <v>29.8383</v>
      </c>
    </row>
    <row r="647" spans="3:5" x14ac:dyDescent="0.35">
      <c r="C647">
        <f t="shared" si="11"/>
        <v>1901</v>
      </c>
      <c r="D647" s="7">
        <v>646</v>
      </c>
      <c r="E647">
        <v>30.6248</v>
      </c>
    </row>
    <row r="648" spans="3:5" x14ac:dyDescent="0.35">
      <c r="C648">
        <f t="shared" si="11"/>
        <v>1901</v>
      </c>
      <c r="D648" s="7">
        <v>647</v>
      </c>
      <c r="E648">
        <v>30.851400000000002</v>
      </c>
    </row>
    <row r="649" spans="3:5" x14ac:dyDescent="0.35">
      <c r="C649">
        <f t="shared" si="11"/>
        <v>1901</v>
      </c>
      <c r="D649" s="7">
        <v>648</v>
      </c>
      <c r="E649">
        <v>31.0425</v>
      </c>
    </row>
    <row r="650" spans="3:5" x14ac:dyDescent="0.35">
      <c r="C650">
        <f t="shared" si="11"/>
        <v>1901</v>
      </c>
      <c r="D650" s="7">
        <v>649</v>
      </c>
      <c r="E650">
        <v>31.987400000000001</v>
      </c>
    </row>
    <row r="651" spans="3:5" x14ac:dyDescent="0.35">
      <c r="C651">
        <f t="shared" si="11"/>
        <v>1901</v>
      </c>
      <c r="D651" s="7">
        <v>650</v>
      </c>
      <c r="E651">
        <v>31.977</v>
      </c>
    </row>
    <row r="652" spans="3:5" x14ac:dyDescent="0.35">
      <c r="C652">
        <f t="shared" si="11"/>
        <v>1901</v>
      </c>
      <c r="D652" s="7">
        <v>651</v>
      </c>
      <c r="E652">
        <v>31.912500000000001</v>
      </c>
    </row>
    <row r="653" spans="3:5" x14ac:dyDescent="0.35">
      <c r="C653">
        <f t="shared" si="11"/>
        <v>1901</v>
      </c>
      <c r="D653" s="7">
        <v>652</v>
      </c>
      <c r="E653">
        <v>32.101999999999997</v>
      </c>
    </row>
    <row r="654" spans="3:5" x14ac:dyDescent="0.35">
      <c r="C654">
        <f t="shared" si="11"/>
        <v>1901</v>
      </c>
      <c r="D654" s="7">
        <v>653</v>
      </c>
      <c r="E654">
        <v>32.536200000000001</v>
      </c>
    </row>
    <row r="655" spans="3:5" x14ac:dyDescent="0.35">
      <c r="C655">
        <f t="shared" si="11"/>
        <v>1901</v>
      </c>
      <c r="D655" s="7">
        <v>654</v>
      </c>
      <c r="E655">
        <v>32.080800000000004</v>
      </c>
    </row>
    <row r="656" spans="3:5" x14ac:dyDescent="0.35">
      <c r="C656">
        <f t="shared" si="11"/>
        <v>1901</v>
      </c>
      <c r="D656" s="7">
        <v>655</v>
      </c>
      <c r="E656">
        <v>30.531600000000001</v>
      </c>
    </row>
    <row r="657" spans="3:5" x14ac:dyDescent="0.35">
      <c r="C657">
        <f t="shared" si="11"/>
        <v>1901</v>
      </c>
      <c r="D657" s="7">
        <v>656</v>
      </c>
      <c r="E657">
        <v>30.842199999999998</v>
      </c>
    </row>
    <row r="658" spans="3:5" x14ac:dyDescent="0.35">
      <c r="C658">
        <f t="shared" si="11"/>
        <v>1901</v>
      </c>
      <c r="D658" s="7">
        <v>657</v>
      </c>
      <c r="E658">
        <v>31.013300000000001</v>
      </c>
    </row>
    <row r="659" spans="3:5" x14ac:dyDescent="0.35">
      <c r="C659">
        <f t="shared" si="11"/>
        <v>1901</v>
      </c>
      <c r="D659" s="7">
        <v>658</v>
      </c>
      <c r="E659">
        <v>30.613</v>
      </c>
    </row>
    <row r="660" spans="3:5" x14ac:dyDescent="0.35">
      <c r="C660">
        <f t="shared" si="11"/>
        <v>1901</v>
      </c>
      <c r="D660" s="7">
        <v>659</v>
      </c>
      <c r="E660">
        <v>30.9297</v>
      </c>
    </row>
    <row r="661" spans="3:5" x14ac:dyDescent="0.35">
      <c r="C661">
        <f t="shared" si="11"/>
        <v>1901</v>
      </c>
      <c r="D661" s="7">
        <v>660</v>
      </c>
      <c r="E661">
        <v>31.3825</v>
      </c>
    </row>
    <row r="662" spans="3:5" x14ac:dyDescent="0.35">
      <c r="C662">
        <f t="shared" si="11"/>
        <v>1901</v>
      </c>
      <c r="D662" s="7">
        <v>661</v>
      </c>
      <c r="E662">
        <v>32.135599999999997</v>
      </c>
    </row>
    <row r="663" spans="3:5" x14ac:dyDescent="0.35">
      <c r="C663">
        <f t="shared" si="11"/>
        <v>1901</v>
      </c>
      <c r="D663" s="7">
        <v>662</v>
      </c>
      <c r="E663">
        <v>32.845700000000001</v>
      </c>
    </row>
    <row r="664" spans="3:5" x14ac:dyDescent="0.35">
      <c r="C664">
        <f t="shared" si="11"/>
        <v>1901</v>
      </c>
      <c r="D664" s="7">
        <v>663</v>
      </c>
      <c r="E664">
        <v>32.635800000000003</v>
      </c>
    </row>
    <row r="665" spans="3:5" x14ac:dyDescent="0.35">
      <c r="C665">
        <f t="shared" si="11"/>
        <v>1901</v>
      </c>
      <c r="D665" s="7">
        <v>664</v>
      </c>
      <c r="E665">
        <v>32.236400000000003</v>
      </c>
    </row>
    <row r="666" spans="3:5" x14ac:dyDescent="0.35">
      <c r="C666">
        <f t="shared" si="11"/>
        <v>1901</v>
      </c>
      <c r="D666" s="7">
        <v>665</v>
      </c>
      <c r="E666">
        <v>32.687899999999999</v>
      </c>
    </row>
    <row r="667" spans="3:5" x14ac:dyDescent="0.35">
      <c r="C667">
        <f t="shared" si="11"/>
        <v>1901</v>
      </c>
      <c r="D667" s="7">
        <v>666</v>
      </c>
      <c r="E667">
        <v>31.6218</v>
      </c>
    </row>
    <row r="668" spans="3:5" x14ac:dyDescent="0.35">
      <c r="C668">
        <f t="shared" si="11"/>
        <v>1901</v>
      </c>
      <c r="D668" s="7">
        <v>667</v>
      </c>
      <c r="E668">
        <v>31.715399999999999</v>
      </c>
    </row>
    <row r="669" spans="3:5" x14ac:dyDescent="0.35">
      <c r="C669">
        <f t="shared" si="11"/>
        <v>1901</v>
      </c>
      <c r="D669" s="7">
        <v>668</v>
      </c>
      <c r="E669">
        <v>32.297800000000002</v>
      </c>
    </row>
    <row r="670" spans="3:5" x14ac:dyDescent="0.35">
      <c r="C670">
        <f t="shared" si="11"/>
        <v>1901</v>
      </c>
      <c r="D670" s="7">
        <v>669</v>
      </c>
      <c r="E670">
        <v>32.332999999999998</v>
      </c>
    </row>
    <row r="671" spans="3:5" x14ac:dyDescent="0.35">
      <c r="C671">
        <f t="shared" si="11"/>
        <v>1901</v>
      </c>
      <c r="D671" s="7">
        <v>670</v>
      </c>
      <c r="E671">
        <v>31.8062</v>
      </c>
    </row>
    <row r="672" spans="3:5" x14ac:dyDescent="0.35">
      <c r="C672">
        <f t="shared" si="11"/>
        <v>1901</v>
      </c>
      <c r="D672" s="7">
        <v>671</v>
      </c>
      <c r="E672">
        <v>31.698499999999999</v>
      </c>
    </row>
    <row r="673" spans="3:5" x14ac:dyDescent="0.35">
      <c r="C673">
        <f t="shared" si="11"/>
        <v>1901</v>
      </c>
      <c r="D673" s="7">
        <v>672</v>
      </c>
      <c r="E673">
        <v>31.644400000000001</v>
      </c>
    </row>
    <row r="674" spans="3:5" x14ac:dyDescent="0.35">
      <c r="C674">
        <f t="shared" si="11"/>
        <v>1901</v>
      </c>
      <c r="D674" s="7">
        <v>673</v>
      </c>
      <c r="E674">
        <v>31.9801</v>
      </c>
    </row>
    <row r="675" spans="3:5" x14ac:dyDescent="0.35">
      <c r="C675">
        <f t="shared" si="11"/>
        <v>1901</v>
      </c>
      <c r="D675" s="7">
        <v>674</v>
      </c>
      <c r="E675">
        <v>33.415700000000001</v>
      </c>
    </row>
    <row r="676" spans="3:5" x14ac:dyDescent="0.35">
      <c r="C676">
        <f t="shared" si="11"/>
        <v>1901</v>
      </c>
      <c r="D676" s="7">
        <v>675</v>
      </c>
      <c r="E676">
        <v>33.293799999999997</v>
      </c>
    </row>
    <row r="677" spans="3:5" x14ac:dyDescent="0.35">
      <c r="C677">
        <f t="shared" si="11"/>
        <v>1901</v>
      </c>
      <c r="D677" s="7">
        <v>676</v>
      </c>
      <c r="E677">
        <v>33.556100000000001</v>
      </c>
    </row>
    <row r="678" spans="3:5" x14ac:dyDescent="0.35">
      <c r="C678">
        <f t="shared" si="11"/>
        <v>1901</v>
      </c>
      <c r="D678" s="7">
        <v>677</v>
      </c>
      <c r="E678">
        <v>33.714599999999997</v>
      </c>
    </row>
    <row r="679" spans="3:5" x14ac:dyDescent="0.35">
      <c r="C679">
        <f t="shared" si="11"/>
        <v>1901</v>
      </c>
      <c r="D679" s="7">
        <v>678</v>
      </c>
      <c r="E679">
        <v>33.365499999999997</v>
      </c>
    </row>
    <row r="680" spans="3:5" x14ac:dyDescent="0.35">
      <c r="C680">
        <f t="shared" si="11"/>
        <v>1901</v>
      </c>
      <c r="D680" s="7">
        <v>679</v>
      </c>
      <c r="E680">
        <v>33.784599999999998</v>
      </c>
    </row>
    <row r="681" spans="3:5" x14ac:dyDescent="0.35">
      <c r="C681">
        <f t="shared" si="11"/>
        <v>1901</v>
      </c>
      <c r="D681" s="7">
        <v>680</v>
      </c>
      <c r="E681">
        <v>32.663699999999999</v>
      </c>
    </row>
    <row r="682" spans="3:5" x14ac:dyDescent="0.35">
      <c r="C682">
        <f t="shared" si="11"/>
        <v>1901</v>
      </c>
      <c r="D682" s="7">
        <v>681</v>
      </c>
      <c r="E682">
        <v>32.542700000000004</v>
      </c>
    </row>
    <row r="683" spans="3:5" x14ac:dyDescent="0.35">
      <c r="C683">
        <f t="shared" si="11"/>
        <v>1901</v>
      </c>
      <c r="D683" s="7">
        <v>682</v>
      </c>
      <c r="E683">
        <v>33.300400000000003</v>
      </c>
    </row>
    <row r="684" spans="3:5" x14ac:dyDescent="0.35">
      <c r="C684">
        <f t="shared" si="11"/>
        <v>1901</v>
      </c>
      <c r="D684" s="7">
        <v>683</v>
      </c>
      <c r="E684">
        <v>33.3735</v>
      </c>
    </row>
    <row r="685" spans="3:5" x14ac:dyDescent="0.35">
      <c r="C685">
        <f t="shared" si="11"/>
        <v>1901</v>
      </c>
      <c r="D685" s="7">
        <v>684</v>
      </c>
      <c r="E685">
        <v>33.537399999999998</v>
      </c>
    </row>
    <row r="686" spans="3:5" x14ac:dyDescent="0.35">
      <c r="C686">
        <f t="shared" si="11"/>
        <v>1901</v>
      </c>
      <c r="D686" s="7">
        <v>685</v>
      </c>
      <c r="E686">
        <v>33.467799999999997</v>
      </c>
    </row>
    <row r="687" spans="3:5" x14ac:dyDescent="0.35">
      <c r="C687">
        <f t="shared" si="11"/>
        <v>1901</v>
      </c>
      <c r="D687" s="7">
        <v>686</v>
      </c>
      <c r="E687">
        <v>33.489600000000003</v>
      </c>
    </row>
    <row r="688" spans="3:5" x14ac:dyDescent="0.35">
      <c r="C688">
        <f t="shared" si="11"/>
        <v>1901</v>
      </c>
      <c r="D688" s="7">
        <v>687</v>
      </c>
      <c r="E688">
        <v>33.779400000000003</v>
      </c>
    </row>
    <row r="689" spans="3:5" x14ac:dyDescent="0.35">
      <c r="C689">
        <f t="shared" si="11"/>
        <v>1901</v>
      </c>
      <c r="D689" s="7">
        <v>688</v>
      </c>
      <c r="E689">
        <v>34.217500000000001</v>
      </c>
    </row>
    <row r="690" spans="3:5" x14ac:dyDescent="0.35">
      <c r="C690">
        <f t="shared" si="11"/>
        <v>1901</v>
      </c>
      <c r="D690" s="7">
        <v>689</v>
      </c>
      <c r="E690">
        <v>35.029400000000003</v>
      </c>
    </row>
    <row r="691" spans="3:5" x14ac:dyDescent="0.35">
      <c r="C691">
        <f t="shared" si="11"/>
        <v>1901</v>
      </c>
      <c r="D691" s="7">
        <v>690</v>
      </c>
      <c r="E691">
        <v>32.785299999999999</v>
      </c>
    </row>
    <row r="692" spans="3:5" x14ac:dyDescent="0.35">
      <c r="C692">
        <f t="shared" si="11"/>
        <v>1901</v>
      </c>
      <c r="D692" s="7">
        <v>691</v>
      </c>
      <c r="E692">
        <v>32.121499999999997</v>
      </c>
    </row>
    <row r="693" spans="3:5" x14ac:dyDescent="0.35">
      <c r="C693">
        <f t="shared" si="11"/>
        <v>1901</v>
      </c>
      <c r="D693" s="7">
        <v>692</v>
      </c>
      <c r="E693">
        <v>32.637</v>
      </c>
    </row>
    <row r="694" spans="3:5" x14ac:dyDescent="0.35">
      <c r="C694">
        <f t="shared" si="11"/>
        <v>1901</v>
      </c>
      <c r="D694" s="7">
        <v>693</v>
      </c>
      <c r="E694">
        <v>33.478299999999997</v>
      </c>
    </row>
    <row r="695" spans="3:5" x14ac:dyDescent="0.35">
      <c r="C695">
        <f t="shared" si="11"/>
        <v>1901</v>
      </c>
      <c r="D695" s="7">
        <v>694</v>
      </c>
      <c r="E695">
        <v>33.152700000000003</v>
      </c>
    </row>
    <row r="696" spans="3:5" x14ac:dyDescent="0.35">
      <c r="C696">
        <f t="shared" si="11"/>
        <v>1901</v>
      </c>
      <c r="D696" s="7">
        <v>695</v>
      </c>
      <c r="E696">
        <v>32.929299999999998</v>
      </c>
    </row>
    <row r="697" spans="3:5" x14ac:dyDescent="0.35">
      <c r="C697">
        <f t="shared" si="11"/>
        <v>1901</v>
      </c>
      <c r="D697" s="7">
        <v>696</v>
      </c>
      <c r="E697">
        <v>33.612299999999998</v>
      </c>
    </row>
    <row r="698" spans="3:5" x14ac:dyDescent="0.35">
      <c r="C698">
        <f t="shared" si="11"/>
        <v>1901</v>
      </c>
      <c r="D698" s="7">
        <v>697</v>
      </c>
      <c r="E698">
        <v>33.627000000000002</v>
      </c>
    </row>
    <row r="699" spans="3:5" x14ac:dyDescent="0.35">
      <c r="C699">
        <f t="shared" si="11"/>
        <v>1901</v>
      </c>
      <c r="D699" s="7">
        <v>698</v>
      </c>
      <c r="E699">
        <v>33.696800000000003</v>
      </c>
    </row>
    <row r="700" spans="3:5" x14ac:dyDescent="0.35">
      <c r="C700">
        <f t="shared" si="11"/>
        <v>1901</v>
      </c>
      <c r="D700" s="7">
        <v>699</v>
      </c>
      <c r="E700">
        <v>33.607300000000002</v>
      </c>
    </row>
    <row r="701" spans="3:5" x14ac:dyDescent="0.35">
      <c r="C701">
        <f t="shared" si="11"/>
        <v>1901</v>
      </c>
      <c r="D701" s="7">
        <v>700</v>
      </c>
      <c r="E701">
        <v>33.630699999999997</v>
      </c>
    </row>
    <row r="702" spans="3:5" x14ac:dyDescent="0.35">
      <c r="C702">
        <f t="shared" si="11"/>
        <v>1901</v>
      </c>
      <c r="D702" s="7">
        <v>701</v>
      </c>
      <c r="E702">
        <v>34.406100000000002</v>
      </c>
    </row>
    <row r="703" spans="3:5" x14ac:dyDescent="0.35">
      <c r="C703">
        <f t="shared" si="11"/>
        <v>1901</v>
      </c>
      <c r="D703" s="7">
        <v>702</v>
      </c>
      <c r="E703">
        <v>35.189799999999998</v>
      </c>
    </row>
    <row r="704" spans="3:5" x14ac:dyDescent="0.35">
      <c r="C704">
        <f t="shared" si="11"/>
        <v>1901</v>
      </c>
      <c r="D704" s="7">
        <v>703</v>
      </c>
      <c r="E704">
        <v>34.950000000000003</v>
      </c>
    </row>
    <row r="705" spans="3:5" x14ac:dyDescent="0.35">
      <c r="C705">
        <f t="shared" si="11"/>
        <v>1901</v>
      </c>
      <c r="D705" s="7">
        <v>704</v>
      </c>
      <c r="E705">
        <v>34.994700000000002</v>
      </c>
    </row>
    <row r="706" spans="3:5" x14ac:dyDescent="0.35">
      <c r="C706">
        <f t="shared" si="11"/>
        <v>1901</v>
      </c>
      <c r="D706" s="7">
        <v>705</v>
      </c>
      <c r="E706">
        <v>34.768999999999998</v>
      </c>
    </row>
    <row r="707" spans="3:5" x14ac:dyDescent="0.35">
      <c r="C707">
        <f t="shared" ref="C707:C770" si="12">YEAR(D707)</f>
        <v>1901</v>
      </c>
      <c r="D707" s="7">
        <v>706</v>
      </c>
      <c r="E707">
        <v>35.202300000000001</v>
      </c>
    </row>
    <row r="708" spans="3:5" x14ac:dyDescent="0.35">
      <c r="C708">
        <f t="shared" si="12"/>
        <v>1901</v>
      </c>
      <c r="D708" s="7">
        <v>707</v>
      </c>
      <c r="E708">
        <v>35.388500000000001</v>
      </c>
    </row>
    <row r="709" spans="3:5" x14ac:dyDescent="0.35">
      <c r="C709">
        <f t="shared" si="12"/>
        <v>1901</v>
      </c>
      <c r="D709" s="7">
        <v>708</v>
      </c>
      <c r="E709">
        <v>35.944600000000001</v>
      </c>
    </row>
    <row r="710" spans="3:5" x14ac:dyDescent="0.35">
      <c r="C710">
        <f t="shared" si="12"/>
        <v>1901</v>
      </c>
      <c r="D710" s="7">
        <v>709</v>
      </c>
      <c r="E710">
        <v>35.941099999999999</v>
      </c>
    </row>
    <row r="711" spans="3:5" x14ac:dyDescent="0.35">
      <c r="C711">
        <f t="shared" si="12"/>
        <v>1901</v>
      </c>
      <c r="D711" s="7">
        <v>710</v>
      </c>
      <c r="E711">
        <v>35.676499999999997</v>
      </c>
    </row>
    <row r="712" spans="3:5" x14ac:dyDescent="0.35">
      <c r="C712">
        <f t="shared" si="12"/>
        <v>1901</v>
      </c>
      <c r="D712" s="7">
        <v>711</v>
      </c>
      <c r="E712">
        <v>35.758800000000001</v>
      </c>
    </row>
    <row r="713" spans="3:5" x14ac:dyDescent="0.35">
      <c r="C713">
        <f t="shared" si="12"/>
        <v>1901</v>
      </c>
      <c r="D713" s="7">
        <v>712</v>
      </c>
      <c r="E713">
        <v>36.377099999999999</v>
      </c>
    </row>
    <row r="714" spans="3:5" x14ac:dyDescent="0.35">
      <c r="C714">
        <f t="shared" si="12"/>
        <v>1901</v>
      </c>
      <c r="D714" s="7">
        <v>713</v>
      </c>
      <c r="E714">
        <v>36.9831</v>
      </c>
    </row>
    <row r="715" spans="3:5" x14ac:dyDescent="0.35">
      <c r="C715">
        <f t="shared" si="12"/>
        <v>1901</v>
      </c>
      <c r="D715" s="7">
        <v>714</v>
      </c>
      <c r="E715">
        <v>37.791899999999998</v>
      </c>
    </row>
    <row r="716" spans="3:5" x14ac:dyDescent="0.35">
      <c r="C716">
        <f t="shared" si="12"/>
        <v>1901</v>
      </c>
      <c r="D716" s="7">
        <v>715</v>
      </c>
      <c r="E716">
        <v>38.503799999999998</v>
      </c>
    </row>
    <row r="717" spans="3:5" x14ac:dyDescent="0.35">
      <c r="C717">
        <f t="shared" si="12"/>
        <v>1901</v>
      </c>
      <c r="D717" s="7">
        <v>716</v>
      </c>
      <c r="E717">
        <v>38.197499999999998</v>
      </c>
    </row>
    <row r="718" spans="3:5" x14ac:dyDescent="0.35">
      <c r="C718">
        <f t="shared" si="12"/>
        <v>1901</v>
      </c>
      <c r="D718" s="7">
        <v>717</v>
      </c>
      <c r="E718">
        <v>37.850299999999997</v>
      </c>
    </row>
    <row r="719" spans="3:5" x14ac:dyDescent="0.35">
      <c r="C719">
        <f t="shared" si="12"/>
        <v>1901</v>
      </c>
      <c r="D719" s="7">
        <v>718</v>
      </c>
      <c r="E719">
        <v>38.302399999999999</v>
      </c>
    </row>
    <row r="720" spans="3:5" x14ac:dyDescent="0.35">
      <c r="C720">
        <f t="shared" si="12"/>
        <v>1901</v>
      </c>
      <c r="D720" s="7">
        <v>719</v>
      </c>
      <c r="E720">
        <v>36.773899999999998</v>
      </c>
    </row>
    <row r="721" spans="3:5" x14ac:dyDescent="0.35">
      <c r="C721">
        <f t="shared" si="12"/>
        <v>1901</v>
      </c>
      <c r="D721" s="7">
        <v>720</v>
      </c>
      <c r="E721">
        <v>37.109299999999998</v>
      </c>
    </row>
    <row r="722" spans="3:5" x14ac:dyDescent="0.35">
      <c r="C722">
        <f t="shared" si="12"/>
        <v>1901</v>
      </c>
      <c r="D722" s="7">
        <v>721</v>
      </c>
      <c r="E722">
        <v>37.982700000000001</v>
      </c>
    </row>
    <row r="723" spans="3:5" x14ac:dyDescent="0.35">
      <c r="C723">
        <f t="shared" si="12"/>
        <v>1901</v>
      </c>
      <c r="D723" s="7">
        <v>722</v>
      </c>
      <c r="E723">
        <v>38.246099999999998</v>
      </c>
    </row>
    <row r="724" spans="3:5" x14ac:dyDescent="0.35">
      <c r="C724">
        <f t="shared" si="12"/>
        <v>1901</v>
      </c>
      <c r="D724" s="7">
        <v>723</v>
      </c>
      <c r="E724">
        <v>39.6935</v>
      </c>
    </row>
    <row r="725" spans="3:5" x14ac:dyDescent="0.35">
      <c r="C725">
        <f t="shared" si="12"/>
        <v>1901</v>
      </c>
      <c r="D725" s="7">
        <v>724</v>
      </c>
      <c r="E725">
        <v>38.639299999999999</v>
      </c>
    </row>
    <row r="726" spans="3:5" x14ac:dyDescent="0.35">
      <c r="C726">
        <f t="shared" si="12"/>
        <v>1901</v>
      </c>
      <c r="D726" s="7">
        <v>725</v>
      </c>
      <c r="E726">
        <v>41.761899999999997</v>
      </c>
    </row>
    <row r="727" spans="3:5" x14ac:dyDescent="0.35">
      <c r="C727">
        <f t="shared" si="12"/>
        <v>1901</v>
      </c>
      <c r="D727" s="7">
        <v>726</v>
      </c>
      <c r="E727">
        <v>41.437800000000003</v>
      </c>
    </row>
    <row r="728" spans="3:5" x14ac:dyDescent="0.35">
      <c r="C728">
        <f t="shared" si="12"/>
        <v>1901</v>
      </c>
      <c r="D728" s="7">
        <v>727</v>
      </c>
      <c r="E728">
        <v>41.394599999999997</v>
      </c>
    </row>
    <row r="729" spans="3:5" x14ac:dyDescent="0.35">
      <c r="C729">
        <f t="shared" si="12"/>
        <v>1901</v>
      </c>
      <c r="D729" s="7">
        <v>728</v>
      </c>
      <c r="E729">
        <v>41.340600000000002</v>
      </c>
    </row>
    <row r="730" spans="3:5" x14ac:dyDescent="0.35">
      <c r="C730">
        <f t="shared" si="12"/>
        <v>1901</v>
      </c>
      <c r="D730" s="7">
        <v>729</v>
      </c>
      <c r="E730">
        <v>42.735700000000001</v>
      </c>
    </row>
    <row r="731" spans="3:5" x14ac:dyDescent="0.35">
      <c r="C731">
        <f t="shared" si="12"/>
        <v>1901</v>
      </c>
      <c r="D731" s="7">
        <v>730</v>
      </c>
      <c r="E731">
        <v>43.613999999999997</v>
      </c>
    </row>
    <row r="732" spans="3:5" x14ac:dyDescent="0.35">
      <c r="C732">
        <f t="shared" si="12"/>
        <v>1901</v>
      </c>
      <c r="D732" s="7">
        <v>731</v>
      </c>
      <c r="E732">
        <v>45.2286</v>
      </c>
    </row>
    <row r="733" spans="3:5" x14ac:dyDescent="0.35">
      <c r="C733">
        <f t="shared" si="12"/>
        <v>1902</v>
      </c>
      <c r="D733" s="7">
        <v>732</v>
      </c>
      <c r="E733">
        <v>44.613500000000002</v>
      </c>
    </row>
    <row r="734" spans="3:5" x14ac:dyDescent="0.35">
      <c r="C734">
        <f t="shared" si="12"/>
        <v>1902</v>
      </c>
      <c r="D734" s="7">
        <v>733</v>
      </c>
      <c r="E734">
        <v>46.581600000000002</v>
      </c>
    </row>
    <row r="735" spans="3:5" x14ac:dyDescent="0.35">
      <c r="C735">
        <f t="shared" si="12"/>
        <v>1902</v>
      </c>
      <c r="D735" s="7">
        <v>734</v>
      </c>
      <c r="E735">
        <v>49.3279</v>
      </c>
    </row>
    <row r="736" spans="3:5" x14ac:dyDescent="0.35">
      <c r="C736">
        <f t="shared" si="12"/>
        <v>1902</v>
      </c>
      <c r="D736" s="7">
        <v>735</v>
      </c>
      <c r="E736">
        <v>52.5764</v>
      </c>
    </row>
    <row r="737" spans="3:5" x14ac:dyDescent="0.35">
      <c r="C737">
        <f t="shared" si="12"/>
        <v>1902</v>
      </c>
      <c r="D737" s="7">
        <v>736</v>
      </c>
      <c r="E737">
        <v>51.4178</v>
      </c>
    </row>
    <row r="738" spans="3:5" x14ac:dyDescent="0.35">
      <c r="C738">
        <f t="shared" si="12"/>
        <v>1902</v>
      </c>
      <c r="D738" s="7">
        <v>737</v>
      </c>
      <c r="E738">
        <v>52.904299999999999</v>
      </c>
    </row>
    <row r="739" spans="3:5" x14ac:dyDescent="0.35">
      <c r="C739">
        <f t="shared" si="12"/>
        <v>1902</v>
      </c>
      <c r="D739" s="7">
        <v>738</v>
      </c>
      <c r="E739">
        <v>51.811300000000003</v>
      </c>
    </row>
    <row r="740" spans="3:5" x14ac:dyDescent="0.35">
      <c r="C740">
        <f t="shared" si="12"/>
        <v>1902</v>
      </c>
      <c r="D740" s="7">
        <v>739</v>
      </c>
      <c r="E740">
        <v>51.892699999999998</v>
      </c>
    </row>
    <row r="741" spans="3:5" x14ac:dyDescent="0.35">
      <c r="C741">
        <f t="shared" si="12"/>
        <v>1902</v>
      </c>
      <c r="D741" s="7">
        <v>740</v>
      </c>
      <c r="E741">
        <v>52.07</v>
      </c>
    </row>
    <row r="742" spans="3:5" x14ac:dyDescent="0.35">
      <c r="C742">
        <f t="shared" si="12"/>
        <v>1902</v>
      </c>
      <c r="D742" s="7">
        <v>741</v>
      </c>
      <c r="E742">
        <v>51.838999999999999</v>
      </c>
    </row>
    <row r="743" spans="3:5" x14ac:dyDescent="0.35">
      <c r="C743">
        <f t="shared" si="12"/>
        <v>1902</v>
      </c>
      <c r="D743" s="7">
        <v>742</v>
      </c>
      <c r="E743">
        <v>52.445</v>
      </c>
    </row>
    <row r="744" spans="3:5" x14ac:dyDescent="0.35">
      <c r="C744">
        <f t="shared" si="12"/>
        <v>1902</v>
      </c>
      <c r="D744" s="7">
        <v>743</v>
      </c>
      <c r="E744">
        <v>52.489600000000003</v>
      </c>
    </row>
    <row r="745" spans="3:5" x14ac:dyDescent="0.35">
      <c r="C745">
        <f t="shared" si="12"/>
        <v>1902</v>
      </c>
      <c r="D745" s="7">
        <v>744</v>
      </c>
      <c r="E745">
        <v>55.382399999999997</v>
      </c>
    </row>
    <row r="746" spans="3:5" x14ac:dyDescent="0.35">
      <c r="C746">
        <f t="shared" si="12"/>
        <v>1902</v>
      </c>
      <c r="D746" s="7">
        <v>745</v>
      </c>
      <c r="E746">
        <v>56.4938</v>
      </c>
    </row>
    <row r="747" spans="3:5" x14ac:dyDescent="0.35">
      <c r="C747">
        <f t="shared" si="12"/>
        <v>1902</v>
      </c>
      <c r="D747" s="7">
        <v>746</v>
      </c>
      <c r="E747">
        <v>55.844000000000001</v>
      </c>
    </row>
    <row r="748" spans="3:5" x14ac:dyDescent="0.35">
      <c r="C748">
        <f t="shared" si="12"/>
        <v>1902</v>
      </c>
      <c r="D748" s="7">
        <v>747</v>
      </c>
      <c r="E748">
        <v>57.713900000000002</v>
      </c>
    </row>
    <row r="749" spans="3:5" x14ac:dyDescent="0.35">
      <c r="C749">
        <f t="shared" si="12"/>
        <v>1902</v>
      </c>
      <c r="D749" s="7">
        <v>748</v>
      </c>
      <c r="E749">
        <v>57.501100000000001</v>
      </c>
    </row>
    <row r="750" spans="3:5" x14ac:dyDescent="0.35">
      <c r="C750">
        <f t="shared" si="12"/>
        <v>1902</v>
      </c>
      <c r="D750" s="7">
        <v>749</v>
      </c>
      <c r="E750">
        <v>58.378700000000002</v>
      </c>
    </row>
    <row r="751" spans="3:5" x14ac:dyDescent="0.35">
      <c r="C751">
        <f t="shared" si="12"/>
        <v>1902</v>
      </c>
      <c r="D751" s="7">
        <v>750</v>
      </c>
      <c r="E751">
        <v>58.378500000000003</v>
      </c>
    </row>
    <row r="752" spans="3:5" x14ac:dyDescent="0.35">
      <c r="C752">
        <f t="shared" si="12"/>
        <v>1902</v>
      </c>
      <c r="D752" s="7">
        <v>751</v>
      </c>
      <c r="E752">
        <v>56.601300000000002</v>
      </c>
    </row>
    <row r="753" spans="3:5" x14ac:dyDescent="0.35">
      <c r="C753">
        <f t="shared" si="12"/>
        <v>1902</v>
      </c>
      <c r="D753" s="7">
        <v>752</v>
      </c>
      <c r="E753">
        <v>56.668799999999997</v>
      </c>
    </row>
    <row r="754" spans="3:5" x14ac:dyDescent="0.35">
      <c r="C754">
        <f t="shared" si="12"/>
        <v>1902</v>
      </c>
      <c r="D754" s="7">
        <v>753</v>
      </c>
      <c r="E754">
        <v>56.5184</v>
      </c>
    </row>
    <row r="755" spans="3:5" x14ac:dyDescent="0.35">
      <c r="C755">
        <f t="shared" si="12"/>
        <v>1902</v>
      </c>
      <c r="D755" s="7">
        <v>754</v>
      </c>
      <c r="E755">
        <v>57.208500000000001</v>
      </c>
    </row>
    <row r="756" spans="3:5" x14ac:dyDescent="0.35">
      <c r="C756">
        <f t="shared" si="12"/>
        <v>1902</v>
      </c>
      <c r="D756" s="7">
        <v>755</v>
      </c>
      <c r="E756">
        <v>57.084099999999999</v>
      </c>
    </row>
    <row r="757" spans="3:5" x14ac:dyDescent="0.35">
      <c r="C757">
        <f t="shared" si="12"/>
        <v>1902</v>
      </c>
      <c r="D757" s="7">
        <v>756</v>
      </c>
      <c r="E757">
        <v>58.130099999999999</v>
      </c>
    </row>
    <row r="758" spans="3:5" x14ac:dyDescent="0.35">
      <c r="C758">
        <f t="shared" si="12"/>
        <v>1902</v>
      </c>
      <c r="D758" s="7">
        <v>757</v>
      </c>
      <c r="E758">
        <v>59.4514</v>
      </c>
    </row>
    <row r="759" spans="3:5" x14ac:dyDescent="0.35">
      <c r="C759">
        <f t="shared" si="12"/>
        <v>1902</v>
      </c>
      <c r="D759" s="7">
        <v>758</v>
      </c>
      <c r="E759">
        <v>59.104900000000001</v>
      </c>
    </row>
    <row r="760" spans="3:5" x14ac:dyDescent="0.35">
      <c r="C760">
        <f t="shared" si="12"/>
        <v>1902</v>
      </c>
      <c r="D760" s="7">
        <v>759</v>
      </c>
      <c r="E760">
        <v>61.614800000000002</v>
      </c>
    </row>
    <row r="761" spans="3:5" x14ac:dyDescent="0.35">
      <c r="C761">
        <f t="shared" si="12"/>
        <v>1902</v>
      </c>
      <c r="D761" s="7">
        <v>760</v>
      </c>
      <c r="E761">
        <v>60.308300000000003</v>
      </c>
    </row>
    <row r="762" spans="3:5" x14ac:dyDescent="0.35">
      <c r="C762">
        <f t="shared" si="12"/>
        <v>1902</v>
      </c>
      <c r="D762" s="7">
        <v>761</v>
      </c>
      <c r="E762">
        <v>62.169699999999999</v>
      </c>
    </row>
    <row r="763" spans="3:5" x14ac:dyDescent="0.35">
      <c r="C763">
        <f t="shared" si="12"/>
        <v>1902</v>
      </c>
      <c r="D763" s="7">
        <v>762</v>
      </c>
      <c r="E763">
        <v>60.817399999999999</v>
      </c>
    </row>
    <row r="764" spans="3:5" x14ac:dyDescent="0.35">
      <c r="C764">
        <f t="shared" si="12"/>
        <v>1902</v>
      </c>
      <c r="D764" s="7">
        <v>763</v>
      </c>
      <c r="E764">
        <v>60.883099999999999</v>
      </c>
    </row>
    <row r="765" spans="3:5" x14ac:dyDescent="0.35">
      <c r="C765">
        <f t="shared" si="12"/>
        <v>1902</v>
      </c>
      <c r="D765" s="7">
        <v>764</v>
      </c>
      <c r="E765">
        <v>60.713200000000001</v>
      </c>
    </row>
    <row r="766" spans="3:5" x14ac:dyDescent="0.35">
      <c r="C766">
        <f t="shared" si="12"/>
        <v>1902</v>
      </c>
      <c r="D766" s="7">
        <v>765</v>
      </c>
      <c r="E766">
        <v>61.508400000000002</v>
      </c>
    </row>
    <row r="767" spans="3:5" x14ac:dyDescent="0.35">
      <c r="C767">
        <f t="shared" si="12"/>
        <v>1902</v>
      </c>
      <c r="D767" s="7">
        <v>766</v>
      </c>
      <c r="E767">
        <v>62.012599999999999</v>
      </c>
    </row>
    <row r="768" spans="3:5" x14ac:dyDescent="0.35">
      <c r="C768">
        <f t="shared" si="12"/>
        <v>1902</v>
      </c>
      <c r="D768" s="7">
        <v>767</v>
      </c>
      <c r="E768">
        <v>61.945099999999996</v>
      </c>
    </row>
    <row r="769" spans="3:5" x14ac:dyDescent="0.35">
      <c r="C769">
        <f t="shared" si="12"/>
        <v>1902</v>
      </c>
      <c r="D769" s="7">
        <v>768</v>
      </c>
      <c r="E769">
        <v>62.963000000000001</v>
      </c>
    </row>
    <row r="770" spans="3:5" x14ac:dyDescent="0.35">
      <c r="C770">
        <f t="shared" si="12"/>
        <v>1902</v>
      </c>
      <c r="D770" s="7">
        <v>769</v>
      </c>
      <c r="E770">
        <v>66.420100000000005</v>
      </c>
    </row>
    <row r="771" spans="3:5" x14ac:dyDescent="0.35">
      <c r="C771">
        <f t="shared" ref="C771:C834" si="13">YEAR(D771)</f>
        <v>1902</v>
      </c>
      <c r="D771" s="7">
        <v>770</v>
      </c>
      <c r="E771">
        <v>68.148099999999999</v>
      </c>
    </row>
    <row r="772" spans="3:5" x14ac:dyDescent="0.35">
      <c r="C772">
        <f t="shared" si="13"/>
        <v>1902</v>
      </c>
      <c r="D772" s="7">
        <v>771</v>
      </c>
      <c r="E772">
        <v>64.294799999999995</v>
      </c>
    </row>
    <row r="773" spans="3:5" x14ac:dyDescent="0.35">
      <c r="C773">
        <f t="shared" si="13"/>
        <v>1902</v>
      </c>
      <c r="D773" s="7">
        <v>772</v>
      </c>
      <c r="E773">
        <v>65.766900000000007</v>
      </c>
    </row>
    <row r="774" spans="3:5" x14ac:dyDescent="0.35">
      <c r="C774">
        <f t="shared" si="13"/>
        <v>1902</v>
      </c>
      <c r="D774" s="7">
        <v>773</v>
      </c>
      <c r="E774">
        <v>61.948999999999998</v>
      </c>
    </row>
    <row r="775" spans="3:5" x14ac:dyDescent="0.35">
      <c r="C775">
        <f t="shared" si="13"/>
        <v>1902</v>
      </c>
      <c r="D775" s="7">
        <v>774</v>
      </c>
      <c r="E775">
        <v>60.237000000000002</v>
      </c>
    </row>
    <row r="776" spans="3:5" x14ac:dyDescent="0.35">
      <c r="C776">
        <f t="shared" si="13"/>
        <v>1902</v>
      </c>
      <c r="D776" s="7">
        <v>775</v>
      </c>
      <c r="E776">
        <v>60.348399999999998</v>
      </c>
    </row>
    <row r="777" spans="3:5" x14ac:dyDescent="0.35">
      <c r="C777">
        <f t="shared" si="13"/>
        <v>1902</v>
      </c>
      <c r="D777" s="7">
        <v>776</v>
      </c>
      <c r="E777">
        <v>62.236499999999999</v>
      </c>
    </row>
    <row r="778" spans="3:5" x14ac:dyDescent="0.35">
      <c r="C778">
        <f t="shared" si="13"/>
        <v>1902</v>
      </c>
      <c r="D778" s="7">
        <v>777</v>
      </c>
      <c r="E778">
        <v>62.241</v>
      </c>
    </row>
    <row r="779" spans="3:5" x14ac:dyDescent="0.35">
      <c r="C779">
        <f t="shared" si="13"/>
        <v>1902</v>
      </c>
      <c r="D779" s="7">
        <v>778</v>
      </c>
      <c r="E779">
        <v>62.819200000000002</v>
      </c>
    </row>
    <row r="780" spans="3:5" x14ac:dyDescent="0.35">
      <c r="C780">
        <f t="shared" si="13"/>
        <v>1902</v>
      </c>
      <c r="D780" s="7">
        <v>779</v>
      </c>
      <c r="E780">
        <v>61.146500000000003</v>
      </c>
    </row>
    <row r="781" spans="3:5" x14ac:dyDescent="0.35">
      <c r="C781">
        <f t="shared" si="13"/>
        <v>1902</v>
      </c>
      <c r="D781" s="7">
        <v>780</v>
      </c>
      <c r="E781">
        <v>60.433700000000002</v>
      </c>
    </row>
    <row r="782" spans="3:5" x14ac:dyDescent="0.35">
      <c r="C782">
        <f t="shared" si="13"/>
        <v>1902</v>
      </c>
      <c r="D782" s="7">
        <v>781</v>
      </c>
      <c r="E782">
        <v>60.249099999999999</v>
      </c>
    </row>
    <row r="783" spans="3:5" x14ac:dyDescent="0.35">
      <c r="C783">
        <f t="shared" si="13"/>
        <v>1902</v>
      </c>
      <c r="D783" s="7">
        <v>782</v>
      </c>
      <c r="E783">
        <v>60.447899999999997</v>
      </c>
    </row>
    <row r="784" spans="3:5" x14ac:dyDescent="0.35">
      <c r="C784">
        <f t="shared" si="13"/>
        <v>1902</v>
      </c>
      <c r="D784" s="7">
        <v>783</v>
      </c>
      <c r="E784">
        <v>60.715899999999998</v>
      </c>
    </row>
    <row r="785" spans="3:5" x14ac:dyDescent="0.35">
      <c r="C785">
        <f t="shared" si="13"/>
        <v>1902</v>
      </c>
      <c r="D785" s="7">
        <v>784</v>
      </c>
      <c r="E785">
        <v>63.802700000000002</v>
      </c>
    </row>
    <row r="786" spans="3:5" x14ac:dyDescent="0.35">
      <c r="C786">
        <f t="shared" si="13"/>
        <v>1902</v>
      </c>
      <c r="D786" s="7">
        <v>785</v>
      </c>
      <c r="E786">
        <v>67.335800000000006</v>
      </c>
    </row>
    <row r="787" spans="3:5" x14ac:dyDescent="0.35">
      <c r="C787">
        <f t="shared" si="13"/>
        <v>1902</v>
      </c>
      <c r="D787" s="7">
        <v>786</v>
      </c>
      <c r="E787">
        <v>65.141599999999997</v>
      </c>
    </row>
    <row r="788" spans="3:5" x14ac:dyDescent="0.35">
      <c r="C788">
        <f t="shared" si="13"/>
        <v>1902</v>
      </c>
      <c r="D788" s="7">
        <v>787</v>
      </c>
      <c r="E788">
        <v>66.820499999999996</v>
      </c>
    </row>
    <row r="789" spans="3:5" x14ac:dyDescent="0.35">
      <c r="C789">
        <f t="shared" si="13"/>
        <v>1902</v>
      </c>
      <c r="D789" s="7">
        <v>788</v>
      </c>
      <c r="E789">
        <v>66.646199999999993</v>
      </c>
    </row>
    <row r="790" spans="3:5" x14ac:dyDescent="0.35">
      <c r="C790">
        <f t="shared" si="13"/>
        <v>1902</v>
      </c>
      <c r="D790" s="7">
        <v>789</v>
      </c>
      <c r="E790">
        <v>65.250100000000003</v>
      </c>
    </row>
    <row r="791" spans="3:5" x14ac:dyDescent="0.35">
      <c r="C791">
        <f t="shared" si="13"/>
        <v>1902</v>
      </c>
      <c r="D791" s="7">
        <v>790</v>
      </c>
      <c r="E791">
        <v>65.965199999999996</v>
      </c>
    </row>
    <row r="792" spans="3:5" x14ac:dyDescent="0.35">
      <c r="C792">
        <f t="shared" si="13"/>
        <v>1902</v>
      </c>
      <c r="D792" s="7">
        <v>791</v>
      </c>
      <c r="E792">
        <v>65.12</v>
      </c>
    </row>
    <row r="793" spans="3:5" x14ac:dyDescent="0.35">
      <c r="C793">
        <f t="shared" si="13"/>
        <v>1902</v>
      </c>
      <c r="D793" s="7">
        <v>792</v>
      </c>
      <c r="E793">
        <v>66.141099999999994</v>
      </c>
    </row>
    <row r="794" spans="3:5" x14ac:dyDescent="0.35">
      <c r="C794">
        <f t="shared" si="13"/>
        <v>1902</v>
      </c>
      <c r="D794" s="7">
        <v>793</v>
      </c>
      <c r="E794">
        <v>71.207700000000003</v>
      </c>
    </row>
    <row r="795" spans="3:5" x14ac:dyDescent="0.35">
      <c r="C795">
        <f t="shared" si="13"/>
        <v>1902</v>
      </c>
      <c r="D795" s="7">
        <v>794</v>
      </c>
      <c r="E795">
        <v>70.222999999999999</v>
      </c>
    </row>
    <row r="796" spans="3:5" x14ac:dyDescent="0.35">
      <c r="C796">
        <f t="shared" si="13"/>
        <v>1902</v>
      </c>
      <c r="D796" s="7">
        <v>795</v>
      </c>
      <c r="E796">
        <v>71.757400000000004</v>
      </c>
    </row>
    <row r="797" spans="3:5" x14ac:dyDescent="0.35">
      <c r="C797">
        <f t="shared" si="13"/>
        <v>1902</v>
      </c>
      <c r="D797" s="7">
        <v>796</v>
      </c>
      <c r="E797">
        <v>72.0608</v>
      </c>
    </row>
    <row r="798" spans="3:5" x14ac:dyDescent="0.35">
      <c r="C798">
        <f t="shared" si="13"/>
        <v>1902</v>
      </c>
      <c r="D798" s="7">
        <v>797</v>
      </c>
      <c r="E798">
        <v>73.865300000000005</v>
      </c>
    </row>
    <row r="799" spans="3:5" x14ac:dyDescent="0.35">
      <c r="C799">
        <f t="shared" si="13"/>
        <v>1902</v>
      </c>
      <c r="D799" s="7">
        <v>798</v>
      </c>
      <c r="E799">
        <v>72.0428</v>
      </c>
    </row>
    <row r="800" spans="3:5" x14ac:dyDescent="0.35">
      <c r="C800">
        <f t="shared" si="13"/>
        <v>1902</v>
      </c>
      <c r="D800" s="7">
        <v>799</v>
      </c>
      <c r="E800">
        <v>72.372100000000003</v>
      </c>
    </row>
    <row r="801" spans="3:5" x14ac:dyDescent="0.35">
      <c r="C801">
        <f t="shared" si="13"/>
        <v>1902</v>
      </c>
      <c r="D801" s="7">
        <v>800</v>
      </c>
      <c r="E801">
        <v>71.262699999999995</v>
      </c>
    </row>
    <row r="802" spans="3:5" x14ac:dyDescent="0.35">
      <c r="C802">
        <f t="shared" si="13"/>
        <v>1902</v>
      </c>
      <c r="D802" s="7">
        <v>801</v>
      </c>
      <c r="E802">
        <v>71.819400000000002</v>
      </c>
    </row>
    <row r="803" spans="3:5" x14ac:dyDescent="0.35">
      <c r="C803">
        <f t="shared" si="13"/>
        <v>1902</v>
      </c>
      <c r="D803" s="7">
        <v>802</v>
      </c>
      <c r="E803">
        <v>71.058400000000006</v>
      </c>
    </row>
    <row r="804" spans="3:5" x14ac:dyDescent="0.35">
      <c r="C804">
        <f t="shared" si="13"/>
        <v>1902</v>
      </c>
      <c r="D804" s="7">
        <v>803</v>
      </c>
      <c r="E804">
        <v>69.086399999999998</v>
      </c>
    </row>
    <row r="805" spans="3:5" x14ac:dyDescent="0.35">
      <c r="C805">
        <f t="shared" si="13"/>
        <v>1902</v>
      </c>
      <c r="D805" s="7">
        <v>804</v>
      </c>
      <c r="E805">
        <v>68.525400000000005</v>
      </c>
    </row>
    <row r="806" spans="3:5" x14ac:dyDescent="0.35">
      <c r="C806">
        <f t="shared" si="13"/>
        <v>1902</v>
      </c>
      <c r="D806" s="7">
        <v>805</v>
      </c>
      <c r="E806">
        <v>67.022599999999997</v>
      </c>
    </row>
    <row r="807" spans="3:5" x14ac:dyDescent="0.35">
      <c r="C807">
        <f t="shared" si="13"/>
        <v>1902</v>
      </c>
      <c r="D807" s="7">
        <v>806</v>
      </c>
      <c r="E807">
        <v>67.613699999999994</v>
      </c>
    </row>
    <row r="808" spans="3:5" x14ac:dyDescent="0.35">
      <c r="C808">
        <f t="shared" si="13"/>
        <v>1902</v>
      </c>
      <c r="D808" s="7">
        <v>807</v>
      </c>
      <c r="E808">
        <v>68.400800000000004</v>
      </c>
    </row>
    <row r="809" spans="3:5" x14ac:dyDescent="0.35">
      <c r="C809">
        <f t="shared" si="13"/>
        <v>1902</v>
      </c>
      <c r="D809" s="7">
        <v>808</v>
      </c>
      <c r="E809">
        <v>68.098500000000001</v>
      </c>
    </row>
    <row r="810" spans="3:5" x14ac:dyDescent="0.35">
      <c r="C810">
        <f t="shared" si="13"/>
        <v>1902</v>
      </c>
      <c r="D810" s="7">
        <v>809</v>
      </c>
      <c r="E810">
        <v>67.8309</v>
      </c>
    </row>
    <row r="811" spans="3:5" x14ac:dyDescent="0.35">
      <c r="C811">
        <f t="shared" si="13"/>
        <v>1902</v>
      </c>
      <c r="D811" s="7">
        <v>810</v>
      </c>
      <c r="E811">
        <v>69.428200000000004</v>
      </c>
    </row>
    <row r="812" spans="3:5" x14ac:dyDescent="0.35">
      <c r="C812">
        <f t="shared" si="13"/>
        <v>1902</v>
      </c>
      <c r="D812" s="7">
        <v>811</v>
      </c>
      <c r="E812">
        <v>68.702100000000002</v>
      </c>
    </row>
    <row r="813" spans="3:5" x14ac:dyDescent="0.35">
      <c r="C813">
        <f t="shared" si="13"/>
        <v>1902</v>
      </c>
      <c r="D813" s="7">
        <v>812</v>
      </c>
      <c r="E813">
        <v>68.369</v>
      </c>
    </row>
    <row r="814" spans="3:5" x14ac:dyDescent="0.35">
      <c r="C814">
        <f t="shared" si="13"/>
        <v>1902</v>
      </c>
      <c r="D814" s="7">
        <v>813</v>
      </c>
      <c r="E814">
        <v>69.268900000000002</v>
      </c>
    </row>
    <row r="815" spans="3:5" x14ac:dyDescent="0.35">
      <c r="C815">
        <f t="shared" si="13"/>
        <v>1902</v>
      </c>
      <c r="D815" s="7">
        <v>814</v>
      </c>
      <c r="E815">
        <v>69.706800000000001</v>
      </c>
    </row>
    <row r="816" spans="3:5" x14ac:dyDescent="0.35">
      <c r="C816">
        <f t="shared" si="13"/>
        <v>1902</v>
      </c>
      <c r="D816" s="7">
        <v>815</v>
      </c>
      <c r="E816">
        <v>70.630099999999999</v>
      </c>
    </row>
    <row r="817" spans="3:5" x14ac:dyDescent="0.35">
      <c r="C817">
        <f t="shared" si="13"/>
        <v>1902</v>
      </c>
      <c r="D817" s="7">
        <v>816</v>
      </c>
      <c r="E817">
        <v>71.696100000000001</v>
      </c>
    </row>
    <row r="818" spans="3:5" x14ac:dyDescent="0.35">
      <c r="C818">
        <f t="shared" si="13"/>
        <v>1902</v>
      </c>
      <c r="D818" s="7">
        <v>817</v>
      </c>
      <c r="E818">
        <v>71.193600000000004</v>
      </c>
    </row>
    <row r="819" spans="3:5" x14ac:dyDescent="0.35">
      <c r="C819">
        <f t="shared" si="13"/>
        <v>1902</v>
      </c>
      <c r="D819" s="7">
        <v>818</v>
      </c>
      <c r="E819">
        <v>68.044300000000007</v>
      </c>
    </row>
    <row r="820" spans="3:5" x14ac:dyDescent="0.35">
      <c r="C820">
        <f t="shared" si="13"/>
        <v>1902</v>
      </c>
      <c r="D820" s="7">
        <v>819</v>
      </c>
      <c r="E820">
        <v>68.374099999999999</v>
      </c>
    </row>
    <row r="821" spans="3:5" x14ac:dyDescent="0.35">
      <c r="C821">
        <f t="shared" si="13"/>
        <v>1902</v>
      </c>
      <c r="D821" s="7">
        <v>820</v>
      </c>
      <c r="E821">
        <v>68.587400000000002</v>
      </c>
    </row>
    <row r="822" spans="3:5" x14ac:dyDescent="0.35">
      <c r="C822">
        <f t="shared" si="13"/>
        <v>1902</v>
      </c>
      <c r="D822" s="7">
        <v>821</v>
      </c>
      <c r="E822">
        <v>68.725999999999999</v>
      </c>
    </row>
    <row r="823" spans="3:5" x14ac:dyDescent="0.35">
      <c r="C823">
        <f t="shared" si="13"/>
        <v>1902</v>
      </c>
      <c r="D823" s="7">
        <v>822</v>
      </c>
      <c r="E823">
        <v>68.598299999999995</v>
      </c>
    </row>
    <row r="824" spans="3:5" x14ac:dyDescent="0.35">
      <c r="C824">
        <f t="shared" si="13"/>
        <v>1902</v>
      </c>
      <c r="D824" s="7">
        <v>823</v>
      </c>
      <c r="E824">
        <v>69.69</v>
      </c>
    </row>
    <row r="825" spans="3:5" x14ac:dyDescent="0.35">
      <c r="C825">
        <f t="shared" si="13"/>
        <v>1902</v>
      </c>
      <c r="D825" s="7">
        <v>824</v>
      </c>
      <c r="E825">
        <v>78.433700000000002</v>
      </c>
    </row>
    <row r="826" spans="3:5" x14ac:dyDescent="0.35">
      <c r="C826">
        <f t="shared" si="13"/>
        <v>1902</v>
      </c>
      <c r="D826" s="7">
        <v>825</v>
      </c>
      <c r="E826">
        <v>78.0779</v>
      </c>
    </row>
    <row r="827" spans="3:5" x14ac:dyDescent="0.35">
      <c r="C827">
        <f t="shared" si="13"/>
        <v>1902</v>
      </c>
      <c r="D827" s="7">
        <v>826</v>
      </c>
      <c r="E827">
        <v>79.498699999999999</v>
      </c>
    </row>
    <row r="828" spans="3:5" x14ac:dyDescent="0.35">
      <c r="C828">
        <f t="shared" si="13"/>
        <v>1902</v>
      </c>
      <c r="D828" s="7">
        <v>827</v>
      </c>
      <c r="E828">
        <v>76.709900000000005</v>
      </c>
    </row>
    <row r="829" spans="3:5" x14ac:dyDescent="0.35">
      <c r="C829">
        <f t="shared" si="13"/>
        <v>1902</v>
      </c>
      <c r="D829" s="7">
        <v>828</v>
      </c>
      <c r="E829">
        <v>76.444699999999997</v>
      </c>
    </row>
    <row r="830" spans="3:5" x14ac:dyDescent="0.35">
      <c r="C830">
        <f t="shared" si="13"/>
        <v>1902</v>
      </c>
      <c r="D830" s="7">
        <v>829</v>
      </c>
      <c r="E830">
        <v>75.667500000000004</v>
      </c>
    </row>
    <row r="831" spans="3:5" x14ac:dyDescent="0.35">
      <c r="C831">
        <f t="shared" si="13"/>
        <v>1902</v>
      </c>
      <c r="D831" s="7">
        <v>830</v>
      </c>
      <c r="E831">
        <v>76.211299999999994</v>
      </c>
    </row>
    <row r="832" spans="3:5" x14ac:dyDescent="0.35">
      <c r="C832">
        <f t="shared" si="13"/>
        <v>1902</v>
      </c>
      <c r="D832" s="7">
        <v>831</v>
      </c>
      <c r="E832">
        <v>78.231700000000004</v>
      </c>
    </row>
    <row r="833" spans="3:5" x14ac:dyDescent="0.35">
      <c r="C833">
        <f t="shared" si="13"/>
        <v>1902</v>
      </c>
      <c r="D833" s="7">
        <v>832</v>
      </c>
      <c r="E833">
        <v>76.591099999999997</v>
      </c>
    </row>
    <row r="834" spans="3:5" x14ac:dyDescent="0.35">
      <c r="C834">
        <f t="shared" si="13"/>
        <v>1902</v>
      </c>
      <c r="D834" s="7">
        <v>833</v>
      </c>
      <c r="E834">
        <v>78.843599999999995</v>
      </c>
    </row>
    <row r="835" spans="3:5" x14ac:dyDescent="0.35">
      <c r="C835">
        <f t="shared" ref="C835:C898" si="14">YEAR(D835)</f>
        <v>1902</v>
      </c>
      <c r="D835" s="7">
        <v>834</v>
      </c>
      <c r="E835">
        <v>76.1751</v>
      </c>
    </row>
    <row r="836" spans="3:5" x14ac:dyDescent="0.35">
      <c r="C836">
        <f t="shared" si="14"/>
        <v>1902</v>
      </c>
      <c r="D836" s="7">
        <v>835</v>
      </c>
      <c r="E836">
        <v>76.410899999999998</v>
      </c>
    </row>
    <row r="837" spans="3:5" x14ac:dyDescent="0.35">
      <c r="C837">
        <f t="shared" si="14"/>
        <v>1902</v>
      </c>
      <c r="D837" s="7">
        <v>836</v>
      </c>
      <c r="E837">
        <v>77.887799999999999</v>
      </c>
    </row>
    <row r="838" spans="3:5" x14ac:dyDescent="0.35">
      <c r="C838">
        <f t="shared" si="14"/>
        <v>1902</v>
      </c>
      <c r="D838" s="7">
        <v>837</v>
      </c>
      <c r="E838">
        <v>78.569400000000002</v>
      </c>
    </row>
    <row r="839" spans="3:5" x14ac:dyDescent="0.35">
      <c r="C839">
        <f t="shared" si="14"/>
        <v>1902</v>
      </c>
      <c r="D839" s="7">
        <v>838</v>
      </c>
      <c r="E839">
        <v>81.173699999999997</v>
      </c>
    </row>
    <row r="840" spans="3:5" x14ac:dyDescent="0.35">
      <c r="C840">
        <f t="shared" si="14"/>
        <v>1902</v>
      </c>
      <c r="D840" s="7">
        <v>839</v>
      </c>
      <c r="E840">
        <v>83.627499999999998</v>
      </c>
    </row>
    <row r="841" spans="3:5" x14ac:dyDescent="0.35">
      <c r="C841">
        <f t="shared" si="14"/>
        <v>1902</v>
      </c>
      <c r="D841" s="7">
        <v>840</v>
      </c>
      <c r="E841">
        <v>82.7196</v>
      </c>
    </row>
    <row r="842" spans="3:5" x14ac:dyDescent="0.35">
      <c r="C842">
        <f t="shared" si="14"/>
        <v>1902</v>
      </c>
      <c r="D842" s="7">
        <v>841</v>
      </c>
      <c r="E842">
        <v>82.142700000000005</v>
      </c>
    </row>
    <row r="843" spans="3:5" x14ac:dyDescent="0.35">
      <c r="C843">
        <f t="shared" si="14"/>
        <v>1902</v>
      </c>
      <c r="D843" s="7">
        <v>842</v>
      </c>
      <c r="E843">
        <v>82.333200000000005</v>
      </c>
    </row>
    <row r="844" spans="3:5" x14ac:dyDescent="0.35">
      <c r="C844">
        <f t="shared" si="14"/>
        <v>1902</v>
      </c>
      <c r="D844" s="7">
        <v>843</v>
      </c>
      <c r="E844">
        <v>84.297499999999999</v>
      </c>
    </row>
    <row r="845" spans="3:5" x14ac:dyDescent="0.35">
      <c r="C845">
        <f t="shared" si="14"/>
        <v>1902</v>
      </c>
      <c r="D845" s="7">
        <v>844</v>
      </c>
      <c r="E845">
        <v>83.675200000000004</v>
      </c>
    </row>
    <row r="846" spans="3:5" x14ac:dyDescent="0.35">
      <c r="C846">
        <f t="shared" si="14"/>
        <v>1902</v>
      </c>
      <c r="D846" s="7">
        <v>845</v>
      </c>
      <c r="E846">
        <v>84.941100000000006</v>
      </c>
    </row>
    <row r="847" spans="3:5" x14ac:dyDescent="0.35">
      <c r="C847">
        <f t="shared" si="14"/>
        <v>1902</v>
      </c>
      <c r="D847" s="7">
        <v>846</v>
      </c>
      <c r="E847">
        <v>89.219499999999996</v>
      </c>
    </row>
    <row r="848" spans="3:5" x14ac:dyDescent="0.35">
      <c r="C848">
        <f t="shared" si="14"/>
        <v>1902</v>
      </c>
      <c r="D848" s="7">
        <v>847</v>
      </c>
      <c r="E848">
        <v>88.392200000000003</v>
      </c>
    </row>
    <row r="849" spans="3:5" x14ac:dyDescent="0.35">
      <c r="C849">
        <f t="shared" si="14"/>
        <v>1902</v>
      </c>
      <c r="D849" s="7">
        <v>848</v>
      </c>
      <c r="E849">
        <v>90.881</v>
      </c>
    </row>
    <row r="850" spans="3:5" x14ac:dyDescent="0.35">
      <c r="C850">
        <f t="shared" si="14"/>
        <v>1902</v>
      </c>
      <c r="D850" s="7">
        <v>849</v>
      </c>
      <c r="E850">
        <v>88.883099999999999</v>
      </c>
    </row>
    <row r="851" spans="3:5" x14ac:dyDescent="0.35">
      <c r="C851">
        <f t="shared" si="14"/>
        <v>1902</v>
      </c>
      <c r="D851" s="7">
        <v>850</v>
      </c>
      <c r="E851">
        <v>92.156199999999998</v>
      </c>
    </row>
    <row r="852" spans="3:5" x14ac:dyDescent="0.35">
      <c r="C852">
        <f t="shared" si="14"/>
        <v>1902</v>
      </c>
      <c r="D852" s="7">
        <v>851</v>
      </c>
      <c r="E852">
        <v>92.974500000000006</v>
      </c>
    </row>
    <row r="853" spans="3:5" x14ac:dyDescent="0.35">
      <c r="C853">
        <f t="shared" si="14"/>
        <v>1902</v>
      </c>
      <c r="D853" s="7">
        <v>852</v>
      </c>
      <c r="E853">
        <v>91.903800000000004</v>
      </c>
    </row>
    <row r="854" spans="3:5" x14ac:dyDescent="0.35">
      <c r="C854">
        <f t="shared" si="14"/>
        <v>1902</v>
      </c>
      <c r="D854" s="7">
        <v>853</v>
      </c>
      <c r="E854">
        <v>93.408000000000001</v>
      </c>
    </row>
    <row r="855" spans="3:5" x14ac:dyDescent="0.35">
      <c r="C855">
        <f t="shared" si="14"/>
        <v>1902</v>
      </c>
      <c r="D855" s="7">
        <v>854</v>
      </c>
      <c r="E855">
        <v>95.564599999999999</v>
      </c>
    </row>
    <row r="856" spans="3:5" x14ac:dyDescent="0.35">
      <c r="C856">
        <f t="shared" si="14"/>
        <v>1902</v>
      </c>
      <c r="D856" s="7">
        <v>855</v>
      </c>
      <c r="E856">
        <v>91.983400000000003</v>
      </c>
    </row>
    <row r="857" spans="3:5" x14ac:dyDescent="0.35">
      <c r="C857">
        <f t="shared" si="14"/>
        <v>1902</v>
      </c>
      <c r="D857" s="7">
        <v>856</v>
      </c>
      <c r="E857">
        <v>90.001400000000004</v>
      </c>
    </row>
    <row r="858" spans="3:5" x14ac:dyDescent="0.35">
      <c r="C858">
        <f t="shared" si="14"/>
        <v>1902</v>
      </c>
      <c r="D858" s="7">
        <v>857</v>
      </c>
      <c r="E858">
        <v>90.289100000000005</v>
      </c>
    </row>
    <row r="859" spans="3:5" x14ac:dyDescent="0.35">
      <c r="C859">
        <f t="shared" si="14"/>
        <v>1902</v>
      </c>
      <c r="D859" s="7">
        <v>858</v>
      </c>
      <c r="E859">
        <v>75.181700000000006</v>
      </c>
    </row>
    <row r="860" spans="3:5" x14ac:dyDescent="0.35">
      <c r="C860">
        <f t="shared" si="14"/>
        <v>1902</v>
      </c>
      <c r="D860" s="7">
        <v>859</v>
      </c>
      <c r="E860">
        <v>82.837699999999998</v>
      </c>
    </row>
    <row r="861" spans="3:5" x14ac:dyDescent="0.35">
      <c r="C861">
        <f t="shared" si="14"/>
        <v>1902</v>
      </c>
      <c r="D861" s="7">
        <v>860</v>
      </c>
      <c r="E861">
        <v>84.337299999999999</v>
      </c>
    </row>
    <row r="862" spans="3:5" x14ac:dyDescent="0.35">
      <c r="C862">
        <f t="shared" si="14"/>
        <v>1902</v>
      </c>
      <c r="D862" s="7">
        <v>861</v>
      </c>
      <c r="E862">
        <v>77.962299999999999</v>
      </c>
    </row>
    <row r="863" spans="3:5" x14ac:dyDescent="0.35">
      <c r="C863">
        <f t="shared" si="14"/>
        <v>1902</v>
      </c>
      <c r="D863" s="7">
        <v>862</v>
      </c>
      <c r="E863">
        <v>83.508600000000001</v>
      </c>
    </row>
    <row r="864" spans="3:5" x14ac:dyDescent="0.35">
      <c r="C864">
        <f t="shared" si="14"/>
        <v>1902</v>
      </c>
      <c r="D864" s="7">
        <v>863</v>
      </c>
      <c r="E864">
        <v>82.6982</v>
      </c>
    </row>
    <row r="865" spans="3:5" x14ac:dyDescent="0.35">
      <c r="C865">
        <f t="shared" si="14"/>
        <v>1902</v>
      </c>
      <c r="D865" s="7">
        <v>864</v>
      </c>
      <c r="E865">
        <v>77.773499999999999</v>
      </c>
    </row>
    <row r="866" spans="3:5" x14ac:dyDescent="0.35">
      <c r="C866">
        <f t="shared" si="14"/>
        <v>1902</v>
      </c>
      <c r="D866" s="7">
        <v>865</v>
      </c>
      <c r="E866">
        <v>78.135300000000001</v>
      </c>
    </row>
    <row r="867" spans="3:5" x14ac:dyDescent="0.35">
      <c r="C867">
        <f t="shared" si="14"/>
        <v>1902</v>
      </c>
      <c r="D867" s="7">
        <v>866</v>
      </c>
      <c r="E867">
        <v>80.267600000000002</v>
      </c>
    </row>
    <row r="868" spans="3:5" x14ac:dyDescent="0.35">
      <c r="C868">
        <f t="shared" si="14"/>
        <v>1902</v>
      </c>
      <c r="D868" s="7">
        <v>867</v>
      </c>
      <c r="E868">
        <v>84.063900000000004</v>
      </c>
    </row>
    <row r="869" spans="3:5" x14ac:dyDescent="0.35">
      <c r="C869">
        <f t="shared" si="14"/>
        <v>1902</v>
      </c>
      <c r="D869" s="7">
        <v>868</v>
      </c>
      <c r="E869">
        <v>82.7346</v>
      </c>
    </row>
    <row r="870" spans="3:5" x14ac:dyDescent="0.35">
      <c r="C870">
        <f t="shared" si="14"/>
        <v>1902</v>
      </c>
      <c r="D870" s="7">
        <v>869</v>
      </c>
      <c r="E870">
        <v>85.546499999999995</v>
      </c>
    </row>
    <row r="871" spans="3:5" x14ac:dyDescent="0.35">
      <c r="C871">
        <f t="shared" si="14"/>
        <v>1902</v>
      </c>
      <c r="D871" s="7">
        <v>870</v>
      </c>
      <c r="E871">
        <v>85.225099999999998</v>
      </c>
    </row>
    <row r="872" spans="3:5" x14ac:dyDescent="0.35">
      <c r="C872">
        <f t="shared" si="14"/>
        <v>1902</v>
      </c>
      <c r="D872" s="7">
        <v>871</v>
      </c>
      <c r="E872">
        <v>87.344700000000003</v>
      </c>
    </row>
    <row r="873" spans="3:5" x14ac:dyDescent="0.35">
      <c r="C873">
        <f t="shared" si="14"/>
        <v>1902</v>
      </c>
      <c r="D873" s="7">
        <v>872</v>
      </c>
      <c r="E873">
        <v>82.521299999999997</v>
      </c>
    </row>
    <row r="874" spans="3:5" x14ac:dyDescent="0.35">
      <c r="C874">
        <f t="shared" si="14"/>
        <v>1902</v>
      </c>
      <c r="D874" s="7">
        <v>873</v>
      </c>
      <c r="E874">
        <v>80.509799999999998</v>
      </c>
    </row>
    <row r="875" spans="3:5" x14ac:dyDescent="0.35">
      <c r="C875">
        <f t="shared" si="14"/>
        <v>1902</v>
      </c>
      <c r="D875" s="7">
        <v>874</v>
      </c>
      <c r="E875">
        <v>87.302199999999999</v>
      </c>
    </row>
    <row r="876" spans="3:5" x14ac:dyDescent="0.35">
      <c r="C876">
        <f t="shared" si="14"/>
        <v>1902</v>
      </c>
      <c r="D876" s="7">
        <v>875</v>
      </c>
      <c r="E876">
        <v>94.070400000000006</v>
      </c>
    </row>
    <row r="877" spans="3:5" x14ac:dyDescent="0.35">
      <c r="C877">
        <f t="shared" si="14"/>
        <v>1902</v>
      </c>
      <c r="D877" s="7">
        <v>876</v>
      </c>
      <c r="E877">
        <v>101.7058</v>
      </c>
    </row>
    <row r="878" spans="3:5" x14ac:dyDescent="0.35">
      <c r="C878">
        <f t="shared" si="14"/>
        <v>1902</v>
      </c>
      <c r="D878" s="7">
        <v>877</v>
      </c>
      <c r="E878">
        <v>99.4</v>
      </c>
    </row>
    <row r="879" spans="3:5" x14ac:dyDescent="0.35">
      <c r="C879">
        <f t="shared" si="14"/>
        <v>1902</v>
      </c>
      <c r="D879" s="7">
        <v>878</v>
      </c>
      <c r="E879">
        <v>97.597099999999998</v>
      </c>
    </row>
    <row r="880" spans="3:5" x14ac:dyDescent="0.35">
      <c r="C880">
        <f t="shared" si="14"/>
        <v>1902</v>
      </c>
      <c r="D880" s="7">
        <v>879</v>
      </c>
      <c r="E880">
        <v>97.792599999999993</v>
      </c>
    </row>
    <row r="881" spans="3:5" x14ac:dyDescent="0.35">
      <c r="C881">
        <f t="shared" si="14"/>
        <v>1902</v>
      </c>
      <c r="D881" s="7">
        <v>880</v>
      </c>
      <c r="E881">
        <v>94.348100000000002</v>
      </c>
    </row>
    <row r="882" spans="3:5" x14ac:dyDescent="0.35">
      <c r="C882">
        <f t="shared" si="14"/>
        <v>1902</v>
      </c>
      <c r="D882" s="7">
        <v>881</v>
      </c>
      <c r="E882">
        <v>98.823499999999996</v>
      </c>
    </row>
    <row r="883" spans="3:5" x14ac:dyDescent="0.35">
      <c r="C883">
        <f t="shared" si="14"/>
        <v>1902</v>
      </c>
      <c r="D883" s="7">
        <v>882</v>
      </c>
      <c r="E883">
        <v>97.067400000000006</v>
      </c>
    </row>
    <row r="884" spans="3:5" x14ac:dyDescent="0.35">
      <c r="C884">
        <f t="shared" si="14"/>
        <v>1902</v>
      </c>
      <c r="D884" s="7">
        <v>883</v>
      </c>
      <c r="E884">
        <v>102.10080000000001</v>
      </c>
    </row>
    <row r="885" spans="3:5" x14ac:dyDescent="0.35">
      <c r="C885">
        <f t="shared" si="14"/>
        <v>1902</v>
      </c>
      <c r="D885" s="7">
        <v>884</v>
      </c>
      <c r="E885">
        <v>103.3417</v>
      </c>
    </row>
    <row r="886" spans="3:5" x14ac:dyDescent="0.35">
      <c r="C886">
        <f t="shared" si="14"/>
        <v>1902</v>
      </c>
      <c r="D886" s="7">
        <v>885</v>
      </c>
      <c r="E886">
        <v>101.2684</v>
      </c>
    </row>
    <row r="887" spans="3:5" x14ac:dyDescent="0.35">
      <c r="C887">
        <f t="shared" si="14"/>
        <v>1902</v>
      </c>
      <c r="D887" s="7">
        <v>886</v>
      </c>
      <c r="E887">
        <v>100.91119999999999</v>
      </c>
    </row>
    <row r="888" spans="3:5" x14ac:dyDescent="0.35">
      <c r="C888">
        <f t="shared" si="14"/>
        <v>1902</v>
      </c>
      <c r="D888" s="7">
        <v>887</v>
      </c>
      <c r="E888">
        <v>100.04259999999999</v>
      </c>
    </row>
    <row r="889" spans="3:5" x14ac:dyDescent="0.35">
      <c r="C889">
        <f t="shared" si="14"/>
        <v>1902</v>
      </c>
      <c r="D889" s="7">
        <v>888</v>
      </c>
      <c r="E889">
        <v>100.5312</v>
      </c>
    </row>
    <row r="890" spans="3:5" x14ac:dyDescent="0.35">
      <c r="C890">
        <f t="shared" si="14"/>
        <v>1902</v>
      </c>
      <c r="D890" s="7">
        <v>889</v>
      </c>
      <c r="E890">
        <v>101.4295</v>
      </c>
    </row>
    <row r="891" spans="3:5" x14ac:dyDescent="0.35">
      <c r="C891">
        <f t="shared" si="14"/>
        <v>1902</v>
      </c>
      <c r="D891" s="7">
        <v>890</v>
      </c>
      <c r="E891">
        <v>102.1639</v>
      </c>
    </row>
    <row r="892" spans="3:5" x14ac:dyDescent="0.35">
      <c r="C892">
        <f t="shared" si="14"/>
        <v>1902</v>
      </c>
      <c r="D892" s="7">
        <v>891</v>
      </c>
      <c r="E892">
        <v>99.440100000000001</v>
      </c>
    </row>
    <row r="893" spans="3:5" x14ac:dyDescent="0.35">
      <c r="C893">
        <f t="shared" si="14"/>
        <v>1902</v>
      </c>
      <c r="D893" s="7">
        <v>892</v>
      </c>
      <c r="E893">
        <v>97.947599999999994</v>
      </c>
    </row>
    <row r="894" spans="3:5" x14ac:dyDescent="0.35">
      <c r="C894">
        <f t="shared" si="14"/>
        <v>1902</v>
      </c>
      <c r="D894" s="7">
        <v>893</v>
      </c>
      <c r="E894">
        <v>98.990899999999996</v>
      </c>
    </row>
    <row r="895" spans="3:5" x14ac:dyDescent="0.35">
      <c r="C895">
        <f t="shared" si="14"/>
        <v>1902</v>
      </c>
      <c r="D895" s="7">
        <v>894</v>
      </c>
      <c r="E895">
        <v>100.4868</v>
      </c>
    </row>
    <row r="896" spans="3:5" x14ac:dyDescent="0.35">
      <c r="C896">
        <f t="shared" si="14"/>
        <v>1902</v>
      </c>
      <c r="D896" s="7">
        <v>895</v>
      </c>
      <c r="E896">
        <v>97.905000000000001</v>
      </c>
    </row>
    <row r="897" spans="3:5" x14ac:dyDescent="0.35">
      <c r="C897">
        <f t="shared" si="14"/>
        <v>1902</v>
      </c>
      <c r="D897" s="7">
        <v>896</v>
      </c>
      <c r="E897">
        <v>99.454300000000003</v>
      </c>
    </row>
    <row r="898" spans="3:5" x14ac:dyDescent="0.35">
      <c r="C898">
        <f t="shared" si="14"/>
        <v>1902</v>
      </c>
      <c r="D898" s="7">
        <v>897</v>
      </c>
      <c r="E898">
        <v>98.546899999999994</v>
      </c>
    </row>
    <row r="899" spans="3:5" x14ac:dyDescent="0.35">
      <c r="C899">
        <f t="shared" ref="C899:C962" si="15">YEAR(D899)</f>
        <v>1902</v>
      </c>
      <c r="D899" s="7">
        <v>898</v>
      </c>
      <c r="E899">
        <v>100.2257</v>
      </c>
    </row>
    <row r="900" spans="3:5" x14ac:dyDescent="0.35">
      <c r="C900">
        <f t="shared" si="15"/>
        <v>1902</v>
      </c>
      <c r="D900" s="7">
        <v>899</v>
      </c>
      <c r="E900">
        <v>100.5954</v>
      </c>
    </row>
    <row r="901" spans="3:5" x14ac:dyDescent="0.35">
      <c r="C901">
        <f t="shared" si="15"/>
        <v>1902</v>
      </c>
      <c r="D901" s="7">
        <v>900</v>
      </c>
      <c r="E901">
        <v>99.402900000000002</v>
      </c>
    </row>
    <row r="902" spans="3:5" x14ac:dyDescent="0.35">
      <c r="C902">
        <f t="shared" si="15"/>
        <v>1902</v>
      </c>
      <c r="D902" s="7">
        <v>901</v>
      </c>
      <c r="E902">
        <v>100.045</v>
      </c>
    </row>
    <row r="903" spans="3:5" x14ac:dyDescent="0.35">
      <c r="C903">
        <f t="shared" si="15"/>
        <v>1902</v>
      </c>
      <c r="D903" s="7">
        <v>902</v>
      </c>
      <c r="E903">
        <v>102.1477</v>
      </c>
    </row>
    <row r="904" spans="3:5" x14ac:dyDescent="0.35">
      <c r="C904">
        <f t="shared" si="15"/>
        <v>1902</v>
      </c>
      <c r="D904" s="7">
        <v>903</v>
      </c>
      <c r="E904">
        <v>105.0772</v>
      </c>
    </row>
    <row r="905" spans="3:5" x14ac:dyDescent="0.35">
      <c r="C905">
        <f t="shared" si="15"/>
        <v>1902</v>
      </c>
      <c r="D905" s="7">
        <v>904</v>
      </c>
      <c r="E905">
        <v>106.004</v>
      </c>
    </row>
    <row r="906" spans="3:5" x14ac:dyDescent="0.35">
      <c r="C906">
        <f t="shared" si="15"/>
        <v>1902</v>
      </c>
      <c r="D906" s="7">
        <v>905</v>
      </c>
      <c r="E906">
        <v>102.7979</v>
      </c>
    </row>
    <row r="907" spans="3:5" x14ac:dyDescent="0.35">
      <c r="C907">
        <f t="shared" si="15"/>
        <v>1902</v>
      </c>
      <c r="D907" s="7">
        <v>906</v>
      </c>
      <c r="E907">
        <v>103.07429999999999</v>
      </c>
    </row>
    <row r="908" spans="3:5" x14ac:dyDescent="0.35">
      <c r="C908">
        <f t="shared" si="15"/>
        <v>1902</v>
      </c>
      <c r="D908" s="7">
        <v>907</v>
      </c>
      <c r="E908">
        <v>105.5852</v>
      </c>
    </row>
    <row r="909" spans="3:5" x14ac:dyDescent="0.35">
      <c r="C909">
        <f t="shared" si="15"/>
        <v>1902</v>
      </c>
      <c r="D909" s="7">
        <v>908</v>
      </c>
      <c r="E909">
        <v>104.7256</v>
      </c>
    </row>
    <row r="910" spans="3:5" x14ac:dyDescent="0.35">
      <c r="C910">
        <f t="shared" si="15"/>
        <v>1902</v>
      </c>
      <c r="D910" s="7">
        <v>909</v>
      </c>
      <c r="E910">
        <v>102.3631</v>
      </c>
    </row>
    <row r="911" spans="3:5" x14ac:dyDescent="0.35">
      <c r="C911">
        <f t="shared" si="15"/>
        <v>1902</v>
      </c>
      <c r="D911" s="7">
        <v>910</v>
      </c>
      <c r="E911">
        <v>98.5702</v>
      </c>
    </row>
    <row r="912" spans="3:5" x14ac:dyDescent="0.35">
      <c r="C912">
        <f t="shared" si="15"/>
        <v>1902</v>
      </c>
      <c r="D912" s="7">
        <v>911</v>
      </c>
      <c r="E912">
        <v>100.2323</v>
      </c>
    </row>
    <row r="913" spans="3:5" x14ac:dyDescent="0.35">
      <c r="C913">
        <f t="shared" si="15"/>
        <v>1902</v>
      </c>
      <c r="D913" s="7">
        <v>912</v>
      </c>
      <c r="E913">
        <v>98.438299999999998</v>
      </c>
    </row>
    <row r="914" spans="3:5" x14ac:dyDescent="0.35">
      <c r="C914">
        <f t="shared" si="15"/>
        <v>1902</v>
      </c>
      <c r="D914" s="7">
        <v>913</v>
      </c>
      <c r="E914">
        <v>93.247799999999998</v>
      </c>
    </row>
    <row r="915" spans="3:5" x14ac:dyDescent="0.35">
      <c r="C915">
        <f t="shared" si="15"/>
        <v>1902</v>
      </c>
      <c r="D915" s="7">
        <v>914</v>
      </c>
      <c r="E915">
        <v>86.672700000000006</v>
      </c>
    </row>
    <row r="916" spans="3:5" x14ac:dyDescent="0.35">
      <c r="C916">
        <f t="shared" si="15"/>
        <v>1902</v>
      </c>
      <c r="D916" s="7">
        <v>915</v>
      </c>
      <c r="E916">
        <v>83.859899999999996</v>
      </c>
    </row>
    <row r="917" spans="3:5" x14ac:dyDescent="0.35">
      <c r="C917">
        <f t="shared" si="15"/>
        <v>1902</v>
      </c>
      <c r="D917" s="7">
        <v>916</v>
      </c>
      <c r="E917">
        <v>82.043899999999994</v>
      </c>
    </row>
    <row r="918" spans="3:5" x14ac:dyDescent="0.35">
      <c r="C918">
        <f t="shared" si="15"/>
        <v>1902</v>
      </c>
      <c r="D918" s="7">
        <v>917</v>
      </c>
      <c r="E918">
        <v>83.719499999999996</v>
      </c>
    </row>
    <row r="919" spans="3:5" x14ac:dyDescent="0.35">
      <c r="C919">
        <f t="shared" si="15"/>
        <v>1902</v>
      </c>
      <c r="D919" s="7">
        <v>918</v>
      </c>
      <c r="E919">
        <v>74.601399999999998</v>
      </c>
    </row>
    <row r="920" spans="3:5" x14ac:dyDescent="0.35">
      <c r="C920">
        <f t="shared" si="15"/>
        <v>1902</v>
      </c>
      <c r="D920" s="7">
        <v>919</v>
      </c>
      <c r="E920">
        <v>68.958299999999994</v>
      </c>
    </row>
    <row r="921" spans="3:5" x14ac:dyDescent="0.35">
      <c r="C921">
        <f t="shared" si="15"/>
        <v>1902</v>
      </c>
      <c r="D921" s="7">
        <v>920</v>
      </c>
      <c r="E921">
        <v>68.588399999999993</v>
      </c>
    </row>
    <row r="922" spans="3:5" x14ac:dyDescent="0.35">
      <c r="C922">
        <f t="shared" si="15"/>
        <v>1902</v>
      </c>
      <c r="D922" s="7">
        <v>921</v>
      </c>
      <c r="E922">
        <v>69.395600000000002</v>
      </c>
    </row>
    <row r="923" spans="3:5" x14ac:dyDescent="0.35">
      <c r="C923">
        <f t="shared" si="15"/>
        <v>1902</v>
      </c>
      <c r="D923" s="7">
        <v>922</v>
      </c>
      <c r="E923">
        <v>68.099100000000007</v>
      </c>
    </row>
    <row r="924" spans="3:5" x14ac:dyDescent="0.35">
      <c r="C924">
        <f t="shared" si="15"/>
        <v>1902</v>
      </c>
      <c r="D924" s="7">
        <v>923</v>
      </c>
      <c r="E924">
        <v>67.690100000000001</v>
      </c>
    </row>
    <row r="925" spans="3:5" x14ac:dyDescent="0.35">
      <c r="C925">
        <f t="shared" si="15"/>
        <v>1902</v>
      </c>
      <c r="D925" s="7">
        <v>924</v>
      </c>
      <c r="E925">
        <v>66.604699999999994</v>
      </c>
    </row>
    <row r="926" spans="3:5" x14ac:dyDescent="0.35">
      <c r="C926">
        <f t="shared" si="15"/>
        <v>1902</v>
      </c>
      <c r="D926" s="7">
        <v>925</v>
      </c>
      <c r="E926">
        <v>64.642499999999998</v>
      </c>
    </row>
    <row r="927" spans="3:5" x14ac:dyDescent="0.35">
      <c r="C927">
        <f t="shared" si="15"/>
        <v>1902</v>
      </c>
      <c r="D927" s="7">
        <v>926</v>
      </c>
      <c r="E927">
        <v>68.216200000000001</v>
      </c>
    </row>
    <row r="928" spans="3:5" x14ac:dyDescent="0.35">
      <c r="C928">
        <f t="shared" si="15"/>
        <v>1902</v>
      </c>
      <c r="D928" s="7">
        <v>927</v>
      </c>
      <c r="E928">
        <v>77.952200000000005</v>
      </c>
    </row>
    <row r="929" spans="3:5" x14ac:dyDescent="0.35">
      <c r="C929">
        <f t="shared" si="15"/>
        <v>1902</v>
      </c>
      <c r="D929" s="7">
        <v>928</v>
      </c>
      <c r="E929">
        <v>77.863100000000003</v>
      </c>
    </row>
    <row r="930" spans="3:5" x14ac:dyDescent="0.35">
      <c r="C930">
        <f t="shared" si="15"/>
        <v>1902</v>
      </c>
      <c r="D930" s="7">
        <v>929</v>
      </c>
      <c r="E930">
        <v>81.138900000000007</v>
      </c>
    </row>
    <row r="931" spans="3:5" x14ac:dyDescent="0.35">
      <c r="C931">
        <f t="shared" si="15"/>
        <v>1902</v>
      </c>
      <c r="D931" s="7">
        <v>930</v>
      </c>
      <c r="E931">
        <v>79.780199999999994</v>
      </c>
    </row>
    <row r="932" spans="3:5" x14ac:dyDescent="0.35">
      <c r="C932">
        <f t="shared" si="15"/>
        <v>1902</v>
      </c>
      <c r="D932" s="7">
        <v>931</v>
      </c>
      <c r="E932">
        <v>83.699600000000004</v>
      </c>
    </row>
    <row r="933" spans="3:5" x14ac:dyDescent="0.35">
      <c r="C933">
        <f t="shared" si="15"/>
        <v>1902</v>
      </c>
      <c r="D933" s="7">
        <v>932</v>
      </c>
      <c r="E933">
        <v>84.309700000000007</v>
      </c>
    </row>
    <row r="934" spans="3:5" x14ac:dyDescent="0.35">
      <c r="C934">
        <f t="shared" si="15"/>
        <v>1902</v>
      </c>
      <c r="D934" s="7">
        <v>933</v>
      </c>
      <c r="E934">
        <v>85.570300000000003</v>
      </c>
    </row>
    <row r="935" spans="3:5" x14ac:dyDescent="0.35">
      <c r="C935">
        <f t="shared" si="15"/>
        <v>1902</v>
      </c>
      <c r="D935" s="7">
        <v>934</v>
      </c>
      <c r="E935">
        <v>89.533799999999999</v>
      </c>
    </row>
    <row r="936" spans="3:5" x14ac:dyDescent="0.35">
      <c r="C936">
        <f t="shared" si="15"/>
        <v>1902</v>
      </c>
      <c r="D936" s="7">
        <v>935</v>
      </c>
      <c r="E936">
        <v>93.123099999999994</v>
      </c>
    </row>
    <row r="937" spans="3:5" x14ac:dyDescent="0.35">
      <c r="C937">
        <f t="shared" si="15"/>
        <v>1902</v>
      </c>
      <c r="D937" s="7">
        <v>936</v>
      </c>
      <c r="E937">
        <v>91.594499999999996</v>
      </c>
    </row>
    <row r="938" spans="3:5" x14ac:dyDescent="0.35">
      <c r="C938">
        <f t="shared" si="15"/>
        <v>1902</v>
      </c>
      <c r="D938" s="7">
        <v>937</v>
      </c>
      <c r="E938">
        <v>93.621899999999997</v>
      </c>
    </row>
    <row r="939" spans="3:5" x14ac:dyDescent="0.35">
      <c r="C939">
        <f t="shared" si="15"/>
        <v>1902</v>
      </c>
      <c r="D939" s="7">
        <v>938</v>
      </c>
      <c r="E939">
        <v>90.793000000000006</v>
      </c>
    </row>
    <row r="940" spans="3:5" x14ac:dyDescent="0.35">
      <c r="C940">
        <f t="shared" si="15"/>
        <v>1902</v>
      </c>
      <c r="D940" s="7">
        <v>939</v>
      </c>
      <c r="E940">
        <v>89.389899999999997</v>
      </c>
    </row>
    <row r="941" spans="3:5" x14ac:dyDescent="0.35">
      <c r="C941">
        <f t="shared" si="15"/>
        <v>1902</v>
      </c>
      <c r="D941" s="7">
        <v>940</v>
      </c>
      <c r="E941">
        <v>86.766199999999998</v>
      </c>
    </row>
    <row r="942" spans="3:5" x14ac:dyDescent="0.35">
      <c r="C942">
        <f t="shared" si="15"/>
        <v>1902</v>
      </c>
      <c r="D942" s="7">
        <v>941</v>
      </c>
      <c r="E942">
        <v>88.585599999999999</v>
      </c>
    </row>
    <row r="943" spans="3:5" x14ac:dyDescent="0.35">
      <c r="C943">
        <f t="shared" si="15"/>
        <v>1902</v>
      </c>
      <c r="D943" s="7">
        <v>942</v>
      </c>
      <c r="E943">
        <v>92.949799999999996</v>
      </c>
    </row>
    <row r="944" spans="3:5" x14ac:dyDescent="0.35">
      <c r="C944">
        <f t="shared" si="15"/>
        <v>1902</v>
      </c>
      <c r="D944" s="7">
        <v>943</v>
      </c>
      <c r="E944">
        <v>90.054599999999994</v>
      </c>
    </row>
    <row r="945" spans="3:5" x14ac:dyDescent="0.35">
      <c r="C945">
        <f t="shared" si="15"/>
        <v>1902</v>
      </c>
      <c r="D945" s="7">
        <v>944</v>
      </c>
      <c r="E945">
        <v>91.468500000000006</v>
      </c>
    </row>
    <row r="946" spans="3:5" x14ac:dyDescent="0.35">
      <c r="C946">
        <f t="shared" si="15"/>
        <v>1902</v>
      </c>
      <c r="D946" s="7">
        <v>945</v>
      </c>
      <c r="E946">
        <v>92.517700000000005</v>
      </c>
    </row>
    <row r="947" spans="3:5" x14ac:dyDescent="0.35">
      <c r="C947">
        <f t="shared" si="15"/>
        <v>1902</v>
      </c>
      <c r="D947" s="7">
        <v>946</v>
      </c>
      <c r="E947">
        <v>91.494799999999998</v>
      </c>
    </row>
    <row r="948" spans="3:5" x14ac:dyDescent="0.35">
      <c r="C948">
        <f t="shared" si="15"/>
        <v>1902</v>
      </c>
      <c r="D948" s="7">
        <v>947</v>
      </c>
      <c r="E948">
        <v>89.590500000000006</v>
      </c>
    </row>
    <row r="949" spans="3:5" x14ac:dyDescent="0.35">
      <c r="C949">
        <f t="shared" si="15"/>
        <v>1902</v>
      </c>
      <c r="D949" s="7">
        <v>948</v>
      </c>
      <c r="E949">
        <v>92.221599999999995</v>
      </c>
    </row>
    <row r="950" spans="3:5" x14ac:dyDescent="0.35">
      <c r="C950">
        <f t="shared" si="15"/>
        <v>1902</v>
      </c>
      <c r="D950" s="7">
        <v>949</v>
      </c>
      <c r="E950">
        <v>96.628399999999999</v>
      </c>
    </row>
    <row r="951" spans="3:5" x14ac:dyDescent="0.35">
      <c r="C951">
        <f t="shared" si="15"/>
        <v>1902</v>
      </c>
      <c r="D951" s="7">
        <v>950</v>
      </c>
      <c r="E951">
        <v>95.415099999999995</v>
      </c>
    </row>
    <row r="952" spans="3:5" x14ac:dyDescent="0.35">
      <c r="C952">
        <f t="shared" si="15"/>
        <v>1902</v>
      </c>
      <c r="D952" s="7">
        <v>951</v>
      </c>
      <c r="E952">
        <v>95.947199999999995</v>
      </c>
    </row>
    <row r="953" spans="3:5" x14ac:dyDescent="0.35">
      <c r="C953">
        <f t="shared" si="15"/>
        <v>1902</v>
      </c>
      <c r="D953" s="7">
        <v>952</v>
      </c>
      <c r="E953">
        <v>95.119</v>
      </c>
    </row>
    <row r="954" spans="3:5" x14ac:dyDescent="0.35">
      <c r="C954">
        <f t="shared" si="15"/>
        <v>1902</v>
      </c>
      <c r="D954" s="7">
        <v>953</v>
      </c>
      <c r="E954">
        <v>92.693399999999997</v>
      </c>
    </row>
    <row r="955" spans="3:5" x14ac:dyDescent="0.35">
      <c r="C955">
        <f t="shared" si="15"/>
        <v>1902</v>
      </c>
      <c r="D955" s="7">
        <v>954</v>
      </c>
      <c r="E955">
        <v>93.640199999999993</v>
      </c>
    </row>
    <row r="956" spans="3:5" x14ac:dyDescent="0.35">
      <c r="C956">
        <f t="shared" si="15"/>
        <v>1902</v>
      </c>
      <c r="D956" s="7">
        <v>955</v>
      </c>
      <c r="E956">
        <v>98.9268</v>
      </c>
    </row>
    <row r="957" spans="3:5" x14ac:dyDescent="0.35">
      <c r="C957">
        <f t="shared" si="15"/>
        <v>1902</v>
      </c>
      <c r="D957" s="7">
        <v>956</v>
      </c>
      <c r="E957">
        <v>97.871799999999993</v>
      </c>
    </row>
    <row r="958" spans="3:5" x14ac:dyDescent="0.35">
      <c r="C958">
        <f t="shared" si="15"/>
        <v>1902</v>
      </c>
      <c r="D958" s="7">
        <v>957</v>
      </c>
      <c r="E958">
        <v>96.741200000000006</v>
      </c>
    </row>
    <row r="959" spans="3:5" x14ac:dyDescent="0.35">
      <c r="C959">
        <f t="shared" si="15"/>
        <v>1902</v>
      </c>
      <c r="D959" s="7">
        <v>958</v>
      </c>
      <c r="E959">
        <v>97.337100000000007</v>
      </c>
    </row>
    <row r="960" spans="3:5" x14ac:dyDescent="0.35">
      <c r="C960">
        <f t="shared" si="15"/>
        <v>1902</v>
      </c>
      <c r="D960" s="7">
        <v>959</v>
      </c>
      <c r="E960">
        <v>96.197400000000002</v>
      </c>
    </row>
    <row r="961" spans="3:5" x14ac:dyDescent="0.35">
      <c r="C961">
        <f t="shared" si="15"/>
        <v>1902</v>
      </c>
      <c r="D961" s="7">
        <v>960</v>
      </c>
      <c r="E961">
        <v>95.898099999999999</v>
      </c>
    </row>
    <row r="962" spans="3:5" x14ac:dyDescent="0.35">
      <c r="C962">
        <f t="shared" si="15"/>
        <v>1902</v>
      </c>
      <c r="D962" s="7">
        <v>961</v>
      </c>
      <c r="E962">
        <v>96.345399999999998</v>
      </c>
    </row>
    <row r="963" spans="3:5" x14ac:dyDescent="0.35">
      <c r="C963">
        <f t="shared" ref="C963:C1026" si="16">YEAR(D963)</f>
        <v>1902</v>
      </c>
      <c r="D963" s="7">
        <v>962</v>
      </c>
      <c r="E963">
        <v>92.685599999999994</v>
      </c>
    </row>
    <row r="964" spans="3:5" x14ac:dyDescent="0.35">
      <c r="C964">
        <f t="shared" si="16"/>
        <v>1902</v>
      </c>
      <c r="D964" s="7">
        <v>963</v>
      </c>
      <c r="E964">
        <v>92.209599999999995</v>
      </c>
    </row>
    <row r="965" spans="3:5" x14ac:dyDescent="0.35">
      <c r="C965">
        <f t="shared" si="16"/>
        <v>1902</v>
      </c>
      <c r="D965" s="7">
        <v>964</v>
      </c>
      <c r="E965">
        <v>93.9893</v>
      </c>
    </row>
    <row r="966" spans="3:5" x14ac:dyDescent="0.35">
      <c r="C966">
        <f t="shared" si="16"/>
        <v>1902</v>
      </c>
      <c r="D966" s="7">
        <v>965</v>
      </c>
      <c r="E966">
        <v>92.278499999999994</v>
      </c>
    </row>
    <row r="967" spans="3:5" x14ac:dyDescent="0.35">
      <c r="C967">
        <f t="shared" si="16"/>
        <v>1902</v>
      </c>
      <c r="D967" s="7">
        <v>966</v>
      </c>
      <c r="E967">
        <v>90.411199999999994</v>
      </c>
    </row>
    <row r="968" spans="3:5" x14ac:dyDescent="0.35">
      <c r="C968">
        <f t="shared" si="16"/>
        <v>1902</v>
      </c>
      <c r="D968" s="7">
        <v>967</v>
      </c>
      <c r="E968">
        <v>90.280500000000004</v>
      </c>
    </row>
    <row r="969" spans="3:5" x14ac:dyDescent="0.35">
      <c r="C969">
        <f t="shared" si="16"/>
        <v>1902</v>
      </c>
      <c r="D969" s="7">
        <v>968</v>
      </c>
      <c r="E969">
        <v>89.981399999999994</v>
      </c>
    </row>
    <row r="970" spans="3:5" x14ac:dyDescent="0.35">
      <c r="C970">
        <f t="shared" si="16"/>
        <v>1902</v>
      </c>
      <c r="D970" s="7">
        <v>969</v>
      </c>
      <c r="E970">
        <v>89.732200000000006</v>
      </c>
    </row>
    <row r="971" spans="3:5" x14ac:dyDescent="0.35">
      <c r="C971">
        <f t="shared" si="16"/>
        <v>1902</v>
      </c>
      <c r="D971" s="7">
        <v>970</v>
      </c>
      <c r="E971">
        <v>85.270899999999997</v>
      </c>
    </row>
    <row r="972" spans="3:5" x14ac:dyDescent="0.35">
      <c r="C972">
        <f t="shared" si="16"/>
        <v>1902</v>
      </c>
      <c r="D972" s="7">
        <v>971</v>
      </c>
      <c r="E972">
        <v>86.5214</v>
      </c>
    </row>
    <row r="973" spans="3:5" x14ac:dyDescent="0.35">
      <c r="C973">
        <f t="shared" si="16"/>
        <v>1902</v>
      </c>
      <c r="D973" s="7">
        <v>972</v>
      </c>
      <c r="E973">
        <v>85.050399999999996</v>
      </c>
    </row>
    <row r="974" spans="3:5" x14ac:dyDescent="0.35">
      <c r="C974">
        <f t="shared" si="16"/>
        <v>1902</v>
      </c>
      <c r="D974" s="7">
        <v>973</v>
      </c>
      <c r="E974">
        <v>87.178600000000003</v>
      </c>
    </row>
    <row r="975" spans="3:5" x14ac:dyDescent="0.35">
      <c r="C975">
        <f t="shared" si="16"/>
        <v>1902</v>
      </c>
      <c r="D975" s="7">
        <v>974</v>
      </c>
      <c r="E975">
        <v>88.837199999999996</v>
      </c>
    </row>
    <row r="976" spans="3:5" x14ac:dyDescent="0.35">
      <c r="C976">
        <f t="shared" si="16"/>
        <v>1902</v>
      </c>
      <c r="D976" s="7">
        <v>975</v>
      </c>
      <c r="E976">
        <v>92.006200000000007</v>
      </c>
    </row>
    <row r="977" spans="3:5" x14ac:dyDescent="0.35">
      <c r="C977">
        <f t="shared" si="16"/>
        <v>1902</v>
      </c>
      <c r="D977" s="7">
        <v>976</v>
      </c>
      <c r="E977">
        <v>89.465100000000007</v>
      </c>
    </row>
    <row r="978" spans="3:5" x14ac:dyDescent="0.35">
      <c r="C978">
        <f t="shared" si="16"/>
        <v>1902</v>
      </c>
      <c r="D978" s="7">
        <v>977</v>
      </c>
      <c r="E978">
        <v>93.031800000000004</v>
      </c>
    </row>
    <row r="979" spans="3:5" x14ac:dyDescent="0.35">
      <c r="C979">
        <f t="shared" si="16"/>
        <v>1902</v>
      </c>
      <c r="D979" s="7">
        <v>978</v>
      </c>
      <c r="E979">
        <v>92.868300000000005</v>
      </c>
    </row>
    <row r="980" spans="3:5" x14ac:dyDescent="0.35">
      <c r="C980">
        <f t="shared" si="16"/>
        <v>1902</v>
      </c>
      <c r="D980" s="7">
        <v>979</v>
      </c>
      <c r="E980">
        <v>93.552400000000006</v>
      </c>
    </row>
    <row r="981" spans="3:5" x14ac:dyDescent="0.35">
      <c r="C981">
        <f t="shared" si="16"/>
        <v>1902</v>
      </c>
      <c r="D981" s="7">
        <v>980</v>
      </c>
      <c r="E981">
        <v>95.635000000000005</v>
      </c>
    </row>
    <row r="982" spans="3:5" x14ac:dyDescent="0.35">
      <c r="C982">
        <f t="shared" si="16"/>
        <v>1902</v>
      </c>
      <c r="D982" s="7">
        <v>981</v>
      </c>
      <c r="E982">
        <v>93.161900000000003</v>
      </c>
    </row>
    <row r="983" spans="3:5" x14ac:dyDescent="0.35">
      <c r="C983">
        <f t="shared" si="16"/>
        <v>1902</v>
      </c>
      <c r="D983" s="7">
        <v>982</v>
      </c>
      <c r="E983">
        <v>92.715599999999995</v>
      </c>
    </row>
    <row r="984" spans="3:5" x14ac:dyDescent="0.35">
      <c r="C984">
        <f t="shared" si="16"/>
        <v>1902</v>
      </c>
      <c r="D984" s="7">
        <v>983</v>
      </c>
      <c r="E984">
        <v>92.416300000000007</v>
      </c>
    </row>
    <row r="985" spans="3:5" x14ac:dyDescent="0.35">
      <c r="C985">
        <f t="shared" si="16"/>
        <v>1902</v>
      </c>
      <c r="D985" s="7">
        <v>984</v>
      </c>
      <c r="E985">
        <v>94.278300000000002</v>
      </c>
    </row>
    <row r="986" spans="3:5" x14ac:dyDescent="0.35">
      <c r="C986">
        <f t="shared" si="16"/>
        <v>1902</v>
      </c>
      <c r="D986" s="7">
        <v>985</v>
      </c>
      <c r="E986">
        <v>89.191999999999993</v>
      </c>
    </row>
    <row r="987" spans="3:5" x14ac:dyDescent="0.35">
      <c r="C987">
        <f t="shared" si="16"/>
        <v>1902</v>
      </c>
      <c r="D987" s="7">
        <v>986</v>
      </c>
      <c r="E987">
        <v>86.393100000000004</v>
      </c>
    </row>
    <row r="988" spans="3:5" x14ac:dyDescent="0.35">
      <c r="C988">
        <f t="shared" si="16"/>
        <v>1902</v>
      </c>
      <c r="D988" s="7">
        <v>987</v>
      </c>
      <c r="E988">
        <v>86.235100000000003</v>
      </c>
    </row>
    <row r="989" spans="3:5" x14ac:dyDescent="0.35">
      <c r="C989">
        <f t="shared" si="16"/>
        <v>1902</v>
      </c>
      <c r="D989" s="7">
        <v>988</v>
      </c>
      <c r="E989">
        <v>89.442700000000002</v>
      </c>
    </row>
    <row r="990" spans="3:5" x14ac:dyDescent="0.35">
      <c r="C990">
        <f t="shared" si="16"/>
        <v>1902</v>
      </c>
      <c r="D990" s="7">
        <v>989</v>
      </c>
      <c r="E990">
        <v>89.815799999999996</v>
      </c>
    </row>
    <row r="991" spans="3:5" x14ac:dyDescent="0.35">
      <c r="C991">
        <f t="shared" si="16"/>
        <v>1902</v>
      </c>
      <c r="D991" s="7">
        <v>990</v>
      </c>
      <c r="E991">
        <v>87.090599999999995</v>
      </c>
    </row>
    <row r="992" spans="3:5" x14ac:dyDescent="0.35">
      <c r="C992">
        <f t="shared" si="16"/>
        <v>1902</v>
      </c>
      <c r="D992" s="7">
        <v>991</v>
      </c>
      <c r="E992">
        <v>88.3279</v>
      </c>
    </row>
    <row r="993" spans="3:5" x14ac:dyDescent="0.35">
      <c r="C993">
        <f t="shared" si="16"/>
        <v>1902</v>
      </c>
      <c r="D993" s="7">
        <v>992</v>
      </c>
      <c r="E993">
        <v>87.696200000000005</v>
      </c>
    </row>
    <row r="994" spans="3:5" x14ac:dyDescent="0.35">
      <c r="C994">
        <f t="shared" si="16"/>
        <v>1902</v>
      </c>
      <c r="D994" s="7">
        <v>993</v>
      </c>
      <c r="E994">
        <v>88.747900000000001</v>
      </c>
    </row>
    <row r="995" spans="3:5" x14ac:dyDescent="0.35">
      <c r="C995">
        <f t="shared" si="16"/>
        <v>1902</v>
      </c>
      <c r="D995" s="7">
        <v>994</v>
      </c>
      <c r="E995">
        <v>88.558300000000003</v>
      </c>
    </row>
    <row r="996" spans="3:5" x14ac:dyDescent="0.35">
      <c r="C996">
        <f t="shared" si="16"/>
        <v>1902</v>
      </c>
      <c r="D996" s="7">
        <v>995</v>
      </c>
      <c r="E996">
        <v>84.774299999999997</v>
      </c>
    </row>
    <row r="997" spans="3:5" x14ac:dyDescent="0.35">
      <c r="C997">
        <f t="shared" si="16"/>
        <v>1902</v>
      </c>
      <c r="D997" s="7">
        <v>996</v>
      </c>
      <c r="E997">
        <v>85.571100000000001</v>
      </c>
    </row>
    <row r="998" spans="3:5" x14ac:dyDescent="0.35">
      <c r="C998">
        <f t="shared" si="16"/>
        <v>1902</v>
      </c>
      <c r="D998" s="7">
        <v>997</v>
      </c>
      <c r="E998">
        <v>83.581500000000005</v>
      </c>
    </row>
    <row r="999" spans="3:5" x14ac:dyDescent="0.35">
      <c r="C999">
        <f t="shared" si="16"/>
        <v>1902</v>
      </c>
      <c r="D999" s="7">
        <v>998</v>
      </c>
      <c r="E999">
        <v>82.218100000000007</v>
      </c>
    </row>
    <row r="1000" spans="3:5" x14ac:dyDescent="0.35">
      <c r="C1000">
        <f t="shared" si="16"/>
        <v>1902</v>
      </c>
      <c r="D1000" s="7">
        <v>999</v>
      </c>
      <c r="E1000">
        <v>78.728099999999998</v>
      </c>
    </row>
    <row r="1001" spans="3:5" x14ac:dyDescent="0.35">
      <c r="C1001">
        <f t="shared" si="16"/>
        <v>1902</v>
      </c>
      <c r="D1001" s="7">
        <v>1000</v>
      </c>
      <c r="E1001">
        <v>80.9786</v>
      </c>
    </row>
    <row r="1002" spans="3:5" x14ac:dyDescent="0.35">
      <c r="C1002">
        <f t="shared" si="16"/>
        <v>1902</v>
      </c>
      <c r="D1002" s="7">
        <v>1001</v>
      </c>
      <c r="E1002">
        <v>73.360399999999998</v>
      </c>
    </row>
    <row r="1003" spans="3:5" x14ac:dyDescent="0.35">
      <c r="C1003">
        <f t="shared" si="16"/>
        <v>1902</v>
      </c>
      <c r="D1003" s="7">
        <v>1002</v>
      </c>
      <c r="E1003">
        <v>69.906300000000002</v>
      </c>
    </row>
    <row r="1004" spans="3:5" x14ac:dyDescent="0.35">
      <c r="C1004">
        <f t="shared" si="16"/>
        <v>1902</v>
      </c>
      <c r="D1004" s="7">
        <v>1003</v>
      </c>
      <c r="E1004">
        <v>76.298699999999997</v>
      </c>
    </row>
    <row r="1005" spans="3:5" x14ac:dyDescent="0.35">
      <c r="C1005">
        <f t="shared" si="16"/>
        <v>1902</v>
      </c>
      <c r="D1005" s="7">
        <v>1004</v>
      </c>
      <c r="E1005">
        <v>78.5916</v>
      </c>
    </row>
    <row r="1006" spans="3:5" x14ac:dyDescent="0.35">
      <c r="C1006">
        <f t="shared" si="16"/>
        <v>1902</v>
      </c>
      <c r="D1006" s="7">
        <v>1005</v>
      </c>
      <c r="E1006">
        <v>75.234999999999999</v>
      </c>
    </row>
    <row r="1007" spans="3:5" x14ac:dyDescent="0.35">
      <c r="C1007">
        <f t="shared" si="16"/>
        <v>1902</v>
      </c>
      <c r="D1007" s="7">
        <v>1006</v>
      </c>
      <c r="E1007">
        <v>74.235699999999994</v>
      </c>
    </row>
    <row r="1008" spans="3:5" x14ac:dyDescent="0.35">
      <c r="C1008">
        <f t="shared" si="16"/>
        <v>1902</v>
      </c>
      <c r="D1008" s="7">
        <v>1007</v>
      </c>
      <c r="E1008">
        <v>77.525000000000006</v>
      </c>
    </row>
    <row r="1009" spans="3:5" x14ac:dyDescent="0.35">
      <c r="C1009">
        <f t="shared" si="16"/>
        <v>1902</v>
      </c>
      <c r="D1009" s="7">
        <v>1008</v>
      </c>
      <c r="E1009">
        <v>79.762100000000004</v>
      </c>
    </row>
    <row r="1010" spans="3:5" x14ac:dyDescent="0.35">
      <c r="C1010">
        <f t="shared" si="16"/>
        <v>1902</v>
      </c>
      <c r="D1010" s="7">
        <v>1009</v>
      </c>
      <c r="E1010">
        <v>79.576400000000007</v>
      </c>
    </row>
    <row r="1011" spans="3:5" x14ac:dyDescent="0.35">
      <c r="C1011">
        <f t="shared" si="16"/>
        <v>1902</v>
      </c>
      <c r="D1011" s="7">
        <v>1010</v>
      </c>
      <c r="E1011">
        <v>79.608800000000002</v>
      </c>
    </row>
    <row r="1012" spans="3:5" x14ac:dyDescent="0.35">
      <c r="C1012">
        <f t="shared" si="16"/>
        <v>1902</v>
      </c>
      <c r="D1012" s="7">
        <v>1011</v>
      </c>
      <c r="E1012">
        <v>81.482500000000002</v>
      </c>
    </row>
    <row r="1013" spans="3:5" x14ac:dyDescent="0.35">
      <c r="C1013">
        <f t="shared" si="16"/>
        <v>1902</v>
      </c>
      <c r="D1013" s="7">
        <v>1012</v>
      </c>
      <c r="E1013">
        <v>82.394599999999997</v>
      </c>
    </row>
    <row r="1014" spans="3:5" x14ac:dyDescent="0.35">
      <c r="C1014">
        <f t="shared" si="16"/>
        <v>1902</v>
      </c>
      <c r="D1014" s="7">
        <v>1013</v>
      </c>
      <c r="E1014">
        <v>82.787300000000002</v>
      </c>
    </row>
    <row r="1015" spans="3:5" x14ac:dyDescent="0.35">
      <c r="C1015">
        <f t="shared" si="16"/>
        <v>1902</v>
      </c>
      <c r="D1015" s="7">
        <v>1014</v>
      </c>
      <c r="E1015">
        <v>84.278300000000002</v>
      </c>
    </row>
    <row r="1016" spans="3:5" x14ac:dyDescent="0.35">
      <c r="C1016">
        <f t="shared" si="16"/>
        <v>1902</v>
      </c>
      <c r="D1016" s="7">
        <v>1015</v>
      </c>
      <c r="E1016">
        <v>82.272099999999995</v>
      </c>
    </row>
    <row r="1017" spans="3:5" x14ac:dyDescent="0.35">
      <c r="C1017">
        <f t="shared" si="16"/>
        <v>1902</v>
      </c>
      <c r="D1017" s="7">
        <v>1016</v>
      </c>
      <c r="E1017">
        <v>76.475099999999998</v>
      </c>
    </row>
    <row r="1018" spans="3:5" x14ac:dyDescent="0.35">
      <c r="C1018">
        <f t="shared" si="16"/>
        <v>1902</v>
      </c>
      <c r="D1018" s="7">
        <v>1017</v>
      </c>
      <c r="E1018">
        <v>79.741100000000003</v>
      </c>
    </row>
    <row r="1019" spans="3:5" x14ac:dyDescent="0.35">
      <c r="C1019">
        <f t="shared" si="16"/>
        <v>1902</v>
      </c>
      <c r="D1019" s="7">
        <v>1018</v>
      </c>
      <c r="E1019">
        <v>80.955600000000004</v>
      </c>
    </row>
    <row r="1020" spans="3:5" x14ac:dyDescent="0.35">
      <c r="C1020">
        <f t="shared" si="16"/>
        <v>1902</v>
      </c>
      <c r="D1020" s="7">
        <v>1019</v>
      </c>
      <c r="E1020">
        <v>76.250900000000001</v>
      </c>
    </row>
    <row r="1021" spans="3:5" x14ac:dyDescent="0.35">
      <c r="C1021">
        <f t="shared" si="16"/>
        <v>1902</v>
      </c>
      <c r="D1021" s="7">
        <v>1020</v>
      </c>
      <c r="E1021">
        <v>75.931700000000006</v>
      </c>
    </row>
    <row r="1022" spans="3:5" x14ac:dyDescent="0.35">
      <c r="C1022">
        <f t="shared" si="16"/>
        <v>1902</v>
      </c>
      <c r="D1022" s="7">
        <v>1021</v>
      </c>
      <c r="E1022">
        <v>74.697500000000005</v>
      </c>
    </row>
    <row r="1023" spans="3:5" x14ac:dyDescent="0.35">
      <c r="C1023">
        <f t="shared" si="16"/>
        <v>1902</v>
      </c>
      <c r="D1023" s="7">
        <v>1022</v>
      </c>
      <c r="E1023">
        <v>75.468699999999998</v>
      </c>
    </row>
    <row r="1024" spans="3:5" x14ac:dyDescent="0.35">
      <c r="C1024">
        <f t="shared" si="16"/>
        <v>1902</v>
      </c>
      <c r="D1024" s="7">
        <v>1023</v>
      </c>
      <c r="E1024">
        <v>79.143199999999993</v>
      </c>
    </row>
    <row r="1025" spans="3:5" x14ac:dyDescent="0.35">
      <c r="C1025">
        <f t="shared" si="16"/>
        <v>1902</v>
      </c>
      <c r="D1025" s="7">
        <v>1024</v>
      </c>
      <c r="E1025">
        <v>77.354900000000001</v>
      </c>
    </row>
    <row r="1026" spans="3:5" x14ac:dyDescent="0.35">
      <c r="C1026">
        <f t="shared" si="16"/>
        <v>1902</v>
      </c>
      <c r="D1026" s="7">
        <v>1025</v>
      </c>
      <c r="E1026">
        <v>74.676500000000004</v>
      </c>
    </row>
    <row r="1027" spans="3:5" x14ac:dyDescent="0.35">
      <c r="C1027">
        <f t="shared" ref="C1027:C1090" si="17">YEAR(D1027)</f>
        <v>1902</v>
      </c>
      <c r="D1027" s="7">
        <v>1026</v>
      </c>
      <c r="E1027">
        <v>73.709100000000007</v>
      </c>
    </row>
    <row r="1028" spans="3:5" x14ac:dyDescent="0.35">
      <c r="C1028">
        <f t="shared" si="17"/>
        <v>1902</v>
      </c>
      <c r="D1028" s="7">
        <v>1027</v>
      </c>
      <c r="E1028">
        <v>75.752499999999998</v>
      </c>
    </row>
    <row r="1029" spans="3:5" x14ac:dyDescent="0.35">
      <c r="C1029">
        <f t="shared" si="17"/>
        <v>1902</v>
      </c>
      <c r="D1029" s="7">
        <v>1028</v>
      </c>
      <c r="E1029">
        <v>77.338399999999993</v>
      </c>
    </row>
    <row r="1030" spans="3:5" x14ac:dyDescent="0.35">
      <c r="C1030">
        <f t="shared" si="17"/>
        <v>1902</v>
      </c>
      <c r="D1030" s="7">
        <v>1029</v>
      </c>
      <c r="E1030">
        <v>78.845600000000005</v>
      </c>
    </row>
    <row r="1031" spans="3:5" x14ac:dyDescent="0.35">
      <c r="C1031">
        <f t="shared" si="17"/>
        <v>1902</v>
      </c>
      <c r="D1031" s="7">
        <v>1030</v>
      </c>
      <c r="E1031">
        <v>78.520099999999999</v>
      </c>
    </row>
    <row r="1032" spans="3:5" x14ac:dyDescent="0.35">
      <c r="C1032">
        <f t="shared" si="17"/>
        <v>1902</v>
      </c>
      <c r="D1032" s="7">
        <v>1031</v>
      </c>
      <c r="E1032">
        <v>77.434299999999993</v>
      </c>
    </row>
    <row r="1033" spans="3:5" x14ac:dyDescent="0.35">
      <c r="C1033">
        <f t="shared" si="17"/>
        <v>1902</v>
      </c>
      <c r="D1033" s="7">
        <v>1032</v>
      </c>
      <c r="E1033">
        <v>76.419300000000007</v>
      </c>
    </row>
    <row r="1034" spans="3:5" x14ac:dyDescent="0.35">
      <c r="C1034">
        <f t="shared" si="17"/>
        <v>1902</v>
      </c>
      <c r="D1034" s="7">
        <v>1033</v>
      </c>
      <c r="E1034">
        <v>77.340199999999996</v>
      </c>
    </row>
    <row r="1035" spans="3:5" x14ac:dyDescent="0.35">
      <c r="C1035">
        <f t="shared" si="17"/>
        <v>1902</v>
      </c>
      <c r="D1035" s="7">
        <v>1034</v>
      </c>
      <c r="E1035">
        <v>78.504499999999993</v>
      </c>
    </row>
    <row r="1036" spans="3:5" x14ac:dyDescent="0.35">
      <c r="C1036">
        <f t="shared" si="17"/>
        <v>1902</v>
      </c>
      <c r="D1036" s="7">
        <v>1035</v>
      </c>
      <c r="E1036">
        <v>76.803700000000006</v>
      </c>
    </row>
    <row r="1037" spans="3:5" x14ac:dyDescent="0.35">
      <c r="C1037">
        <f t="shared" si="17"/>
        <v>1902</v>
      </c>
      <c r="D1037" s="7">
        <v>1036</v>
      </c>
      <c r="E1037">
        <v>73.910399999999996</v>
      </c>
    </row>
    <row r="1038" spans="3:5" x14ac:dyDescent="0.35">
      <c r="C1038">
        <f t="shared" si="17"/>
        <v>1902</v>
      </c>
      <c r="D1038" s="7">
        <v>1037</v>
      </c>
      <c r="E1038">
        <v>73.345799999999997</v>
      </c>
    </row>
    <row r="1039" spans="3:5" x14ac:dyDescent="0.35">
      <c r="C1039">
        <f t="shared" si="17"/>
        <v>1902</v>
      </c>
      <c r="D1039" s="7">
        <v>1038</v>
      </c>
      <c r="E1039">
        <v>73.778599999999997</v>
      </c>
    </row>
    <row r="1040" spans="3:5" x14ac:dyDescent="0.35">
      <c r="C1040">
        <f t="shared" si="17"/>
        <v>1902</v>
      </c>
      <c r="D1040" s="7">
        <v>1039</v>
      </c>
      <c r="E1040">
        <v>73.181200000000004</v>
      </c>
    </row>
    <row r="1041" spans="3:5" x14ac:dyDescent="0.35">
      <c r="C1041">
        <f t="shared" si="17"/>
        <v>1902</v>
      </c>
      <c r="D1041" s="7">
        <v>1040</v>
      </c>
      <c r="E1041">
        <v>73.346900000000005</v>
      </c>
    </row>
    <row r="1042" spans="3:5" x14ac:dyDescent="0.35">
      <c r="C1042">
        <f t="shared" si="17"/>
        <v>1902</v>
      </c>
      <c r="D1042" s="7">
        <v>1041</v>
      </c>
      <c r="E1042">
        <v>70.108599999999996</v>
      </c>
    </row>
    <row r="1043" spans="3:5" x14ac:dyDescent="0.35">
      <c r="C1043">
        <f t="shared" si="17"/>
        <v>1902</v>
      </c>
      <c r="D1043" s="7">
        <v>1042</v>
      </c>
      <c r="E1043">
        <v>69.684100000000001</v>
      </c>
    </row>
    <row r="1044" spans="3:5" x14ac:dyDescent="0.35">
      <c r="C1044">
        <f t="shared" si="17"/>
        <v>1902</v>
      </c>
      <c r="D1044" s="7">
        <v>1043</v>
      </c>
      <c r="E1044">
        <v>68.412899999999993</v>
      </c>
    </row>
    <row r="1045" spans="3:5" x14ac:dyDescent="0.35">
      <c r="C1045">
        <f t="shared" si="17"/>
        <v>1902</v>
      </c>
      <c r="D1045" s="7">
        <v>1044</v>
      </c>
      <c r="E1045">
        <v>70.0548</v>
      </c>
    </row>
    <row r="1046" spans="3:5" x14ac:dyDescent="0.35">
      <c r="C1046">
        <f t="shared" si="17"/>
        <v>1902</v>
      </c>
      <c r="D1046" s="7">
        <v>1045</v>
      </c>
      <c r="E1046">
        <v>65.563800000000001</v>
      </c>
    </row>
    <row r="1047" spans="3:5" x14ac:dyDescent="0.35">
      <c r="C1047">
        <f t="shared" si="17"/>
        <v>1902</v>
      </c>
      <c r="D1047" s="7">
        <v>1046</v>
      </c>
      <c r="E1047">
        <v>68.364099999999993</v>
      </c>
    </row>
    <row r="1048" spans="3:5" x14ac:dyDescent="0.35">
      <c r="C1048">
        <f t="shared" si="17"/>
        <v>1902</v>
      </c>
      <c r="D1048" s="7">
        <v>1047</v>
      </c>
      <c r="E1048">
        <v>68.934600000000003</v>
      </c>
    </row>
    <row r="1049" spans="3:5" x14ac:dyDescent="0.35">
      <c r="C1049">
        <f t="shared" si="17"/>
        <v>1902</v>
      </c>
      <c r="D1049" s="7">
        <v>1048</v>
      </c>
      <c r="E1049">
        <v>69.815700000000007</v>
      </c>
    </row>
    <row r="1050" spans="3:5" x14ac:dyDescent="0.35">
      <c r="C1050">
        <f t="shared" si="17"/>
        <v>1902</v>
      </c>
      <c r="D1050" s="7">
        <v>1049</v>
      </c>
      <c r="E1050">
        <v>67.330299999999994</v>
      </c>
    </row>
    <row r="1051" spans="3:5" x14ac:dyDescent="0.35">
      <c r="C1051">
        <f t="shared" si="17"/>
        <v>1902</v>
      </c>
      <c r="D1051" s="7">
        <v>1050</v>
      </c>
      <c r="E1051">
        <v>63.366300000000003</v>
      </c>
    </row>
    <row r="1052" spans="3:5" x14ac:dyDescent="0.35">
      <c r="C1052">
        <f t="shared" si="17"/>
        <v>1902</v>
      </c>
      <c r="D1052" s="7">
        <v>1051</v>
      </c>
      <c r="E1052">
        <v>63.4313</v>
      </c>
    </row>
    <row r="1053" spans="3:5" x14ac:dyDescent="0.35">
      <c r="C1053">
        <f t="shared" si="17"/>
        <v>1902</v>
      </c>
      <c r="D1053" s="7">
        <v>1052</v>
      </c>
      <c r="E1053">
        <v>62.526400000000002</v>
      </c>
    </row>
    <row r="1054" spans="3:5" x14ac:dyDescent="0.35">
      <c r="C1054">
        <f t="shared" si="17"/>
        <v>1902</v>
      </c>
      <c r="D1054" s="7">
        <v>1053</v>
      </c>
      <c r="E1054">
        <v>63.7883</v>
      </c>
    </row>
    <row r="1055" spans="3:5" x14ac:dyDescent="0.35">
      <c r="C1055">
        <f t="shared" si="17"/>
        <v>1902</v>
      </c>
      <c r="D1055" s="7">
        <v>1054</v>
      </c>
      <c r="E1055">
        <v>62.920699999999997</v>
      </c>
    </row>
    <row r="1056" spans="3:5" x14ac:dyDescent="0.35">
      <c r="C1056">
        <f t="shared" si="17"/>
        <v>1902</v>
      </c>
      <c r="D1056" s="7">
        <v>1055</v>
      </c>
      <c r="E1056">
        <v>64.168099999999995</v>
      </c>
    </row>
    <row r="1057" spans="3:5" x14ac:dyDescent="0.35">
      <c r="C1057">
        <f t="shared" si="17"/>
        <v>1902</v>
      </c>
      <c r="D1057" s="7">
        <v>1056</v>
      </c>
      <c r="E1057">
        <v>66.023200000000003</v>
      </c>
    </row>
    <row r="1058" spans="3:5" x14ac:dyDescent="0.35">
      <c r="C1058">
        <f t="shared" si="17"/>
        <v>1902</v>
      </c>
      <c r="D1058" s="7">
        <v>1057</v>
      </c>
      <c r="E1058">
        <v>64.122500000000002</v>
      </c>
    </row>
    <row r="1059" spans="3:5" x14ac:dyDescent="0.35">
      <c r="C1059">
        <f t="shared" si="17"/>
        <v>1902</v>
      </c>
      <c r="D1059" s="7">
        <v>1058</v>
      </c>
      <c r="E1059">
        <v>64.6691</v>
      </c>
    </row>
    <row r="1060" spans="3:5" x14ac:dyDescent="0.35">
      <c r="C1060">
        <f t="shared" si="17"/>
        <v>1902</v>
      </c>
      <c r="D1060" s="7">
        <v>1059</v>
      </c>
      <c r="E1060">
        <v>64.090900000000005</v>
      </c>
    </row>
    <row r="1061" spans="3:5" x14ac:dyDescent="0.35">
      <c r="C1061">
        <f t="shared" si="17"/>
        <v>1902</v>
      </c>
      <c r="D1061" s="7">
        <v>1060</v>
      </c>
      <c r="E1061">
        <v>63.681600000000003</v>
      </c>
    </row>
    <row r="1062" spans="3:5" x14ac:dyDescent="0.35">
      <c r="C1062">
        <f t="shared" si="17"/>
        <v>1902</v>
      </c>
      <c r="D1062" s="7">
        <v>1061</v>
      </c>
      <c r="E1062">
        <v>64.593500000000006</v>
      </c>
    </row>
    <row r="1063" spans="3:5" x14ac:dyDescent="0.35">
      <c r="C1063">
        <f t="shared" si="17"/>
        <v>1902</v>
      </c>
      <c r="D1063" s="7">
        <v>1062</v>
      </c>
      <c r="E1063">
        <v>67.643100000000004</v>
      </c>
    </row>
    <row r="1064" spans="3:5" x14ac:dyDescent="0.35">
      <c r="C1064">
        <f t="shared" si="17"/>
        <v>1902</v>
      </c>
      <c r="D1064" s="7">
        <v>1063</v>
      </c>
      <c r="E1064">
        <v>67.996499999999997</v>
      </c>
    </row>
    <row r="1065" spans="3:5" x14ac:dyDescent="0.35">
      <c r="C1065">
        <f t="shared" si="17"/>
        <v>1902</v>
      </c>
      <c r="D1065" s="7">
        <v>1064</v>
      </c>
      <c r="E1065">
        <v>69.908299999999997</v>
      </c>
    </row>
    <row r="1066" spans="3:5" x14ac:dyDescent="0.35">
      <c r="C1066">
        <f t="shared" si="17"/>
        <v>1902</v>
      </c>
      <c r="D1066" s="7">
        <v>1065</v>
      </c>
      <c r="E1066">
        <v>73.403599999999997</v>
      </c>
    </row>
    <row r="1067" spans="3:5" x14ac:dyDescent="0.35">
      <c r="C1067">
        <f t="shared" si="17"/>
        <v>1902</v>
      </c>
      <c r="D1067" s="7">
        <v>1066</v>
      </c>
      <c r="E1067">
        <v>75.740700000000004</v>
      </c>
    </row>
    <row r="1068" spans="3:5" x14ac:dyDescent="0.35">
      <c r="C1068">
        <f t="shared" si="17"/>
        <v>1902</v>
      </c>
      <c r="D1068" s="7">
        <v>1067</v>
      </c>
      <c r="E1068">
        <v>77.159599999999998</v>
      </c>
    </row>
    <row r="1069" spans="3:5" x14ac:dyDescent="0.35">
      <c r="C1069">
        <f t="shared" si="17"/>
        <v>1902</v>
      </c>
      <c r="D1069" s="7">
        <v>1068</v>
      </c>
      <c r="E1069">
        <v>77.659300000000002</v>
      </c>
    </row>
    <row r="1070" spans="3:5" x14ac:dyDescent="0.35">
      <c r="C1070">
        <f t="shared" si="17"/>
        <v>1902</v>
      </c>
      <c r="D1070" s="7">
        <v>1069</v>
      </c>
      <c r="E1070">
        <v>76.439099999999996</v>
      </c>
    </row>
    <row r="1071" spans="3:5" x14ac:dyDescent="0.35">
      <c r="C1071">
        <f t="shared" si="17"/>
        <v>1902</v>
      </c>
      <c r="D1071" s="7">
        <v>1070</v>
      </c>
      <c r="E1071">
        <v>77.936999999999998</v>
      </c>
    </row>
    <row r="1072" spans="3:5" x14ac:dyDescent="0.35">
      <c r="C1072">
        <f t="shared" si="17"/>
        <v>1902</v>
      </c>
      <c r="D1072" s="7">
        <v>1071</v>
      </c>
      <c r="E1072">
        <v>77.807000000000002</v>
      </c>
    </row>
    <row r="1073" spans="3:5" x14ac:dyDescent="0.35">
      <c r="C1073">
        <f t="shared" si="17"/>
        <v>1902</v>
      </c>
      <c r="D1073" s="7">
        <v>1072</v>
      </c>
      <c r="E1073">
        <v>76.597700000000003</v>
      </c>
    </row>
    <row r="1074" spans="3:5" x14ac:dyDescent="0.35">
      <c r="C1074">
        <f t="shared" si="17"/>
        <v>1902</v>
      </c>
      <c r="D1074" s="7">
        <v>1073</v>
      </c>
      <c r="E1074">
        <v>75.682500000000005</v>
      </c>
    </row>
    <row r="1075" spans="3:5" x14ac:dyDescent="0.35">
      <c r="C1075">
        <f t="shared" si="17"/>
        <v>1902</v>
      </c>
      <c r="D1075" s="7">
        <v>1074</v>
      </c>
      <c r="E1075">
        <v>75.000900000000001</v>
      </c>
    </row>
    <row r="1076" spans="3:5" x14ac:dyDescent="0.35">
      <c r="C1076">
        <f t="shared" si="17"/>
        <v>1902</v>
      </c>
      <c r="D1076" s="7">
        <v>1075</v>
      </c>
      <c r="E1076">
        <v>75.076300000000003</v>
      </c>
    </row>
    <row r="1077" spans="3:5" x14ac:dyDescent="0.35">
      <c r="C1077">
        <f t="shared" si="17"/>
        <v>1902</v>
      </c>
      <c r="D1077" s="7">
        <v>1076</v>
      </c>
      <c r="E1077">
        <v>75.121600000000001</v>
      </c>
    </row>
    <row r="1078" spans="3:5" x14ac:dyDescent="0.35">
      <c r="C1078">
        <f t="shared" si="17"/>
        <v>1902</v>
      </c>
      <c r="D1078" s="7">
        <v>1077</v>
      </c>
      <c r="E1078">
        <v>74.884100000000004</v>
      </c>
    </row>
    <row r="1079" spans="3:5" x14ac:dyDescent="0.35">
      <c r="C1079">
        <f t="shared" si="17"/>
        <v>1902</v>
      </c>
      <c r="D1079" s="7">
        <v>1078</v>
      </c>
      <c r="E1079">
        <v>76.260900000000007</v>
      </c>
    </row>
    <row r="1080" spans="3:5" x14ac:dyDescent="0.35">
      <c r="C1080">
        <f t="shared" si="17"/>
        <v>1902</v>
      </c>
      <c r="D1080" s="7">
        <v>1079</v>
      </c>
      <c r="E1080">
        <v>78.231099999999998</v>
      </c>
    </row>
    <row r="1081" spans="3:5" x14ac:dyDescent="0.35">
      <c r="C1081">
        <f t="shared" si="17"/>
        <v>1902</v>
      </c>
      <c r="D1081" s="7">
        <v>1080</v>
      </c>
      <c r="E1081">
        <v>77.674599999999998</v>
      </c>
    </row>
    <row r="1082" spans="3:5" x14ac:dyDescent="0.35">
      <c r="C1082">
        <f t="shared" si="17"/>
        <v>1902</v>
      </c>
      <c r="D1082" s="7">
        <v>1081</v>
      </c>
      <c r="E1082">
        <v>77.138900000000007</v>
      </c>
    </row>
    <row r="1083" spans="3:5" x14ac:dyDescent="0.35">
      <c r="C1083">
        <f t="shared" si="17"/>
        <v>1902</v>
      </c>
      <c r="D1083" s="7">
        <v>1082</v>
      </c>
      <c r="E1083">
        <v>75.185699999999997</v>
      </c>
    </row>
    <row r="1084" spans="3:5" x14ac:dyDescent="0.35">
      <c r="C1084">
        <f t="shared" si="17"/>
        <v>1902</v>
      </c>
      <c r="D1084" s="7">
        <v>1083</v>
      </c>
      <c r="E1084">
        <v>73.286799999999999</v>
      </c>
    </row>
    <row r="1085" spans="3:5" x14ac:dyDescent="0.35">
      <c r="C1085">
        <f t="shared" si="17"/>
        <v>1902</v>
      </c>
      <c r="D1085" s="7">
        <v>1084</v>
      </c>
      <c r="E1085">
        <v>73.9054</v>
      </c>
    </row>
    <row r="1086" spans="3:5" x14ac:dyDescent="0.35">
      <c r="C1086">
        <f t="shared" si="17"/>
        <v>1902</v>
      </c>
      <c r="D1086" s="7">
        <v>1085</v>
      </c>
      <c r="E1086">
        <v>73.999099999999999</v>
      </c>
    </row>
    <row r="1087" spans="3:5" x14ac:dyDescent="0.35">
      <c r="C1087">
        <f t="shared" si="17"/>
        <v>1902</v>
      </c>
      <c r="D1087" s="7">
        <v>1086</v>
      </c>
      <c r="E1087">
        <v>76.401399999999995</v>
      </c>
    </row>
    <row r="1088" spans="3:5" x14ac:dyDescent="0.35">
      <c r="C1088">
        <f t="shared" si="17"/>
        <v>1902</v>
      </c>
      <c r="D1088" s="7">
        <v>1087</v>
      </c>
      <c r="E1088">
        <v>77.508200000000002</v>
      </c>
    </row>
    <row r="1089" spans="3:5" x14ac:dyDescent="0.35">
      <c r="C1089">
        <f t="shared" si="17"/>
        <v>1902</v>
      </c>
      <c r="D1089" s="7">
        <v>1088</v>
      </c>
      <c r="E1089">
        <v>76.537199999999999</v>
      </c>
    </row>
    <row r="1090" spans="3:5" x14ac:dyDescent="0.35">
      <c r="C1090">
        <f t="shared" si="17"/>
        <v>1902</v>
      </c>
      <c r="D1090" s="7">
        <v>1089</v>
      </c>
      <c r="E1090">
        <v>75.102000000000004</v>
      </c>
    </row>
    <row r="1091" spans="3:5" x14ac:dyDescent="0.35">
      <c r="C1091">
        <f t="shared" ref="C1091:C1154" si="18">YEAR(D1091)</f>
        <v>1902</v>
      </c>
      <c r="D1091" s="7">
        <v>1090</v>
      </c>
      <c r="E1091">
        <v>75.766300000000001</v>
      </c>
    </row>
    <row r="1092" spans="3:5" x14ac:dyDescent="0.35">
      <c r="C1092">
        <f t="shared" si="18"/>
        <v>1902</v>
      </c>
      <c r="D1092" s="7">
        <v>1091</v>
      </c>
      <c r="E1092">
        <v>76.946200000000005</v>
      </c>
    </row>
    <row r="1093" spans="3:5" x14ac:dyDescent="0.35">
      <c r="C1093">
        <f t="shared" si="18"/>
        <v>1902</v>
      </c>
      <c r="D1093" s="7">
        <v>1092</v>
      </c>
      <c r="E1093">
        <v>78.497900000000001</v>
      </c>
    </row>
    <row r="1094" spans="3:5" x14ac:dyDescent="0.35">
      <c r="C1094">
        <f t="shared" si="18"/>
        <v>1902</v>
      </c>
      <c r="D1094" s="7">
        <v>1093</v>
      </c>
      <c r="E1094">
        <v>77.984099999999998</v>
      </c>
    </row>
    <row r="1095" spans="3:5" x14ac:dyDescent="0.35">
      <c r="C1095">
        <f t="shared" si="18"/>
        <v>1902</v>
      </c>
      <c r="D1095" s="7">
        <v>1094</v>
      </c>
      <c r="E1095">
        <v>78.663399999999996</v>
      </c>
    </row>
    <row r="1096" spans="3:5" x14ac:dyDescent="0.35">
      <c r="C1096">
        <f t="shared" si="18"/>
        <v>1902</v>
      </c>
      <c r="D1096" s="7">
        <v>1095</v>
      </c>
      <c r="E1096">
        <v>80.020600000000002</v>
      </c>
    </row>
    <row r="1097" spans="3:5" x14ac:dyDescent="0.35">
      <c r="C1097">
        <f t="shared" si="18"/>
        <v>1902</v>
      </c>
      <c r="D1097" s="7">
        <v>1096</v>
      </c>
      <c r="E1097">
        <v>81.578699999999998</v>
      </c>
    </row>
    <row r="1098" spans="3:5" x14ac:dyDescent="0.35">
      <c r="C1098">
        <f t="shared" si="18"/>
        <v>1903</v>
      </c>
      <c r="D1098" s="7">
        <v>1097</v>
      </c>
      <c r="E1098">
        <v>79.778599999999997</v>
      </c>
    </row>
    <row r="1099" spans="3:5" x14ac:dyDescent="0.35">
      <c r="C1099">
        <f t="shared" si="18"/>
        <v>1903</v>
      </c>
      <c r="D1099" s="7">
        <v>1098</v>
      </c>
      <c r="E1099">
        <v>78.974000000000004</v>
      </c>
    </row>
    <row r="1100" spans="3:5" x14ac:dyDescent="0.35">
      <c r="C1100">
        <f t="shared" si="18"/>
        <v>1903</v>
      </c>
      <c r="D1100" s="7">
        <v>1099</v>
      </c>
      <c r="E1100">
        <v>79.015900000000002</v>
      </c>
    </row>
    <row r="1101" spans="3:5" x14ac:dyDescent="0.35">
      <c r="C1101">
        <f t="shared" si="18"/>
        <v>1903</v>
      </c>
      <c r="D1101" s="7">
        <v>1100</v>
      </c>
      <c r="E1101">
        <v>78.791200000000003</v>
      </c>
    </row>
    <row r="1102" spans="3:5" x14ac:dyDescent="0.35">
      <c r="C1102">
        <f t="shared" si="18"/>
        <v>1903</v>
      </c>
      <c r="D1102" s="7">
        <v>1101</v>
      </c>
      <c r="E1102">
        <v>79.711399999999998</v>
      </c>
    </row>
    <row r="1103" spans="3:5" x14ac:dyDescent="0.35">
      <c r="C1103">
        <f t="shared" si="18"/>
        <v>1903</v>
      </c>
      <c r="D1103" s="7">
        <v>1102</v>
      </c>
      <c r="E1103">
        <v>80.909800000000004</v>
      </c>
    </row>
    <row r="1104" spans="3:5" x14ac:dyDescent="0.35">
      <c r="C1104">
        <f t="shared" si="18"/>
        <v>1903</v>
      </c>
      <c r="D1104" s="7">
        <v>1103</v>
      </c>
      <c r="E1104">
        <v>81.571799999999996</v>
      </c>
    </row>
    <row r="1105" spans="3:5" x14ac:dyDescent="0.35">
      <c r="C1105">
        <f t="shared" si="18"/>
        <v>1903</v>
      </c>
      <c r="D1105" s="7">
        <v>1104</v>
      </c>
      <c r="E1105">
        <v>83.450800000000001</v>
      </c>
    </row>
    <row r="1106" spans="3:5" x14ac:dyDescent="0.35">
      <c r="C1106">
        <f t="shared" si="18"/>
        <v>1903</v>
      </c>
      <c r="D1106" s="7">
        <v>1105</v>
      </c>
      <c r="E1106">
        <v>82.767899999999997</v>
      </c>
    </row>
    <row r="1107" spans="3:5" x14ac:dyDescent="0.35">
      <c r="C1107">
        <f t="shared" si="18"/>
        <v>1903</v>
      </c>
      <c r="D1107" s="7">
        <v>1106</v>
      </c>
      <c r="E1107">
        <v>84.050700000000006</v>
      </c>
    </row>
    <row r="1108" spans="3:5" x14ac:dyDescent="0.35">
      <c r="C1108">
        <f t="shared" si="18"/>
        <v>1903</v>
      </c>
      <c r="D1108" s="7">
        <v>1107</v>
      </c>
      <c r="E1108">
        <v>85.3018</v>
      </c>
    </row>
    <row r="1109" spans="3:5" x14ac:dyDescent="0.35">
      <c r="C1109">
        <f t="shared" si="18"/>
        <v>1903</v>
      </c>
      <c r="D1109" s="7">
        <v>1108</v>
      </c>
      <c r="E1109">
        <v>85.812700000000007</v>
      </c>
    </row>
    <row r="1110" spans="3:5" x14ac:dyDescent="0.35">
      <c r="C1110">
        <f t="shared" si="18"/>
        <v>1903</v>
      </c>
      <c r="D1110" s="7">
        <v>1109</v>
      </c>
      <c r="E1110">
        <v>84.587699999999998</v>
      </c>
    </row>
    <row r="1111" spans="3:5" x14ac:dyDescent="0.35">
      <c r="C1111">
        <f t="shared" si="18"/>
        <v>1903</v>
      </c>
      <c r="D1111" s="7">
        <v>1110</v>
      </c>
      <c r="E1111">
        <v>83.146299999999997</v>
      </c>
    </row>
    <row r="1112" spans="3:5" x14ac:dyDescent="0.35">
      <c r="C1112">
        <f t="shared" si="18"/>
        <v>1903</v>
      </c>
      <c r="D1112" s="7">
        <v>1111</v>
      </c>
      <c r="E1112">
        <v>83.7072</v>
      </c>
    </row>
    <row r="1113" spans="3:5" x14ac:dyDescent="0.35">
      <c r="C1113">
        <f t="shared" si="18"/>
        <v>1903</v>
      </c>
      <c r="D1113" s="7">
        <v>1112</v>
      </c>
      <c r="E1113">
        <v>85.394999999999996</v>
      </c>
    </row>
    <row r="1114" spans="3:5" x14ac:dyDescent="0.35">
      <c r="C1114">
        <f t="shared" si="18"/>
        <v>1903</v>
      </c>
      <c r="D1114" s="7">
        <v>1113</v>
      </c>
      <c r="E1114">
        <v>85.769099999999995</v>
      </c>
    </row>
    <row r="1115" spans="3:5" x14ac:dyDescent="0.35">
      <c r="C1115">
        <f t="shared" si="18"/>
        <v>1903</v>
      </c>
      <c r="D1115" s="7">
        <v>1114</v>
      </c>
      <c r="E1115">
        <v>85.103899999999996</v>
      </c>
    </row>
    <row r="1116" spans="3:5" x14ac:dyDescent="0.35">
      <c r="C1116">
        <f t="shared" si="18"/>
        <v>1903</v>
      </c>
      <c r="D1116" s="7">
        <v>1115</v>
      </c>
      <c r="E1116">
        <v>81.770099999999999</v>
      </c>
    </row>
    <row r="1117" spans="3:5" x14ac:dyDescent="0.35">
      <c r="C1117">
        <f t="shared" si="18"/>
        <v>1903</v>
      </c>
      <c r="D1117" s="7">
        <v>1116</v>
      </c>
      <c r="E1117">
        <v>79.513099999999994</v>
      </c>
    </row>
    <row r="1118" spans="3:5" x14ac:dyDescent="0.35">
      <c r="C1118">
        <f t="shared" si="18"/>
        <v>1903</v>
      </c>
      <c r="D1118" s="7">
        <v>1117</v>
      </c>
      <c r="E1118">
        <v>77.151600000000002</v>
      </c>
    </row>
    <row r="1119" spans="3:5" x14ac:dyDescent="0.35">
      <c r="C1119">
        <f t="shared" si="18"/>
        <v>1903</v>
      </c>
      <c r="D1119" s="7">
        <v>1118</v>
      </c>
      <c r="E1119">
        <v>76.069100000000006</v>
      </c>
    </row>
    <row r="1120" spans="3:5" x14ac:dyDescent="0.35">
      <c r="C1120">
        <f t="shared" si="18"/>
        <v>1903</v>
      </c>
      <c r="D1120" s="7">
        <v>1119</v>
      </c>
      <c r="E1120">
        <v>76.029799999999994</v>
      </c>
    </row>
    <row r="1121" spans="3:5" x14ac:dyDescent="0.35">
      <c r="C1121">
        <f t="shared" si="18"/>
        <v>1903</v>
      </c>
      <c r="D1121" s="7">
        <v>1120</v>
      </c>
      <c r="E1121">
        <v>76.097999999999999</v>
      </c>
    </row>
    <row r="1122" spans="3:5" x14ac:dyDescent="0.35">
      <c r="C1122">
        <f t="shared" si="18"/>
        <v>1903</v>
      </c>
      <c r="D1122" s="7">
        <v>1121</v>
      </c>
      <c r="E1122">
        <v>74.7089</v>
      </c>
    </row>
    <row r="1123" spans="3:5" x14ac:dyDescent="0.35">
      <c r="C1123">
        <f t="shared" si="18"/>
        <v>1903</v>
      </c>
      <c r="D1123" s="7">
        <v>1122</v>
      </c>
      <c r="E1123">
        <v>73.317400000000006</v>
      </c>
    </row>
    <row r="1124" spans="3:5" x14ac:dyDescent="0.35">
      <c r="C1124">
        <f t="shared" si="18"/>
        <v>1903</v>
      </c>
      <c r="D1124" s="7">
        <v>1123</v>
      </c>
      <c r="E1124">
        <v>73.124700000000004</v>
      </c>
    </row>
    <row r="1125" spans="3:5" x14ac:dyDescent="0.35">
      <c r="C1125">
        <f t="shared" si="18"/>
        <v>1903</v>
      </c>
      <c r="D1125" s="7">
        <v>1124</v>
      </c>
      <c r="E1125">
        <v>72.771500000000003</v>
      </c>
    </row>
    <row r="1126" spans="3:5" x14ac:dyDescent="0.35">
      <c r="C1126">
        <f t="shared" si="18"/>
        <v>1903</v>
      </c>
      <c r="D1126" s="7">
        <v>1125</v>
      </c>
      <c r="E1126">
        <v>72.833299999999994</v>
      </c>
    </row>
    <row r="1127" spans="3:5" x14ac:dyDescent="0.35">
      <c r="C1127">
        <f t="shared" si="18"/>
        <v>1903</v>
      </c>
      <c r="D1127" s="7">
        <v>1126</v>
      </c>
      <c r="E1127">
        <v>72.692300000000003</v>
      </c>
    </row>
    <row r="1128" spans="3:5" x14ac:dyDescent="0.35">
      <c r="C1128">
        <f t="shared" si="18"/>
        <v>1903</v>
      </c>
      <c r="D1128" s="7">
        <v>1127</v>
      </c>
      <c r="E1128">
        <v>72.790499999999994</v>
      </c>
    </row>
    <row r="1129" spans="3:5" x14ac:dyDescent="0.35">
      <c r="C1129">
        <f t="shared" si="18"/>
        <v>1903</v>
      </c>
      <c r="D1129" s="7">
        <v>1128</v>
      </c>
      <c r="E1129">
        <v>71.918099999999995</v>
      </c>
    </row>
    <row r="1130" spans="3:5" x14ac:dyDescent="0.35">
      <c r="C1130">
        <f t="shared" si="18"/>
        <v>1903</v>
      </c>
      <c r="D1130" s="7">
        <v>1129</v>
      </c>
      <c r="E1130">
        <v>70.216899999999995</v>
      </c>
    </row>
    <row r="1131" spans="3:5" x14ac:dyDescent="0.35">
      <c r="C1131">
        <f t="shared" si="18"/>
        <v>1903</v>
      </c>
      <c r="D1131" s="7">
        <v>1130</v>
      </c>
      <c r="E1131">
        <v>69.635800000000003</v>
      </c>
    </row>
    <row r="1132" spans="3:5" x14ac:dyDescent="0.35">
      <c r="C1132">
        <f t="shared" si="18"/>
        <v>1903</v>
      </c>
      <c r="D1132" s="7">
        <v>1131</v>
      </c>
      <c r="E1132">
        <v>71.796899999999994</v>
      </c>
    </row>
    <row r="1133" spans="3:5" x14ac:dyDescent="0.35">
      <c r="C1133">
        <f t="shared" si="18"/>
        <v>1903</v>
      </c>
      <c r="D1133" s="7">
        <v>1132</v>
      </c>
      <c r="E1133">
        <v>73.356499999999997</v>
      </c>
    </row>
    <row r="1134" spans="3:5" x14ac:dyDescent="0.35">
      <c r="C1134">
        <f t="shared" si="18"/>
        <v>1903</v>
      </c>
      <c r="D1134" s="7">
        <v>1133</v>
      </c>
      <c r="E1134">
        <v>72.2881</v>
      </c>
    </row>
    <row r="1135" spans="3:5" x14ac:dyDescent="0.35">
      <c r="C1135">
        <f t="shared" si="18"/>
        <v>1903</v>
      </c>
      <c r="D1135" s="7">
        <v>1134</v>
      </c>
      <c r="E1135">
        <v>73.897400000000005</v>
      </c>
    </row>
    <row r="1136" spans="3:5" x14ac:dyDescent="0.35">
      <c r="C1136">
        <f t="shared" si="18"/>
        <v>1903</v>
      </c>
      <c r="D1136" s="7">
        <v>1135</v>
      </c>
      <c r="E1136">
        <v>72.5077</v>
      </c>
    </row>
    <row r="1137" spans="3:5" x14ac:dyDescent="0.35">
      <c r="C1137">
        <f t="shared" si="18"/>
        <v>1903</v>
      </c>
      <c r="D1137" s="7">
        <v>1136</v>
      </c>
      <c r="E1137">
        <v>73.977099999999993</v>
      </c>
    </row>
    <row r="1138" spans="3:5" x14ac:dyDescent="0.35">
      <c r="C1138">
        <f t="shared" si="18"/>
        <v>1903</v>
      </c>
      <c r="D1138" s="7">
        <v>1137</v>
      </c>
      <c r="E1138">
        <v>76.183499999999995</v>
      </c>
    </row>
    <row r="1139" spans="3:5" x14ac:dyDescent="0.35">
      <c r="C1139">
        <f t="shared" si="18"/>
        <v>1903</v>
      </c>
      <c r="D1139" s="7">
        <v>1138</v>
      </c>
      <c r="E1139">
        <v>77.412599999999998</v>
      </c>
    </row>
    <row r="1140" spans="3:5" x14ac:dyDescent="0.35">
      <c r="C1140">
        <f t="shared" si="18"/>
        <v>1903</v>
      </c>
      <c r="D1140" s="7">
        <v>1139</v>
      </c>
      <c r="E1140">
        <v>76.869900000000001</v>
      </c>
    </row>
    <row r="1141" spans="3:5" x14ac:dyDescent="0.35">
      <c r="C1141">
        <f t="shared" si="18"/>
        <v>1903</v>
      </c>
      <c r="D1141" s="7">
        <v>1140</v>
      </c>
      <c r="E1141">
        <v>75.084100000000007</v>
      </c>
    </row>
    <row r="1142" spans="3:5" x14ac:dyDescent="0.35">
      <c r="C1142">
        <f t="shared" si="18"/>
        <v>1903</v>
      </c>
      <c r="D1142" s="7">
        <v>1141</v>
      </c>
      <c r="E1142">
        <v>73.610500000000002</v>
      </c>
    </row>
    <row r="1143" spans="3:5" x14ac:dyDescent="0.35">
      <c r="C1143">
        <f t="shared" si="18"/>
        <v>1903</v>
      </c>
      <c r="D1143" s="7">
        <v>1142</v>
      </c>
      <c r="E1143">
        <v>73.766099999999994</v>
      </c>
    </row>
    <row r="1144" spans="3:5" x14ac:dyDescent="0.35">
      <c r="C1144">
        <f t="shared" si="18"/>
        <v>1903</v>
      </c>
      <c r="D1144" s="7">
        <v>1143</v>
      </c>
      <c r="E1144">
        <v>74.781800000000004</v>
      </c>
    </row>
    <row r="1145" spans="3:5" x14ac:dyDescent="0.35">
      <c r="C1145">
        <f t="shared" si="18"/>
        <v>1903</v>
      </c>
      <c r="D1145" s="7">
        <v>1144</v>
      </c>
      <c r="E1145">
        <v>75.293099999999995</v>
      </c>
    </row>
    <row r="1146" spans="3:5" x14ac:dyDescent="0.35">
      <c r="C1146">
        <f t="shared" si="18"/>
        <v>1903</v>
      </c>
      <c r="D1146" s="7">
        <v>1145</v>
      </c>
      <c r="E1146">
        <v>76.770799999999994</v>
      </c>
    </row>
    <row r="1147" spans="3:5" x14ac:dyDescent="0.35">
      <c r="C1147">
        <f t="shared" si="18"/>
        <v>1903</v>
      </c>
      <c r="D1147" s="7">
        <v>1146</v>
      </c>
      <c r="E1147">
        <v>75.594999999999999</v>
      </c>
    </row>
    <row r="1148" spans="3:5" x14ac:dyDescent="0.35">
      <c r="C1148">
        <f t="shared" si="18"/>
        <v>1903</v>
      </c>
      <c r="D1148" s="7">
        <v>1147</v>
      </c>
      <c r="E1148">
        <v>75.480199999999996</v>
      </c>
    </row>
    <row r="1149" spans="3:5" x14ac:dyDescent="0.35">
      <c r="C1149">
        <f t="shared" si="18"/>
        <v>1903</v>
      </c>
      <c r="D1149" s="7">
        <v>1148</v>
      </c>
      <c r="E1149">
        <v>75.587400000000002</v>
      </c>
    </row>
    <row r="1150" spans="3:5" x14ac:dyDescent="0.35">
      <c r="C1150">
        <f t="shared" si="18"/>
        <v>1903</v>
      </c>
      <c r="D1150" s="7">
        <v>1149</v>
      </c>
      <c r="E1150">
        <v>75.282499999999999</v>
      </c>
    </row>
    <row r="1151" spans="3:5" x14ac:dyDescent="0.35">
      <c r="C1151">
        <f t="shared" si="18"/>
        <v>1903</v>
      </c>
      <c r="D1151" s="7">
        <v>1150</v>
      </c>
      <c r="E1151">
        <v>73.461399999999998</v>
      </c>
    </row>
    <row r="1152" spans="3:5" x14ac:dyDescent="0.35">
      <c r="C1152">
        <f t="shared" si="18"/>
        <v>1903</v>
      </c>
      <c r="D1152" s="7">
        <v>1151</v>
      </c>
      <c r="E1152">
        <v>72.017700000000005</v>
      </c>
    </row>
    <row r="1153" spans="3:5" x14ac:dyDescent="0.35">
      <c r="C1153">
        <f t="shared" si="18"/>
        <v>1903</v>
      </c>
      <c r="D1153" s="7">
        <v>1152</v>
      </c>
      <c r="E1153">
        <v>73.129900000000006</v>
      </c>
    </row>
    <row r="1154" spans="3:5" x14ac:dyDescent="0.35">
      <c r="C1154">
        <f t="shared" si="18"/>
        <v>1903</v>
      </c>
      <c r="D1154" s="7">
        <v>1153</v>
      </c>
      <c r="E1154">
        <v>73.478200000000001</v>
      </c>
    </row>
    <row r="1155" spans="3:5" x14ac:dyDescent="0.35">
      <c r="C1155">
        <f t="shared" ref="C1155:C1218" si="19">YEAR(D1155)</f>
        <v>1903</v>
      </c>
      <c r="D1155" s="7">
        <v>1154</v>
      </c>
      <c r="E1155">
        <v>70.474100000000007</v>
      </c>
    </row>
    <row r="1156" spans="3:5" x14ac:dyDescent="0.35">
      <c r="C1156">
        <f t="shared" si="19"/>
        <v>1903</v>
      </c>
      <c r="D1156" s="7">
        <v>1155</v>
      </c>
      <c r="E1156">
        <v>69.365899999999996</v>
      </c>
    </row>
    <row r="1157" spans="3:5" x14ac:dyDescent="0.35">
      <c r="C1157">
        <f t="shared" si="19"/>
        <v>1903</v>
      </c>
      <c r="D1157" s="7">
        <v>1156</v>
      </c>
      <c r="E1157">
        <v>69.167000000000002</v>
      </c>
    </row>
    <row r="1158" spans="3:5" x14ac:dyDescent="0.35">
      <c r="C1158">
        <f t="shared" si="19"/>
        <v>1903</v>
      </c>
      <c r="D1158" s="7">
        <v>1157</v>
      </c>
      <c r="E1158">
        <v>68.622299999999996</v>
      </c>
    </row>
    <row r="1159" spans="3:5" x14ac:dyDescent="0.35">
      <c r="C1159">
        <f t="shared" si="19"/>
        <v>1903</v>
      </c>
      <c r="D1159" s="7">
        <v>1158</v>
      </c>
      <c r="E1159">
        <v>69.110699999999994</v>
      </c>
    </row>
    <row r="1160" spans="3:5" x14ac:dyDescent="0.35">
      <c r="C1160">
        <f t="shared" si="19"/>
        <v>1903</v>
      </c>
      <c r="D1160" s="7">
        <v>1159</v>
      </c>
      <c r="E1160">
        <v>69.211299999999994</v>
      </c>
    </row>
    <row r="1161" spans="3:5" x14ac:dyDescent="0.35">
      <c r="C1161">
        <f t="shared" si="19"/>
        <v>1903</v>
      </c>
      <c r="D1161" s="7">
        <v>1160</v>
      </c>
      <c r="E1161">
        <v>68.760300000000001</v>
      </c>
    </row>
    <row r="1162" spans="3:5" x14ac:dyDescent="0.35">
      <c r="C1162">
        <f t="shared" si="19"/>
        <v>1903</v>
      </c>
      <c r="D1162" s="7">
        <v>1161</v>
      </c>
      <c r="E1162">
        <v>67.3613</v>
      </c>
    </row>
    <row r="1163" spans="3:5" x14ac:dyDescent="0.35">
      <c r="C1163">
        <f t="shared" si="19"/>
        <v>1903</v>
      </c>
      <c r="D1163" s="7">
        <v>1162</v>
      </c>
      <c r="E1163">
        <v>69.72</v>
      </c>
    </row>
    <row r="1164" spans="3:5" x14ac:dyDescent="0.35">
      <c r="C1164">
        <f t="shared" si="19"/>
        <v>1903</v>
      </c>
      <c r="D1164" s="7">
        <v>1163</v>
      </c>
      <c r="E1164">
        <v>71.492599999999996</v>
      </c>
    </row>
    <row r="1165" spans="3:5" x14ac:dyDescent="0.35">
      <c r="C1165">
        <f t="shared" si="19"/>
        <v>1903</v>
      </c>
      <c r="D1165" s="7">
        <v>1164</v>
      </c>
      <c r="E1165">
        <v>75.726399999999998</v>
      </c>
    </row>
    <row r="1166" spans="3:5" x14ac:dyDescent="0.35">
      <c r="C1166">
        <f t="shared" si="19"/>
        <v>1903</v>
      </c>
      <c r="D1166" s="7">
        <v>1165</v>
      </c>
      <c r="E1166">
        <v>75.861900000000006</v>
      </c>
    </row>
    <row r="1167" spans="3:5" x14ac:dyDescent="0.35">
      <c r="C1167">
        <f t="shared" si="19"/>
        <v>1903</v>
      </c>
      <c r="D1167" s="7">
        <v>1166</v>
      </c>
      <c r="E1167">
        <v>75.995699999999999</v>
      </c>
    </row>
    <row r="1168" spans="3:5" x14ac:dyDescent="0.35">
      <c r="C1168">
        <f t="shared" si="19"/>
        <v>1903</v>
      </c>
      <c r="D1168" s="7">
        <v>1167</v>
      </c>
      <c r="E1168">
        <v>77.547700000000006</v>
      </c>
    </row>
    <row r="1169" spans="3:5" x14ac:dyDescent="0.35">
      <c r="C1169">
        <f t="shared" si="19"/>
        <v>1903</v>
      </c>
      <c r="D1169" s="7">
        <v>1168</v>
      </c>
      <c r="E1169">
        <v>77.508799999999994</v>
      </c>
    </row>
    <row r="1170" spans="3:5" x14ac:dyDescent="0.35">
      <c r="C1170">
        <f t="shared" si="19"/>
        <v>1903</v>
      </c>
      <c r="D1170" s="7">
        <v>1169</v>
      </c>
      <c r="E1170">
        <v>77.224000000000004</v>
      </c>
    </row>
    <row r="1171" spans="3:5" x14ac:dyDescent="0.35">
      <c r="C1171">
        <f t="shared" si="19"/>
        <v>1903</v>
      </c>
      <c r="D1171" s="7">
        <v>1170</v>
      </c>
      <c r="E1171">
        <v>77.000500000000002</v>
      </c>
    </row>
    <row r="1172" spans="3:5" x14ac:dyDescent="0.35">
      <c r="C1172">
        <f t="shared" si="19"/>
        <v>1903</v>
      </c>
      <c r="D1172" s="7">
        <v>1171</v>
      </c>
      <c r="E1172">
        <v>76.813900000000004</v>
      </c>
    </row>
    <row r="1173" spans="3:5" x14ac:dyDescent="0.35">
      <c r="C1173">
        <f t="shared" si="19"/>
        <v>1903</v>
      </c>
      <c r="D1173" s="7">
        <v>1172</v>
      </c>
      <c r="E1173">
        <v>78.905500000000004</v>
      </c>
    </row>
    <row r="1174" spans="3:5" x14ac:dyDescent="0.35">
      <c r="C1174">
        <f t="shared" si="19"/>
        <v>1903</v>
      </c>
      <c r="D1174" s="7">
        <v>1173</v>
      </c>
      <c r="E1174">
        <v>80.099999999999994</v>
      </c>
    </row>
    <row r="1175" spans="3:5" x14ac:dyDescent="0.35">
      <c r="C1175">
        <f t="shared" si="19"/>
        <v>1903</v>
      </c>
      <c r="D1175" s="7">
        <v>1174</v>
      </c>
      <c r="E1175">
        <v>80.784400000000005</v>
      </c>
    </row>
    <row r="1176" spans="3:5" x14ac:dyDescent="0.35">
      <c r="C1176">
        <f t="shared" si="19"/>
        <v>1903</v>
      </c>
      <c r="D1176" s="7">
        <v>1175</v>
      </c>
      <c r="E1176">
        <v>81.005300000000005</v>
      </c>
    </row>
    <row r="1177" spans="3:5" x14ac:dyDescent="0.35">
      <c r="C1177">
        <f t="shared" si="19"/>
        <v>1903</v>
      </c>
      <c r="D1177" s="7">
        <v>1176</v>
      </c>
      <c r="E1177">
        <v>82.167000000000002</v>
      </c>
    </row>
    <row r="1178" spans="3:5" x14ac:dyDescent="0.35">
      <c r="C1178">
        <f t="shared" si="19"/>
        <v>1903</v>
      </c>
      <c r="D1178" s="7">
        <v>1177</v>
      </c>
      <c r="E1178">
        <v>79.119200000000006</v>
      </c>
    </row>
    <row r="1179" spans="3:5" x14ac:dyDescent="0.35">
      <c r="C1179">
        <f t="shared" si="19"/>
        <v>1903</v>
      </c>
      <c r="D1179" s="7">
        <v>1178</v>
      </c>
      <c r="E1179">
        <v>77.907899999999998</v>
      </c>
    </row>
    <row r="1180" spans="3:5" x14ac:dyDescent="0.35">
      <c r="C1180">
        <f t="shared" si="19"/>
        <v>1903</v>
      </c>
      <c r="D1180" s="7">
        <v>1179</v>
      </c>
      <c r="E1180">
        <v>78.537300000000002</v>
      </c>
    </row>
    <row r="1181" spans="3:5" x14ac:dyDescent="0.35">
      <c r="C1181">
        <f t="shared" si="19"/>
        <v>1903</v>
      </c>
      <c r="D1181" s="7">
        <v>1180</v>
      </c>
      <c r="E1181">
        <v>77.872100000000003</v>
      </c>
    </row>
    <row r="1182" spans="3:5" x14ac:dyDescent="0.35">
      <c r="C1182">
        <f t="shared" si="19"/>
        <v>1903</v>
      </c>
      <c r="D1182" s="7">
        <v>1181</v>
      </c>
      <c r="E1182">
        <v>77.900000000000006</v>
      </c>
    </row>
    <row r="1183" spans="3:5" x14ac:dyDescent="0.35">
      <c r="C1183">
        <f t="shared" si="19"/>
        <v>1903</v>
      </c>
      <c r="D1183" s="7">
        <v>1182</v>
      </c>
      <c r="E1183">
        <v>77.382800000000003</v>
      </c>
    </row>
    <row r="1184" spans="3:5" x14ac:dyDescent="0.35">
      <c r="C1184">
        <f t="shared" si="19"/>
        <v>1903</v>
      </c>
      <c r="D1184" s="7">
        <v>1183</v>
      </c>
      <c r="E1184">
        <v>78.570599999999999</v>
      </c>
    </row>
    <row r="1185" spans="3:5" x14ac:dyDescent="0.35">
      <c r="C1185">
        <f t="shared" si="19"/>
        <v>1903</v>
      </c>
      <c r="D1185" s="7">
        <v>1184</v>
      </c>
      <c r="E1185">
        <v>76.9816</v>
      </c>
    </row>
    <row r="1186" spans="3:5" x14ac:dyDescent="0.35">
      <c r="C1186">
        <f t="shared" si="19"/>
        <v>1903</v>
      </c>
      <c r="D1186" s="7">
        <v>1185</v>
      </c>
      <c r="E1186">
        <v>76.403999999999996</v>
      </c>
    </row>
    <row r="1187" spans="3:5" x14ac:dyDescent="0.35">
      <c r="C1187">
        <f t="shared" si="19"/>
        <v>1903</v>
      </c>
      <c r="D1187" s="7">
        <v>1186</v>
      </c>
      <c r="E1187">
        <v>75.617900000000006</v>
      </c>
    </row>
    <row r="1188" spans="3:5" x14ac:dyDescent="0.35">
      <c r="C1188">
        <f t="shared" si="19"/>
        <v>1903</v>
      </c>
      <c r="D1188" s="7">
        <v>1187</v>
      </c>
      <c r="E1188">
        <v>74.712900000000005</v>
      </c>
    </row>
    <row r="1189" spans="3:5" x14ac:dyDescent="0.35">
      <c r="C1189">
        <f t="shared" si="19"/>
        <v>1903</v>
      </c>
      <c r="D1189" s="7">
        <v>1188</v>
      </c>
      <c r="E1189">
        <v>73.021100000000004</v>
      </c>
    </row>
    <row r="1190" spans="3:5" x14ac:dyDescent="0.35">
      <c r="C1190">
        <f t="shared" si="19"/>
        <v>1903</v>
      </c>
      <c r="D1190" s="7">
        <v>1189</v>
      </c>
      <c r="E1190">
        <v>71.958699999999993</v>
      </c>
    </row>
    <row r="1191" spans="3:5" x14ac:dyDescent="0.35">
      <c r="C1191">
        <f t="shared" si="19"/>
        <v>1903</v>
      </c>
      <c r="D1191" s="7">
        <v>1190</v>
      </c>
      <c r="E1191">
        <v>73.010300000000001</v>
      </c>
    </row>
    <row r="1192" spans="3:5" x14ac:dyDescent="0.35">
      <c r="C1192">
        <f t="shared" si="19"/>
        <v>1903</v>
      </c>
      <c r="D1192" s="7">
        <v>1191</v>
      </c>
      <c r="E1192">
        <v>74.024500000000003</v>
      </c>
    </row>
    <row r="1193" spans="3:5" x14ac:dyDescent="0.35">
      <c r="C1193">
        <f t="shared" si="19"/>
        <v>1903</v>
      </c>
      <c r="D1193" s="7">
        <v>1192</v>
      </c>
      <c r="E1193">
        <v>72.932699999999997</v>
      </c>
    </row>
    <row r="1194" spans="3:5" x14ac:dyDescent="0.35">
      <c r="C1194">
        <f t="shared" si="19"/>
        <v>1903</v>
      </c>
      <c r="D1194" s="7">
        <v>1193</v>
      </c>
      <c r="E1194">
        <v>72.514300000000006</v>
      </c>
    </row>
    <row r="1195" spans="3:5" x14ac:dyDescent="0.35">
      <c r="C1195">
        <f t="shared" si="19"/>
        <v>1903</v>
      </c>
      <c r="D1195" s="7">
        <v>1194</v>
      </c>
      <c r="E1195">
        <v>73.263000000000005</v>
      </c>
    </row>
    <row r="1196" spans="3:5" x14ac:dyDescent="0.35">
      <c r="C1196">
        <f t="shared" si="19"/>
        <v>1903</v>
      </c>
      <c r="D1196" s="7">
        <v>1195</v>
      </c>
      <c r="E1196">
        <v>75.600099999999998</v>
      </c>
    </row>
    <row r="1197" spans="3:5" x14ac:dyDescent="0.35">
      <c r="C1197">
        <f t="shared" si="19"/>
        <v>1903</v>
      </c>
      <c r="D1197" s="7">
        <v>1196</v>
      </c>
      <c r="E1197">
        <v>73.393699999999995</v>
      </c>
    </row>
    <row r="1198" spans="3:5" x14ac:dyDescent="0.35">
      <c r="C1198">
        <f t="shared" si="19"/>
        <v>1903</v>
      </c>
      <c r="D1198" s="7">
        <v>1197</v>
      </c>
      <c r="E1198">
        <v>73.953100000000006</v>
      </c>
    </row>
    <row r="1199" spans="3:5" x14ac:dyDescent="0.35">
      <c r="C1199">
        <f t="shared" si="19"/>
        <v>1903</v>
      </c>
      <c r="D1199" s="7">
        <v>1198</v>
      </c>
      <c r="E1199">
        <v>72.058300000000003</v>
      </c>
    </row>
    <row r="1200" spans="3:5" x14ac:dyDescent="0.35">
      <c r="C1200">
        <f t="shared" si="19"/>
        <v>1903</v>
      </c>
      <c r="D1200" s="7">
        <v>1199</v>
      </c>
      <c r="E1200">
        <v>73.211600000000004</v>
      </c>
    </row>
    <row r="1201" spans="3:5" x14ac:dyDescent="0.35">
      <c r="C1201">
        <f t="shared" si="19"/>
        <v>1903</v>
      </c>
      <c r="D1201" s="7">
        <v>1200</v>
      </c>
      <c r="E1201">
        <v>71.035200000000003</v>
      </c>
    </row>
    <row r="1202" spans="3:5" x14ac:dyDescent="0.35">
      <c r="C1202">
        <f t="shared" si="19"/>
        <v>1903</v>
      </c>
      <c r="D1202" s="7">
        <v>1201</v>
      </c>
      <c r="E1202">
        <v>70.554100000000005</v>
      </c>
    </row>
    <row r="1203" spans="3:5" x14ac:dyDescent="0.35">
      <c r="C1203">
        <f t="shared" si="19"/>
        <v>1903</v>
      </c>
      <c r="D1203" s="7">
        <v>1202</v>
      </c>
      <c r="E1203">
        <v>69.409700000000001</v>
      </c>
    </row>
    <row r="1204" spans="3:5" x14ac:dyDescent="0.35">
      <c r="C1204">
        <f t="shared" si="19"/>
        <v>1903</v>
      </c>
      <c r="D1204" s="7">
        <v>1203</v>
      </c>
      <c r="E1204">
        <v>69.944900000000004</v>
      </c>
    </row>
    <row r="1205" spans="3:5" x14ac:dyDescent="0.35">
      <c r="C1205">
        <f t="shared" si="19"/>
        <v>1903</v>
      </c>
      <c r="D1205" s="7">
        <v>1204</v>
      </c>
      <c r="E1205">
        <v>69.489599999999996</v>
      </c>
    </row>
    <row r="1206" spans="3:5" x14ac:dyDescent="0.35">
      <c r="C1206">
        <f t="shared" si="19"/>
        <v>1903</v>
      </c>
      <c r="D1206" s="7">
        <v>1205</v>
      </c>
      <c r="E1206">
        <v>70.325599999999994</v>
      </c>
    </row>
    <row r="1207" spans="3:5" x14ac:dyDescent="0.35">
      <c r="C1207">
        <f t="shared" si="19"/>
        <v>1903</v>
      </c>
      <c r="D1207" s="7">
        <v>1206</v>
      </c>
      <c r="E1207">
        <v>72.841899999999995</v>
      </c>
    </row>
    <row r="1208" spans="3:5" x14ac:dyDescent="0.35">
      <c r="C1208">
        <f t="shared" si="19"/>
        <v>1903</v>
      </c>
      <c r="D1208" s="7">
        <v>1207</v>
      </c>
      <c r="E1208">
        <v>76.8078</v>
      </c>
    </row>
    <row r="1209" spans="3:5" x14ac:dyDescent="0.35">
      <c r="C1209">
        <f t="shared" si="19"/>
        <v>1903</v>
      </c>
      <c r="D1209" s="7">
        <v>1208</v>
      </c>
      <c r="E1209">
        <v>77.170400000000001</v>
      </c>
    </row>
    <row r="1210" spans="3:5" x14ac:dyDescent="0.35">
      <c r="C1210">
        <f t="shared" si="19"/>
        <v>1903</v>
      </c>
      <c r="D1210" s="7">
        <v>1209</v>
      </c>
      <c r="E1210">
        <v>78.935000000000002</v>
      </c>
    </row>
    <row r="1211" spans="3:5" x14ac:dyDescent="0.35">
      <c r="C1211">
        <f t="shared" si="19"/>
        <v>1903</v>
      </c>
      <c r="D1211" s="7">
        <v>1210</v>
      </c>
      <c r="E1211">
        <v>79.007900000000006</v>
      </c>
    </row>
    <row r="1212" spans="3:5" x14ac:dyDescent="0.35">
      <c r="C1212">
        <f t="shared" si="19"/>
        <v>1903</v>
      </c>
      <c r="D1212" s="7">
        <v>1211</v>
      </c>
      <c r="E1212">
        <v>81.218100000000007</v>
      </c>
    </row>
    <row r="1213" spans="3:5" x14ac:dyDescent="0.35">
      <c r="C1213">
        <f t="shared" si="19"/>
        <v>1903</v>
      </c>
      <c r="D1213" s="7">
        <v>1212</v>
      </c>
      <c r="E1213">
        <v>82.0548</v>
      </c>
    </row>
    <row r="1214" spans="3:5" x14ac:dyDescent="0.35">
      <c r="C1214">
        <f t="shared" si="19"/>
        <v>1903</v>
      </c>
      <c r="D1214" s="7">
        <v>1213</v>
      </c>
      <c r="E1214">
        <v>83.262299999999996</v>
      </c>
    </row>
    <row r="1215" spans="3:5" x14ac:dyDescent="0.35">
      <c r="C1215">
        <f t="shared" si="19"/>
        <v>1903</v>
      </c>
      <c r="D1215" s="7">
        <v>1214</v>
      </c>
      <c r="E1215">
        <v>85.460999999999999</v>
      </c>
    </row>
    <row r="1216" spans="3:5" x14ac:dyDescent="0.35">
      <c r="C1216">
        <f t="shared" si="19"/>
        <v>1903</v>
      </c>
      <c r="D1216" s="7">
        <v>1215</v>
      </c>
      <c r="E1216">
        <v>88.066000000000003</v>
      </c>
    </row>
    <row r="1217" spans="3:5" x14ac:dyDescent="0.35">
      <c r="C1217">
        <f t="shared" si="19"/>
        <v>1903</v>
      </c>
      <c r="D1217" s="7">
        <v>1216</v>
      </c>
      <c r="E1217">
        <v>88.251000000000005</v>
      </c>
    </row>
    <row r="1218" spans="3:5" x14ac:dyDescent="0.35">
      <c r="C1218">
        <f t="shared" si="19"/>
        <v>1903</v>
      </c>
      <c r="D1218" s="7">
        <v>1217</v>
      </c>
      <c r="E1218">
        <v>90.920900000000003</v>
      </c>
    </row>
    <row r="1219" spans="3:5" x14ac:dyDescent="0.35">
      <c r="C1219">
        <f t="shared" ref="C1219:C1282" si="20">YEAR(D1219)</f>
        <v>1903</v>
      </c>
      <c r="D1219" s="7">
        <v>1218</v>
      </c>
      <c r="E1219">
        <v>90.365499999999997</v>
      </c>
    </row>
    <row r="1220" spans="3:5" x14ac:dyDescent="0.35">
      <c r="C1220">
        <f t="shared" si="20"/>
        <v>1903</v>
      </c>
      <c r="D1220" s="7">
        <v>1219</v>
      </c>
      <c r="E1220">
        <v>91.378</v>
      </c>
    </row>
    <row r="1221" spans="3:5" x14ac:dyDescent="0.35">
      <c r="C1221">
        <f t="shared" si="20"/>
        <v>1903</v>
      </c>
      <c r="D1221" s="7">
        <v>1220</v>
      </c>
      <c r="E1221">
        <v>88.012100000000004</v>
      </c>
    </row>
    <row r="1222" spans="3:5" x14ac:dyDescent="0.35">
      <c r="C1222">
        <f t="shared" si="20"/>
        <v>1903</v>
      </c>
      <c r="D1222" s="7">
        <v>1221</v>
      </c>
      <c r="E1222">
        <v>87.626099999999994</v>
      </c>
    </row>
    <row r="1223" spans="3:5" x14ac:dyDescent="0.35">
      <c r="C1223">
        <f t="shared" si="20"/>
        <v>1903</v>
      </c>
      <c r="D1223" s="7">
        <v>1222</v>
      </c>
      <c r="E1223">
        <v>92.984700000000004</v>
      </c>
    </row>
    <row r="1224" spans="3:5" x14ac:dyDescent="0.35">
      <c r="C1224">
        <f t="shared" si="20"/>
        <v>1903</v>
      </c>
      <c r="D1224" s="7">
        <v>1223</v>
      </c>
      <c r="E1224">
        <v>95.194599999999994</v>
      </c>
    </row>
    <row r="1225" spans="3:5" x14ac:dyDescent="0.35">
      <c r="C1225">
        <f t="shared" si="20"/>
        <v>1903</v>
      </c>
      <c r="D1225" s="7">
        <v>1224</v>
      </c>
      <c r="E1225">
        <v>96.290599999999998</v>
      </c>
    </row>
    <row r="1226" spans="3:5" x14ac:dyDescent="0.35">
      <c r="C1226">
        <f t="shared" si="20"/>
        <v>1903</v>
      </c>
      <c r="D1226" s="7">
        <v>1225</v>
      </c>
      <c r="E1226">
        <v>94.809399999999997</v>
      </c>
    </row>
    <row r="1227" spans="3:5" x14ac:dyDescent="0.35">
      <c r="C1227">
        <f t="shared" si="20"/>
        <v>1903</v>
      </c>
      <c r="D1227" s="7">
        <v>1226</v>
      </c>
      <c r="E1227">
        <v>94.107399999999998</v>
      </c>
    </row>
    <row r="1228" spans="3:5" x14ac:dyDescent="0.35">
      <c r="C1228">
        <f t="shared" si="20"/>
        <v>1903</v>
      </c>
      <c r="D1228" s="7">
        <v>1227</v>
      </c>
      <c r="E1228">
        <v>95.107200000000006</v>
      </c>
    </row>
    <row r="1229" spans="3:5" x14ac:dyDescent="0.35">
      <c r="C1229">
        <f t="shared" si="20"/>
        <v>1903</v>
      </c>
      <c r="D1229" s="7">
        <v>1228</v>
      </c>
      <c r="E1229">
        <v>94.825000000000003</v>
      </c>
    </row>
    <row r="1230" spans="3:5" x14ac:dyDescent="0.35">
      <c r="C1230">
        <f t="shared" si="20"/>
        <v>1903</v>
      </c>
      <c r="D1230" s="7">
        <v>1229</v>
      </c>
      <c r="E1230">
        <v>97.533199999999994</v>
      </c>
    </row>
    <row r="1231" spans="3:5" x14ac:dyDescent="0.35">
      <c r="C1231">
        <f t="shared" si="20"/>
        <v>1903</v>
      </c>
      <c r="D1231" s="7">
        <v>1230</v>
      </c>
      <c r="E1231">
        <v>96.044600000000003</v>
      </c>
    </row>
    <row r="1232" spans="3:5" x14ac:dyDescent="0.35">
      <c r="C1232">
        <f t="shared" si="20"/>
        <v>1903</v>
      </c>
      <c r="D1232" s="7">
        <v>1231</v>
      </c>
      <c r="E1232">
        <v>95.822699999999998</v>
      </c>
    </row>
    <row r="1233" spans="3:5" x14ac:dyDescent="0.35">
      <c r="C1233">
        <f t="shared" si="20"/>
        <v>1903</v>
      </c>
      <c r="D1233" s="7">
        <v>1232</v>
      </c>
      <c r="E1233">
        <v>98.856099999999998</v>
      </c>
    </row>
    <row r="1234" spans="3:5" x14ac:dyDescent="0.35">
      <c r="C1234">
        <f t="shared" si="20"/>
        <v>1903</v>
      </c>
      <c r="D1234" s="7">
        <v>1233</v>
      </c>
      <c r="E1234">
        <v>99.831100000000006</v>
      </c>
    </row>
    <row r="1235" spans="3:5" x14ac:dyDescent="0.35">
      <c r="C1235">
        <f t="shared" si="20"/>
        <v>1903</v>
      </c>
      <c r="D1235" s="7">
        <v>1234</v>
      </c>
      <c r="E1235">
        <v>110.50830000000001</v>
      </c>
    </row>
    <row r="1236" spans="3:5" x14ac:dyDescent="0.35">
      <c r="C1236">
        <f t="shared" si="20"/>
        <v>1903</v>
      </c>
      <c r="D1236" s="7">
        <v>1235</v>
      </c>
      <c r="E1236">
        <v>102.7491</v>
      </c>
    </row>
    <row r="1237" spans="3:5" x14ac:dyDescent="0.35">
      <c r="C1237">
        <f t="shared" si="20"/>
        <v>1903</v>
      </c>
      <c r="D1237" s="7">
        <v>1236</v>
      </c>
      <c r="E1237">
        <v>107.2174</v>
      </c>
    </row>
    <row r="1238" spans="3:5" x14ac:dyDescent="0.35">
      <c r="C1238">
        <f t="shared" si="20"/>
        <v>1903</v>
      </c>
      <c r="D1238" s="7">
        <v>1237</v>
      </c>
      <c r="E1238">
        <v>103.6644</v>
      </c>
    </row>
    <row r="1239" spans="3:5" x14ac:dyDescent="0.35">
      <c r="C1239">
        <f t="shared" si="20"/>
        <v>1903</v>
      </c>
      <c r="D1239" s="7">
        <v>1238</v>
      </c>
      <c r="E1239">
        <v>108.5185</v>
      </c>
    </row>
    <row r="1240" spans="3:5" x14ac:dyDescent="0.35">
      <c r="C1240">
        <f t="shared" si="20"/>
        <v>1903</v>
      </c>
      <c r="D1240" s="7">
        <v>1239</v>
      </c>
      <c r="E1240">
        <v>111.1748</v>
      </c>
    </row>
    <row r="1241" spans="3:5" x14ac:dyDescent="0.35">
      <c r="C1241">
        <f t="shared" si="20"/>
        <v>1903</v>
      </c>
      <c r="D1241" s="7">
        <v>1240</v>
      </c>
      <c r="E1241">
        <v>111.4485</v>
      </c>
    </row>
    <row r="1242" spans="3:5" x14ac:dyDescent="0.35">
      <c r="C1242">
        <f t="shared" si="20"/>
        <v>1903</v>
      </c>
      <c r="D1242" s="7">
        <v>1241</v>
      </c>
      <c r="E1242">
        <v>103.47369999999999</v>
      </c>
    </row>
    <row r="1243" spans="3:5" x14ac:dyDescent="0.35">
      <c r="C1243">
        <f t="shared" si="20"/>
        <v>1903</v>
      </c>
      <c r="D1243" s="7">
        <v>1242</v>
      </c>
      <c r="E1243">
        <v>108.05840000000001</v>
      </c>
    </row>
    <row r="1244" spans="3:5" x14ac:dyDescent="0.35">
      <c r="C1244">
        <f t="shared" si="20"/>
        <v>1903</v>
      </c>
      <c r="D1244" s="7">
        <v>1243</v>
      </c>
      <c r="E1244">
        <v>108.85209999999999</v>
      </c>
    </row>
    <row r="1245" spans="3:5" x14ac:dyDescent="0.35">
      <c r="C1245">
        <f t="shared" si="20"/>
        <v>1903</v>
      </c>
      <c r="D1245" s="7">
        <v>1244</v>
      </c>
      <c r="E1245">
        <v>106.9498</v>
      </c>
    </row>
    <row r="1246" spans="3:5" x14ac:dyDescent="0.35">
      <c r="C1246">
        <f t="shared" si="20"/>
        <v>1903</v>
      </c>
      <c r="D1246" s="7">
        <v>1245</v>
      </c>
      <c r="E1246">
        <v>107.43300000000001</v>
      </c>
    </row>
    <row r="1247" spans="3:5" x14ac:dyDescent="0.35">
      <c r="C1247">
        <f t="shared" si="20"/>
        <v>1903</v>
      </c>
      <c r="D1247" s="7">
        <v>1246</v>
      </c>
      <c r="E1247">
        <v>102.5596</v>
      </c>
    </row>
    <row r="1248" spans="3:5" x14ac:dyDescent="0.35">
      <c r="C1248">
        <f t="shared" si="20"/>
        <v>1903</v>
      </c>
      <c r="D1248" s="7">
        <v>1247</v>
      </c>
      <c r="E1248">
        <v>102.53740000000001</v>
      </c>
    </row>
    <row r="1249" spans="3:5" x14ac:dyDescent="0.35">
      <c r="C1249">
        <f t="shared" si="20"/>
        <v>1903</v>
      </c>
      <c r="D1249" s="7">
        <v>1248</v>
      </c>
      <c r="E1249">
        <v>104.55159999999999</v>
      </c>
    </row>
    <row r="1250" spans="3:5" x14ac:dyDescent="0.35">
      <c r="C1250">
        <f t="shared" si="20"/>
        <v>1903</v>
      </c>
      <c r="D1250" s="7">
        <v>1249</v>
      </c>
      <c r="E1250">
        <v>105.97539999999999</v>
      </c>
    </row>
    <row r="1251" spans="3:5" x14ac:dyDescent="0.35">
      <c r="C1251">
        <f t="shared" si="20"/>
        <v>1903</v>
      </c>
      <c r="D1251" s="7">
        <v>1250</v>
      </c>
      <c r="E1251">
        <v>109.5598</v>
      </c>
    </row>
    <row r="1252" spans="3:5" x14ac:dyDescent="0.35">
      <c r="C1252">
        <f t="shared" si="20"/>
        <v>1903</v>
      </c>
      <c r="D1252" s="7">
        <v>1251</v>
      </c>
      <c r="E1252">
        <v>105.95650000000001</v>
      </c>
    </row>
    <row r="1253" spans="3:5" x14ac:dyDescent="0.35">
      <c r="C1253">
        <f t="shared" si="20"/>
        <v>1903</v>
      </c>
      <c r="D1253" s="7">
        <v>1252</v>
      </c>
      <c r="E1253">
        <v>107.1097</v>
      </c>
    </row>
    <row r="1254" spans="3:5" x14ac:dyDescent="0.35">
      <c r="C1254">
        <f t="shared" si="20"/>
        <v>1903</v>
      </c>
      <c r="D1254" s="7">
        <v>1253</v>
      </c>
      <c r="E1254">
        <v>105.0857</v>
      </c>
    </row>
    <row r="1255" spans="3:5" x14ac:dyDescent="0.35">
      <c r="C1255">
        <f t="shared" si="20"/>
        <v>1903</v>
      </c>
      <c r="D1255" s="7">
        <v>1254</v>
      </c>
      <c r="E1255">
        <v>105.8617</v>
      </c>
    </row>
    <row r="1256" spans="3:5" x14ac:dyDescent="0.35">
      <c r="C1256">
        <f t="shared" si="20"/>
        <v>1903</v>
      </c>
      <c r="D1256" s="7">
        <v>1255</v>
      </c>
      <c r="E1256">
        <v>107.3856</v>
      </c>
    </row>
    <row r="1257" spans="3:5" x14ac:dyDescent="0.35">
      <c r="C1257">
        <f t="shared" si="20"/>
        <v>1903</v>
      </c>
      <c r="D1257" s="7">
        <v>1256</v>
      </c>
      <c r="E1257">
        <v>108.9235</v>
      </c>
    </row>
    <row r="1258" spans="3:5" x14ac:dyDescent="0.35">
      <c r="C1258">
        <f t="shared" si="20"/>
        <v>1903</v>
      </c>
      <c r="D1258" s="7">
        <v>1257</v>
      </c>
      <c r="E1258">
        <v>109.3584</v>
      </c>
    </row>
    <row r="1259" spans="3:5" x14ac:dyDescent="0.35">
      <c r="C1259">
        <f t="shared" si="20"/>
        <v>1903</v>
      </c>
      <c r="D1259" s="7">
        <v>1258</v>
      </c>
      <c r="E1259">
        <v>112.5091</v>
      </c>
    </row>
    <row r="1260" spans="3:5" x14ac:dyDescent="0.35">
      <c r="C1260">
        <f t="shared" si="20"/>
        <v>1903</v>
      </c>
      <c r="D1260" s="7">
        <v>1259</v>
      </c>
      <c r="E1260">
        <v>111.6357</v>
      </c>
    </row>
    <row r="1261" spans="3:5" x14ac:dyDescent="0.35">
      <c r="C1261">
        <f t="shared" si="20"/>
        <v>1903</v>
      </c>
      <c r="D1261" s="7">
        <v>1260</v>
      </c>
      <c r="E1261">
        <v>111.1249</v>
      </c>
    </row>
    <row r="1262" spans="3:5" x14ac:dyDescent="0.35">
      <c r="C1262">
        <f t="shared" si="20"/>
        <v>1903</v>
      </c>
      <c r="D1262" s="7">
        <v>1261</v>
      </c>
      <c r="E1262">
        <v>112.17270000000001</v>
      </c>
    </row>
    <row r="1263" spans="3:5" x14ac:dyDescent="0.35">
      <c r="C1263">
        <f t="shared" si="20"/>
        <v>1903</v>
      </c>
      <c r="D1263" s="7">
        <v>1262</v>
      </c>
      <c r="E1263">
        <v>110.85290000000001</v>
      </c>
    </row>
    <row r="1264" spans="3:5" x14ac:dyDescent="0.35">
      <c r="C1264">
        <f t="shared" si="20"/>
        <v>1903</v>
      </c>
      <c r="D1264" s="7">
        <v>1263</v>
      </c>
      <c r="E1264">
        <v>109.0599</v>
      </c>
    </row>
    <row r="1265" spans="3:5" x14ac:dyDescent="0.35">
      <c r="C1265">
        <f t="shared" si="20"/>
        <v>1903</v>
      </c>
      <c r="D1265" s="7">
        <v>1264</v>
      </c>
      <c r="E1265">
        <v>108.88249999999999</v>
      </c>
    </row>
    <row r="1266" spans="3:5" x14ac:dyDescent="0.35">
      <c r="C1266">
        <f t="shared" si="20"/>
        <v>1903</v>
      </c>
      <c r="D1266" s="7">
        <v>1265</v>
      </c>
      <c r="E1266">
        <v>107.19799999999999</v>
      </c>
    </row>
    <row r="1267" spans="3:5" x14ac:dyDescent="0.35">
      <c r="C1267">
        <f t="shared" si="20"/>
        <v>1903</v>
      </c>
      <c r="D1267" s="7">
        <v>1266</v>
      </c>
      <c r="E1267">
        <v>100.5857</v>
      </c>
    </row>
    <row r="1268" spans="3:5" x14ac:dyDescent="0.35">
      <c r="C1268">
        <f t="shared" si="20"/>
        <v>1903</v>
      </c>
      <c r="D1268" s="7">
        <v>1267</v>
      </c>
      <c r="E1268">
        <v>98.266199999999998</v>
      </c>
    </row>
    <row r="1269" spans="3:5" x14ac:dyDescent="0.35">
      <c r="C1269">
        <f t="shared" si="20"/>
        <v>1903</v>
      </c>
      <c r="D1269" s="7">
        <v>1268</v>
      </c>
      <c r="E1269">
        <v>99.456400000000002</v>
      </c>
    </row>
    <row r="1270" spans="3:5" x14ac:dyDescent="0.35">
      <c r="C1270">
        <f t="shared" si="20"/>
        <v>1903</v>
      </c>
      <c r="D1270" s="7">
        <v>1269</v>
      </c>
      <c r="E1270">
        <v>96.867800000000003</v>
      </c>
    </row>
    <row r="1271" spans="3:5" x14ac:dyDescent="0.35">
      <c r="C1271">
        <f t="shared" si="20"/>
        <v>1903</v>
      </c>
      <c r="D1271" s="7">
        <v>1270</v>
      </c>
      <c r="E1271">
        <v>96.915099999999995</v>
      </c>
    </row>
    <row r="1272" spans="3:5" x14ac:dyDescent="0.35">
      <c r="C1272">
        <f t="shared" si="20"/>
        <v>1903</v>
      </c>
      <c r="D1272" s="7">
        <v>1271</v>
      </c>
      <c r="E1272">
        <v>96.819500000000005</v>
      </c>
    </row>
    <row r="1273" spans="3:5" x14ac:dyDescent="0.35">
      <c r="C1273">
        <f t="shared" si="20"/>
        <v>1903</v>
      </c>
      <c r="D1273" s="7">
        <v>1272</v>
      </c>
      <c r="E1273">
        <v>99.900099999999995</v>
      </c>
    </row>
    <row r="1274" spans="3:5" x14ac:dyDescent="0.35">
      <c r="C1274">
        <f t="shared" si="20"/>
        <v>1903</v>
      </c>
      <c r="D1274" s="7">
        <v>1273</v>
      </c>
      <c r="E1274">
        <v>97.912000000000006</v>
      </c>
    </row>
    <row r="1275" spans="3:5" x14ac:dyDescent="0.35">
      <c r="C1275">
        <f t="shared" si="20"/>
        <v>1903</v>
      </c>
      <c r="D1275" s="7">
        <v>1274</v>
      </c>
      <c r="E1275">
        <v>96.521600000000007</v>
      </c>
    </row>
    <row r="1276" spans="3:5" x14ac:dyDescent="0.35">
      <c r="C1276">
        <f t="shared" si="20"/>
        <v>1903</v>
      </c>
      <c r="D1276" s="7">
        <v>1275</v>
      </c>
      <c r="E1276">
        <v>98.5672</v>
      </c>
    </row>
    <row r="1277" spans="3:5" x14ac:dyDescent="0.35">
      <c r="C1277">
        <f t="shared" si="20"/>
        <v>1903</v>
      </c>
      <c r="D1277" s="7">
        <v>1276</v>
      </c>
      <c r="E1277">
        <v>94.472700000000003</v>
      </c>
    </row>
    <row r="1278" spans="3:5" x14ac:dyDescent="0.35">
      <c r="C1278">
        <f t="shared" si="20"/>
        <v>1903</v>
      </c>
      <c r="D1278" s="7">
        <v>1277</v>
      </c>
      <c r="E1278">
        <v>92.386099999999999</v>
      </c>
    </row>
    <row r="1279" spans="3:5" x14ac:dyDescent="0.35">
      <c r="C1279">
        <f t="shared" si="20"/>
        <v>1903</v>
      </c>
      <c r="D1279" s="7">
        <v>1278</v>
      </c>
      <c r="E1279">
        <v>90.302899999999994</v>
      </c>
    </row>
    <row r="1280" spans="3:5" x14ac:dyDescent="0.35">
      <c r="C1280">
        <f t="shared" si="20"/>
        <v>1903</v>
      </c>
      <c r="D1280" s="7">
        <v>1279</v>
      </c>
      <c r="E1280">
        <v>92.128</v>
      </c>
    </row>
    <row r="1281" spans="3:5" x14ac:dyDescent="0.35">
      <c r="C1281">
        <f t="shared" si="20"/>
        <v>1903</v>
      </c>
      <c r="D1281" s="7">
        <v>1280</v>
      </c>
      <c r="E1281">
        <v>90.171199999999999</v>
      </c>
    </row>
    <row r="1282" spans="3:5" x14ac:dyDescent="0.35">
      <c r="C1282">
        <f t="shared" si="20"/>
        <v>1903</v>
      </c>
      <c r="D1282" s="7">
        <v>1281</v>
      </c>
      <c r="E1282">
        <v>90.654600000000002</v>
      </c>
    </row>
    <row r="1283" spans="3:5" x14ac:dyDescent="0.35">
      <c r="C1283">
        <f t="shared" ref="C1283:C1346" si="21">YEAR(D1283)</f>
        <v>1903</v>
      </c>
      <c r="D1283" s="7">
        <v>1282</v>
      </c>
      <c r="E1283">
        <v>88.433700000000002</v>
      </c>
    </row>
    <row r="1284" spans="3:5" x14ac:dyDescent="0.35">
      <c r="C1284">
        <f t="shared" si="21"/>
        <v>1903</v>
      </c>
      <c r="D1284" s="7">
        <v>1283</v>
      </c>
      <c r="E1284">
        <v>91.232399999999998</v>
      </c>
    </row>
    <row r="1285" spans="3:5" x14ac:dyDescent="0.35">
      <c r="C1285">
        <f t="shared" si="21"/>
        <v>1903</v>
      </c>
      <c r="D1285" s="7">
        <v>1284</v>
      </c>
      <c r="E1285">
        <v>91.861099999999993</v>
      </c>
    </row>
    <row r="1286" spans="3:5" x14ac:dyDescent="0.35">
      <c r="C1286">
        <f t="shared" si="21"/>
        <v>1903</v>
      </c>
      <c r="D1286" s="7">
        <v>1285</v>
      </c>
      <c r="E1286">
        <v>94.700100000000006</v>
      </c>
    </row>
    <row r="1287" spans="3:5" x14ac:dyDescent="0.35">
      <c r="C1287">
        <f t="shared" si="21"/>
        <v>1903</v>
      </c>
      <c r="D1287" s="7">
        <v>1286</v>
      </c>
      <c r="E1287">
        <v>93.524600000000007</v>
      </c>
    </row>
    <row r="1288" spans="3:5" x14ac:dyDescent="0.35">
      <c r="C1288">
        <f t="shared" si="21"/>
        <v>1903</v>
      </c>
      <c r="D1288" s="7">
        <v>1287</v>
      </c>
      <c r="E1288">
        <v>97.2209</v>
      </c>
    </row>
    <row r="1289" spans="3:5" x14ac:dyDescent="0.35">
      <c r="C1289">
        <f t="shared" si="21"/>
        <v>1903</v>
      </c>
      <c r="D1289" s="7">
        <v>1288</v>
      </c>
      <c r="E1289">
        <v>98.670299999999997</v>
      </c>
    </row>
    <row r="1290" spans="3:5" x14ac:dyDescent="0.35">
      <c r="C1290">
        <f t="shared" si="21"/>
        <v>1903</v>
      </c>
      <c r="D1290" s="7">
        <v>1289</v>
      </c>
      <c r="E1290">
        <v>100.08150000000001</v>
      </c>
    </row>
    <row r="1291" spans="3:5" x14ac:dyDescent="0.35">
      <c r="C1291">
        <f t="shared" si="21"/>
        <v>1903</v>
      </c>
      <c r="D1291" s="7">
        <v>1290</v>
      </c>
      <c r="E1291">
        <v>97.375</v>
      </c>
    </row>
    <row r="1292" spans="3:5" x14ac:dyDescent="0.35">
      <c r="C1292">
        <f t="shared" si="21"/>
        <v>1903</v>
      </c>
      <c r="D1292" s="7">
        <v>1291</v>
      </c>
      <c r="E1292">
        <v>99.848699999999994</v>
      </c>
    </row>
    <row r="1293" spans="3:5" x14ac:dyDescent="0.35">
      <c r="C1293">
        <f t="shared" si="21"/>
        <v>1903</v>
      </c>
      <c r="D1293" s="7">
        <v>1292</v>
      </c>
      <c r="E1293">
        <v>101.0318</v>
      </c>
    </row>
    <row r="1294" spans="3:5" x14ac:dyDescent="0.35">
      <c r="C1294">
        <f t="shared" si="21"/>
        <v>1903</v>
      </c>
      <c r="D1294" s="7">
        <v>1293</v>
      </c>
      <c r="E1294">
        <v>97.793800000000005</v>
      </c>
    </row>
    <row r="1295" spans="3:5" x14ac:dyDescent="0.35">
      <c r="C1295">
        <f t="shared" si="21"/>
        <v>1903</v>
      </c>
      <c r="D1295" s="7">
        <v>1294</v>
      </c>
      <c r="E1295">
        <v>93.046300000000002</v>
      </c>
    </row>
    <row r="1296" spans="3:5" x14ac:dyDescent="0.35">
      <c r="C1296">
        <f t="shared" si="21"/>
        <v>1903</v>
      </c>
      <c r="D1296" s="7">
        <v>1295</v>
      </c>
      <c r="E1296">
        <v>92.688199999999995</v>
      </c>
    </row>
    <row r="1297" spans="3:5" x14ac:dyDescent="0.35">
      <c r="C1297">
        <f t="shared" si="21"/>
        <v>1903</v>
      </c>
      <c r="D1297" s="7">
        <v>1296</v>
      </c>
      <c r="E1297">
        <v>92.695800000000006</v>
      </c>
    </row>
    <row r="1298" spans="3:5" x14ac:dyDescent="0.35">
      <c r="C1298">
        <f t="shared" si="21"/>
        <v>1903</v>
      </c>
      <c r="D1298" s="7">
        <v>1297</v>
      </c>
      <c r="E1298">
        <v>91.724000000000004</v>
      </c>
    </row>
    <row r="1299" spans="3:5" x14ac:dyDescent="0.35">
      <c r="C1299">
        <f t="shared" si="21"/>
        <v>1903</v>
      </c>
      <c r="D1299" s="7">
        <v>1298</v>
      </c>
      <c r="E1299">
        <v>88.584400000000002</v>
      </c>
    </row>
    <row r="1300" spans="3:5" x14ac:dyDescent="0.35">
      <c r="C1300">
        <f t="shared" si="21"/>
        <v>1903</v>
      </c>
      <c r="D1300" s="7">
        <v>1299</v>
      </c>
      <c r="E1300">
        <v>86.795699999999997</v>
      </c>
    </row>
    <row r="1301" spans="3:5" x14ac:dyDescent="0.35">
      <c r="C1301">
        <f t="shared" si="21"/>
        <v>1903</v>
      </c>
      <c r="D1301" s="7">
        <v>1300</v>
      </c>
      <c r="E1301">
        <v>86.748099999999994</v>
      </c>
    </row>
    <row r="1302" spans="3:5" x14ac:dyDescent="0.35">
      <c r="C1302">
        <f t="shared" si="21"/>
        <v>1903</v>
      </c>
      <c r="D1302" s="7">
        <v>1301</v>
      </c>
      <c r="E1302">
        <v>86.626900000000006</v>
      </c>
    </row>
    <row r="1303" spans="3:5" x14ac:dyDescent="0.35">
      <c r="C1303">
        <f t="shared" si="21"/>
        <v>1903</v>
      </c>
      <c r="D1303" s="7">
        <v>1302</v>
      </c>
      <c r="E1303">
        <v>84.971599999999995</v>
      </c>
    </row>
    <row r="1304" spans="3:5" x14ac:dyDescent="0.35">
      <c r="C1304">
        <f t="shared" si="21"/>
        <v>1903</v>
      </c>
      <c r="D1304" s="7">
        <v>1303</v>
      </c>
      <c r="E1304">
        <v>85.613100000000003</v>
      </c>
    </row>
    <row r="1305" spans="3:5" x14ac:dyDescent="0.35">
      <c r="C1305">
        <f t="shared" si="21"/>
        <v>1903</v>
      </c>
      <c r="D1305" s="7">
        <v>1304</v>
      </c>
      <c r="E1305">
        <v>86.536199999999994</v>
      </c>
    </row>
    <row r="1306" spans="3:5" x14ac:dyDescent="0.35">
      <c r="C1306">
        <f t="shared" si="21"/>
        <v>1903</v>
      </c>
      <c r="D1306" s="7">
        <v>1305</v>
      </c>
      <c r="E1306">
        <v>84.838800000000006</v>
      </c>
    </row>
    <row r="1307" spans="3:5" x14ac:dyDescent="0.35">
      <c r="C1307">
        <f t="shared" si="21"/>
        <v>1903</v>
      </c>
      <c r="D1307" s="7">
        <v>1306</v>
      </c>
      <c r="E1307">
        <v>86.346199999999996</v>
      </c>
    </row>
    <row r="1308" spans="3:5" x14ac:dyDescent="0.35">
      <c r="C1308">
        <f t="shared" si="21"/>
        <v>1903</v>
      </c>
      <c r="D1308" s="7">
        <v>1307</v>
      </c>
      <c r="E1308">
        <v>89.844800000000006</v>
      </c>
    </row>
    <row r="1309" spans="3:5" x14ac:dyDescent="0.35">
      <c r="C1309">
        <f t="shared" si="21"/>
        <v>1903</v>
      </c>
      <c r="D1309" s="7">
        <v>1308</v>
      </c>
      <c r="E1309">
        <v>89.295299999999997</v>
      </c>
    </row>
    <row r="1310" spans="3:5" x14ac:dyDescent="0.35">
      <c r="C1310">
        <f t="shared" si="21"/>
        <v>1903</v>
      </c>
      <c r="D1310" s="7">
        <v>1309</v>
      </c>
      <c r="E1310">
        <v>91.938299999999998</v>
      </c>
    </row>
    <row r="1311" spans="3:5" x14ac:dyDescent="0.35">
      <c r="C1311">
        <f t="shared" si="21"/>
        <v>1903</v>
      </c>
      <c r="D1311" s="7">
        <v>1310</v>
      </c>
      <c r="E1311">
        <v>90.187399999999997</v>
      </c>
    </row>
    <row r="1312" spans="3:5" x14ac:dyDescent="0.35">
      <c r="C1312">
        <f t="shared" si="21"/>
        <v>1903</v>
      </c>
      <c r="D1312" s="7">
        <v>1311</v>
      </c>
      <c r="E1312">
        <v>91.530600000000007</v>
      </c>
    </row>
    <row r="1313" spans="3:5" x14ac:dyDescent="0.35">
      <c r="C1313">
        <f t="shared" si="21"/>
        <v>1903</v>
      </c>
      <c r="D1313" s="7">
        <v>1312</v>
      </c>
      <c r="E1313">
        <v>89.686199999999999</v>
      </c>
    </row>
    <row r="1314" spans="3:5" x14ac:dyDescent="0.35">
      <c r="C1314">
        <f t="shared" si="21"/>
        <v>1903</v>
      </c>
      <c r="D1314" s="7">
        <v>1313</v>
      </c>
      <c r="E1314">
        <v>88.544300000000007</v>
      </c>
    </row>
    <row r="1315" spans="3:5" x14ac:dyDescent="0.35">
      <c r="C1315">
        <f t="shared" si="21"/>
        <v>1903</v>
      </c>
      <c r="D1315" s="7">
        <v>1314</v>
      </c>
      <c r="E1315">
        <v>84.536199999999994</v>
      </c>
    </row>
    <row r="1316" spans="3:5" x14ac:dyDescent="0.35">
      <c r="C1316">
        <f t="shared" si="21"/>
        <v>1903</v>
      </c>
      <c r="D1316" s="7">
        <v>1315</v>
      </c>
      <c r="E1316">
        <v>85.9482</v>
      </c>
    </row>
    <row r="1317" spans="3:5" x14ac:dyDescent="0.35">
      <c r="C1317">
        <f t="shared" si="21"/>
        <v>1903</v>
      </c>
      <c r="D1317" s="7">
        <v>1316</v>
      </c>
      <c r="E1317">
        <v>89.470699999999994</v>
      </c>
    </row>
    <row r="1318" spans="3:5" x14ac:dyDescent="0.35">
      <c r="C1318">
        <f t="shared" si="21"/>
        <v>1903</v>
      </c>
      <c r="D1318" s="7">
        <v>1317</v>
      </c>
      <c r="E1318">
        <v>89.902199999999993</v>
      </c>
    </row>
    <row r="1319" spans="3:5" x14ac:dyDescent="0.35">
      <c r="C1319">
        <f t="shared" si="21"/>
        <v>1903</v>
      </c>
      <c r="D1319" s="7">
        <v>1318</v>
      </c>
      <c r="E1319">
        <v>87.572800000000001</v>
      </c>
    </row>
    <row r="1320" spans="3:5" x14ac:dyDescent="0.35">
      <c r="C1320">
        <f t="shared" si="21"/>
        <v>1903</v>
      </c>
      <c r="D1320" s="7">
        <v>1319</v>
      </c>
      <c r="E1320">
        <v>89.064599999999999</v>
      </c>
    </row>
    <row r="1321" spans="3:5" x14ac:dyDescent="0.35">
      <c r="C1321">
        <f t="shared" si="21"/>
        <v>1903</v>
      </c>
      <c r="D1321" s="7">
        <v>1320</v>
      </c>
      <c r="E1321">
        <v>89.513400000000004</v>
      </c>
    </row>
    <row r="1322" spans="3:5" x14ac:dyDescent="0.35">
      <c r="C1322">
        <f t="shared" si="21"/>
        <v>1903</v>
      </c>
      <c r="D1322" s="7">
        <v>1321</v>
      </c>
      <c r="E1322">
        <v>88.254800000000003</v>
      </c>
    </row>
    <row r="1323" spans="3:5" x14ac:dyDescent="0.35">
      <c r="C1323">
        <f t="shared" si="21"/>
        <v>1903</v>
      </c>
      <c r="D1323" s="7">
        <v>1322</v>
      </c>
      <c r="E1323">
        <v>89.855699999999999</v>
      </c>
    </row>
    <row r="1324" spans="3:5" x14ac:dyDescent="0.35">
      <c r="C1324">
        <f t="shared" si="21"/>
        <v>1903</v>
      </c>
      <c r="D1324" s="7">
        <v>1323</v>
      </c>
      <c r="E1324">
        <v>91.2864</v>
      </c>
    </row>
    <row r="1325" spans="3:5" x14ac:dyDescent="0.35">
      <c r="C1325">
        <f t="shared" si="21"/>
        <v>1903</v>
      </c>
      <c r="D1325" s="7">
        <v>1324</v>
      </c>
      <c r="E1325">
        <v>88.541200000000003</v>
      </c>
    </row>
    <row r="1326" spans="3:5" x14ac:dyDescent="0.35">
      <c r="C1326">
        <f t="shared" si="21"/>
        <v>1903</v>
      </c>
      <c r="D1326" s="7">
        <v>1325</v>
      </c>
      <c r="E1326">
        <v>89.456599999999995</v>
      </c>
    </row>
    <row r="1327" spans="3:5" x14ac:dyDescent="0.35">
      <c r="C1327">
        <f t="shared" si="21"/>
        <v>1903</v>
      </c>
      <c r="D1327" s="7">
        <v>1326</v>
      </c>
      <c r="E1327">
        <v>88.249600000000001</v>
      </c>
    </row>
    <row r="1328" spans="3:5" x14ac:dyDescent="0.35">
      <c r="C1328">
        <f t="shared" si="21"/>
        <v>1903</v>
      </c>
      <c r="D1328" s="7">
        <v>1327</v>
      </c>
      <c r="E1328">
        <v>84.784499999999994</v>
      </c>
    </row>
    <row r="1329" spans="3:5" x14ac:dyDescent="0.35">
      <c r="C1329">
        <f t="shared" si="21"/>
        <v>1903</v>
      </c>
      <c r="D1329" s="7">
        <v>1328</v>
      </c>
      <c r="E1329">
        <v>85.562399999999997</v>
      </c>
    </row>
    <row r="1330" spans="3:5" x14ac:dyDescent="0.35">
      <c r="C1330">
        <f t="shared" si="21"/>
        <v>1903</v>
      </c>
      <c r="D1330" s="7">
        <v>1329</v>
      </c>
      <c r="E1330">
        <v>85.655900000000003</v>
      </c>
    </row>
    <row r="1331" spans="3:5" x14ac:dyDescent="0.35">
      <c r="C1331">
        <f t="shared" si="21"/>
        <v>1903</v>
      </c>
      <c r="D1331" s="7">
        <v>1330</v>
      </c>
      <c r="E1331">
        <v>87.487099999999998</v>
      </c>
    </row>
    <row r="1332" spans="3:5" x14ac:dyDescent="0.35">
      <c r="C1332">
        <f t="shared" si="21"/>
        <v>1903</v>
      </c>
      <c r="D1332" s="7">
        <v>1331</v>
      </c>
      <c r="E1332">
        <v>88.443600000000004</v>
      </c>
    </row>
    <row r="1333" spans="3:5" x14ac:dyDescent="0.35">
      <c r="C1333">
        <f t="shared" si="21"/>
        <v>1903</v>
      </c>
      <c r="D1333" s="7">
        <v>1332</v>
      </c>
      <c r="E1333">
        <v>89.419499999999999</v>
      </c>
    </row>
    <row r="1334" spans="3:5" x14ac:dyDescent="0.35">
      <c r="C1334">
        <f t="shared" si="21"/>
        <v>1903</v>
      </c>
      <c r="D1334" s="7">
        <v>1333</v>
      </c>
      <c r="E1334">
        <v>87.946200000000005</v>
      </c>
    </row>
    <row r="1335" spans="3:5" x14ac:dyDescent="0.35">
      <c r="C1335">
        <f t="shared" si="21"/>
        <v>1903</v>
      </c>
      <c r="D1335" s="7">
        <v>1334</v>
      </c>
      <c r="E1335">
        <v>90.850499999999997</v>
      </c>
    </row>
    <row r="1336" spans="3:5" x14ac:dyDescent="0.35">
      <c r="C1336">
        <f t="shared" si="21"/>
        <v>1903</v>
      </c>
      <c r="D1336" s="7">
        <v>1335</v>
      </c>
      <c r="E1336">
        <v>89.055400000000006</v>
      </c>
    </row>
    <row r="1337" spans="3:5" x14ac:dyDescent="0.35">
      <c r="C1337">
        <f t="shared" si="21"/>
        <v>1903</v>
      </c>
      <c r="D1337" s="7">
        <v>1336</v>
      </c>
      <c r="E1337">
        <v>88.422399999999996</v>
      </c>
    </row>
    <row r="1338" spans="3:5" x14ac:dyDescent="0.35">
      <c r="C1338">
        <f t="shared" si="21"/>
        <v>1903</v>
      </c>
      <c r="D1338" s="7">
        <v>1337</v>
      </c>
      <c r="E1338">
        <v>89.592699999999994</v>
      </c>
    </row>
    <row r="1339" spans="3:5" x14ac:dyDescent="0.35">
      <c r="C1339">
        <f t="shared" si="21"/>
        <v>1903</v>
      </c>
      <c r="D1339" s="7">
        <v>1338</v>
      </c>
      <c r="E1339">
        <v>87.923900000000003</v>
      </c>
    </row>
    <row r="1340" spans="3:5" x14ac:dyDescent="0.35">
      <c r="C1340">
        <f t="shared" si="21"/>
        <v>1903</v>
      </c>
      <c r="D1340" s="7">
        <v>1339</v>
      </c>
      <c r="E1340">
        <v>87.961399999999998</v>
      </c>
    </row>
    <row r="1341" spans="3:5" x14ac:dyDescent="0.35">
      <c r="C1341">
        <f t="shared" si="21"/>
        <v>1903</v>
      </c>
      <c r="D1341" s="7">
        <v>1340</v>
      </c>
      <c r="E1341">
        <v>87.576099999999997</v>
      </c>
    </row>
    <row r="1342" spans="3:5" x14ac:dyDescent="0.35">
      <c r="C1342">
        <f t="shared" si="21"/>
        <v>1903</v>
      </c>
      <c r="D1342" s="7">
        <v>1341</v>
      </c>
      <c r="E1342">
        <v>85.887100000000004</v>
      </c>
    </row>
    <row r="1343" spans="3:5" x14ac:dyDescent="0.35">
      <c r="C1343">
        <f t="shared" si="21"/>
        <v>1903</v>
      </c>
      <c r="D1343" s="7">
        <v>1342</v>
      </c>
      <c r="E1343">
        <v>84.427499999999995</v>
      </c>
    </row>
    <row r="1344" spans="3:5" x14ac:dyDescent="0.35">
      <c r="C1344">
        <f t="shared" si="21"/>
        <v>1903</v>
      </c>
      <c r="D1344" s="7">
        <v>1343</v>
      </c>
      <c r="E1344">
        <v>86.721400000000003</v>
      </c>
    </row>
    <row r="1345" spans="3:5" x14ac:dyDescent="0.35">
      <c r="C1345">
        <f t="shared" si="21"/>
        <v>1903</v>
      </c>
      <c r="D1345" s="7">
        <v>1344</v>
      </c>
      <c r="E1345">
        <v>87.296000000000006</v>
      </c>
    </row>
    <row r="1346" spans="3:5" x14ac:dyDescent="0.35">
      <c r="C1346">
        <f t="shared" si="21"/>
        <v>1903</v>
      </c>
      <c r="D1346" s="7">
        <v>1345</v>
      </c>
      <c r="E1346">
        <v>89.188400000000001</v>
      </c>
    </row>
    <row r="1347" spans="3:5" x14ac:dyDescent="0.35">
      <c r="C1347">
        <f t="shared" ref="C1347:C1410" si="22">YEAR(D1347)</f>
        <v>1903</v>
      </c>
      <c r="D1347" s="7">
        <v>1346</v>
      </c>
      <c r="E1347">
        <v>90.858000000000004</v>
      </c>
    </row>
    <row r="1348" spans="3:5" x14ac:dyDescent="0.35">
      <c r="C1348">
        <f t="shared" si="22"/>
        <v>1903</v>
      </c>
      <c r="D1348" s="7">
        <v>1347</v>
      </c>
      <c r="E1348">
        <v>90.688699999999997</v>
      </c>
    </row>
    <row r="1349" spans="3:5" x14ac:dyDescent="0.35">
      <c r="C1349">
        <f t="shared" si="22"/>
        <v>1903</v>
      </c>
      <c r="D1349" s="7">
        <v>1348</v>
      </c>
      <c r="E1349">
        <v>92.371700000000004</v>
      </c>
    </row>
    <row r="1350" spans="3:5" x14ac:dyDescent="0.35">
      <c r="C1350">
        <f t="shared" si="22"/>
        <v>1903</v>
      </c>
      <c r="D1350" s="7">
        <v>1349</v>
      </c>
      <c r="E1350">
        <v>94.721400000000003</v>
      </c>
    </row>
    <row r="1351" spans="3:5" x14ac:dyDescent="0.35">
      <c r="C1351">
        <f t="shared" si="22"/>
        <v>1903</v>
      </c>
      <c r="D1351" s="7">
        <v>1350</v>
      </c>
      <c r="E1351">
        <v>96.369900000000001</v>
      </c>
    </row>
    <row r="1352" spans="3:5" x14ac:dyDescent="0.35">
      <c r="C1352">
        <f t="shared" si="22"/>
        <v>1903</v>
      </c>
      <c r="D1352" s="7">
        <v>1351</v>
      </c>
      <c r="E1352">
        <v>97.808000000000007</v>
      </c>
    </row>
    <row r="1353" spans="3:5" x14ac:dyDescent="0.35">
      <c r="C1353">
        <f t="shared" si="22"/>
        <v>1903</v>
      </c>
      <c r="D1353" s="7">
        <v>1352</v>
      </c>
      <c r="E1353">
        <v>95.327699999999993</v>
      </c>
    </row>
    <row r="1354" spans="3:5" x14ac:dyDescent="0.35">
      <c r="C1354">
        <f t="shared" si="22"/>
        <v>1903</v>
      </c>
      <c r="D1354" s="7">
        <v>1353</v>
      </c>
      <c r="E1354">
        <v>92.753299999999996</v>
      </c>
    </row>
    <row r="1355" spans="3:5" x14ac:dyDescent="0.35">
      <c r="C1355">
        <f t="shared" si="22"/>
        <v>1903</v>
      </c>
      <c r="D1355" s="7">
        <v>1354</v>
      </c>
      <c r="E1355">
        <v>92.905199999999994</v>
      </c>
    </row>
    <row r="1356" spans="3:5" x14ac:dyDescent="0.35">
      <c r="C1356">
        <f t="shared" si="22"/>
        <v>1903</v>
      </c>
      <c r="D1356" s="7">
        <v>1355</v>
      </c>
      <c r="E1356">
        <v>92.292100000000005</v>
      </c>
    </row>
    <row r="1357" spans="3:5" x14ac:dyDescent="0.35">
      <c r="C1357">
        <f t="shared" si="22"/>
        <v>1903</v>
      </c>
      <c r="D1357" s="7">
        <v>1356</v>
      </c>
      <c r="E1357">
        <v>93.291200000000003</v>
      </c>
    </row>
    <row r="1358" spans="3:5" x14ac:dyDescent="0.35">
      <c r="C1358">
        <f t="shared" si="22"/>
        <v>1903</v>
      </c>
      <c r="D1358" s="7">
        <v>1357</v>
      </c>
      <c r="E1358">
        <v>92.3827</v>
      </c>
    </row>
    <row r="1359" spans="3:5" x14ac:dyDescent="0.35">
      <c r="C1359">
        <f t="shared" si="22"/>
        <v>1903</v>
      </c>
      <c r="D1359" s="7">
        <v>1358</v>
      </c>
      <c r="E1359">
        <v>88.832700000000003</v>
      </c>
    </row>
    <row r="1360" spans="3:5" x14ac:dyDescent="0.35">
      <c r="C1360">
        <f t="shared" si="22"/>
        <v>1903</v>
      </c>
      <c r="D1360" s="7">
        <v>1359</v>
      </c>
      <c r="E1360">
        <v>86.311999999999998</v>
      </c>
    </row>
    <row r="1361" spans="3:5" x14ac:dyDescent="0.35">
      <c r="C1361">
        <f t="shared" si="22"/>
        <v>1903</v>
      </c>
      <c r="D1361" s="7">
        <v>1360</v>
      </c>
      <c r="E1361">
        <v>86.183599999999998</v>
      </c>
    </row>
    <row r="1362" spans="3:5" x14ac:dyDescent="0.35">
      <c r="C1362">
        <f t="shared" si="22"/>
        <v>1903</v>
      </c>
      <c r="D1362" s="7">
        <v>1361</v>
      </c>
      <c r="E1362">
        <v>88.819199999999995</v>
      </c>
    </row>
    <row r="1363" spans="3:5" x14ac:dyDescent="0.35">
      <c r="C1363">
        <f t="shared" si="22"/>
        <v>1903</v>
      </c>
      <c r="D1363" s="7">
        <v>1362</v>
      </c>
      <c r="E1363">
        <v>89.443200000000004</v>
      </c>
    </row>
    <row r="1364" spans="3:5" x14ac:dyDescent="0.35">
      <c r="C1364">
        <f t="shared" si="22"/>
        <v>1903</v>
      </c>
      <c r="D1364" s="7">
        <v>1363</v>
      </c>
      <c r="E1364">
        <v>89.818100000000001</v>
      </c>
    </row>
    <row r="1365" spans="3:5" x14ac:dyDescent="0.35">
      <c r="C1365">
        <f t="shared" si="22"/>
        <v>1903</v>
      </c>
      <c r="D1365" s="7">
        <v>1364</v>
      </c>
      <c r="E1365">
        <v>81.106399999999994</v>
      </c>
    </row>
    <row r="1366" spans="3:5" x14ac:dyDescent="0.35">
      <c r="C1366">
        <f t="shared" si="22"/>
        <v>1903</v>
      </c>
      <c r="D1366" s="7">
        <v>1365</v>
      </c>
      <c r="E1366">
        <v>80.693799999999996</v>
      </c>
    </row>
    <row r="1367" spans="3:5" x14ac:dyDescent="0.35">
      <c r="C1367">
        <f t="shared" si="22"/>
        <v>1903</v>
      </c>
      <c r="D1367" s="7">
        <v>1366</v>
      </c>
      <c r="E1367">
        <v>82.083799999999997</v>
      </c>
    </row>
    <row r="1368" spans="3:5" x14ac:dyDescent="0.35">
      <c r="C1368">
        <f t="shared" si="22"/>
        <v>1903</v>
      </c>
      <c r="D1368" s="7">
        <v>1367</v>
      </c>
      <c r="E1368">
        <v>84.415700000000001</v>
      </c>
    </row>
    <row r="1369" spans="3:5" x14ac:dyDescent="0.35">
      <c r="C1369">
        <f t="shared" si="22"/>
        <v>1903</v>
      </c>
      <c r="D1369" s="7">
        <v>1368</v>
      </c>
      <c r="E1369">
        <v>85.417299999999997</v>
      </c>
    </row>
    <row r="1370" spans="3:5" x14ac:dyDescent="0.35">
      <c r="C1370">
        <f t="shared" si="22"/>
        <v>1903</v>
      </c>
      <c r="D1370" s="7">
        <v>1369</v>
      </c>
      <c r="E1370">
        <v>82.892700000000005</v>
      </c>
    </row>
    <row r="1371" spans="3:5" x14ac:dyDescent="0.35">
      <c r="C1371">
        <f t="shared" si="22"/>
        <v>1903</v>
      </c>
      <c r="D1371" s="7">
        <v>1370</v>
      </c>
      <c r="E1371">
        <v>83.982100000000003</v>
      </c>
    </row>
    <row r="1372" spans="3:5" x14ac:dyDescent="0.35">
      <c r="C1372">
        <f t="shared" si="22"/>
        <v>1903</v>
      </c>
      <c r="D1372" s="7">
        <v>1371</v>
      </c>
      <c r="E1372">
        <v>85.605900000000005</v>
      </c>
    </row>
    <row r="1373" spans="3:5" x14ac:dyDescent="0.35">
      <c r="C1373">
        <f t="shared" si="22"/>
        <v>1903</v>
      </c>
      <c r="D1373" s="7">
        <v>1372</v>
      </c>
      <c r="E1373">
        <v>85.470399999999998</v>
      </c>
    </row>
    <row r="1374" spans="3:5" x14ac:dyDescent="0.35">
      <c r="C1374">
        <f t="shared" si="22"/>
        <v>1903</v>
      </c>
      <c r="D1374" s="7">
        <v>1373</v>
      </c>
      <c r="E1374">
        <v>86.209400000000002</v>
      </c>
    </row>
    <row r="1375" spans="3:5" x14ac:dyDescent="0.35">
      <c r="C1375">
        <f t="shared" si="22"/>
        <v>1903</v>
      </c>
      <c r="D1375" s="7">
        <v>1374</v>
      </c>
      <c r="E1375">
        <v>88.682000000000002</v>
      </c>
    </row>
    <row r="1376" spans="3:5" x14ac:dyDescent="0.35">
      <c r="C1376">
        <f t="shared" si="22"/>
        <v>1903</v>
      </c>
      <c r="D1376" s="7">
        <v>1375</v>
      </c>
      <c r="E1376">
        <v>88.735799999999998</v>
      </c>
    </row>
    <row r="1377" spans="3:5" x14ac:dyDescent="0.35">
      <c r="C1377">
        <f t="shared" si="22"/>
        <v>1903</v>
      </c>
      <c r="D1377" s="7">
        <v>1376</v>
      </c>
      <c r="E1377">
        <v>90.284599999999998</v>
      </c>
    </row>
    <row r="1378" spans="3:5" x14ac:dyDescent="0.35">
      <c r="C1378">
        <f t="shared" si="22"/>
        <v>1903</v>
      </c>
      <c r="D1378" s="7">
        <v>1377</v>
      </c>
      <c r="E1378">
        <v>90.831400000000002</v>
      </c>
    </row>
    <row r="1379" spans="3:5" x14ac:dyDescent="0.35">
      <c r="C1379">
        <f t="shared" si="22"/>
        <v>1903</v>
      </c>
      <c r="D1379" s="7">
        <v>1378</v>
      </c>
      <c r="E1379">
        <v>90.828599999999994</v>
      </c>
    </row>
    <row r="1380" spans="3:5" x14ac:dyDescent="0.35">
      <c r="C1380">
        <f t="shared" si="22"/>
        <v>1903</v>
      </c>
      <c r="D1380" s="7">
        <v>1379</v>
      </c>
      <c r="E1380">
        <v>86.454099999999997</v>
      </c>
    </row>
    <row r="1381" spans="3:5" x14ac:dyDescent="0.35">
      <c r="C1381">
        <f t="shared" si="22"/>
        <v>1903</v>
      </c>
      <c r="D1381" s="7">
        <v>1380</v>
      </c>
      <c r="E1381">
        <v>86.428200000000004</v>
      </c>
    </row>
    <row r="1382" spans="3:5" x14ac:dyDescent="0.35">
      <c r="C1382">
        <f t="shared" si="22"/>
        <v>1903</v>
      </c>
      <c r="D1382" s="7">
        <v>1381</v>
      </c>
      <c r="E1382">
        <v>88.2256</v>
      </c>
    </row>
    <row r="1383" spans="3:5" x14ac:dyDescent="0.35">
      <c r="C1383">
        <f t="shared" si="22"/>
        <v>1903</v>
      </c>
      <c r="D1383" s="7">
        <v>1382</v>
      </c>
      <c r="E1383">
        <v>89.325800000000001</v>
      </c>
    </row>
    <row r="1384" spans="3:5" x14ac:dyDescent="0.35">
      <c r="C1384">
        <f t="shared" si="22"/>
        <v>1903</v>
      </c>
      <c r="D1384" s="7">
        <v>1383</v>
      </c>
      <c r="E1384">
        <v>89.364400000000003</v>
      </c>
    </row>
    <row r="1385" spans="3:5" x14ac:dyDescent="0.35">
      <c r="C1385">
        <f t="shared" si="22"/>
        <v>1903</v>
      </c>
      <c r="D1385" s="7">
        <v>1384</v>
      </c>
      <c r="E1385">
        <v>92.475300000000004</v>
      </c>
    </row>
    <row r="1386" spans="3:5" x14ac:dyDescent="0.35">
      <c r="C1386">
        <f t="shared" si="22"/>
        <v>1903</v>
      </c>
      <c r="D1386" s="7">
        <v>1385</v>
      </c>
      <c r="E1386">
        <v>89.770200000000003</v>
      </c>
    </row>
    <row r="1387" spans="3:5" x14ac:dyDescent="0.35">
      <c r="C1387">
        <f t="shared" si="22"/>
        <v>1903</v>
      </c>
      <c r="D1387" s="7">
        <v>1386</v>
      </c>
      <c r="E1387">
        <v>92.871600000000001</v>
      </c>
    </row>
    <row r="1388" spans="3:5" x14ac:dyDescent="0.35">
      <c r="C1388">
        <f t="shared" si="22"/>
        <v>1903</v>
      </c>
      <c r="D1388" s="7">
        <v>1387</v>
      </c>
      <c r="E1388">
        <v>93.330500000000001</v>
      </c>
    </row>
    <row r="1389" spans="3:5" x14ac:dyDescent="0.35">
      <c r="C1389">
        <f t="shared" si="22"/>
        <v>1903</v>
      </c>
      <c r="D1389" s="7">
        <v>1388</v>
      </c>
      <c r="E1389">
        <v>94.643199999999993</v>
      </c>
    </row>
    <row r="1390" spans="3:5" x14ac:dyDescent="0.35">
      <c r="C1390">
        <f t="shared" si="22"/>
        <v>1903</v>
      </c>
      <c r="D1390" s="7">
        <v>1389</v>
      </c>
      <c r="E1390">
        <v>94.687899999999999</v>
      </c>
    </row>
    <row r="1391" spans="3:5" x14ac:dyDescent="0.35">
      <c r="C1391">
        <f t="shared" si="22"/>
        <v>1903</v>
      </c>
      <c r="D1391" s="7">
        <v>1390</v>
      </c>
      <c r="E1391">
        <v>95.206900000000005</v>
      </c>
    </row>
    <row r="1392" spans="3:5" x14ac:dyDescent="0.35">
      <c r="C1392">
        <f t="shared" si="22"/>
        <v>1903</v>
      </c>
      <c r="D1392" s="7">
        <v>1391</v>
      </c>
      <c r="E1392">
        <v>94.327500000000001</v>
      </c>
    </row>
    <row r="1393" spans="3:5" x14ac:dyDescent="0.35">
      <c r="C1393">
        <f t="shared" si="22"/>
        <v>1903</v>
      </c>
      <c r="D1393" s="7">
        <v>1392</v>
      </c>
      <c r="E1393">
        <v>94.947999999999993</v>
      </c>
    </row>
    <row r="1394" spans="3:5" x14ac:dyDescent="0.35">
      <c r="C1394">
        <f t="shared" si="22"/>
        <v>1903</v>
      </c>
      <c r="D1394" s="7">
        <v>1393</v>
      </c>
      <c r="E1394">
        <v>95.846599999999995</v>
      </c>
    </row>
    <row r="1395" spans="3:5" x14ac:dyDescent="0.35">
      <c r="C1395">
        <f t="shared" si="22"/>
        <v>1903</v>
      </c>
      <c r="D1395" s="7">
        <v>1394</v>
      </c>
      <c r="E1395">
        <v>96.379900000000006</v>
      </c>
    </row>
    <row r="1396" spans="3:5" x14ac:dyDescent="0.35">
      <c r="C1396">
        <f t="shared" si="22"/>
        <v>1903</v>
      </c>
      <c r="D1396" s="7">
        <v>1395</v>
      </c>
      <c r="E1396">
        <v>98.3249</v>
      </c>
    </row>
    <row r="1397" spans="3:5" x14ac:dyDescent="0.35">
      <c r="C1397">
        <f t="shared" si="22"/>
        <v>1903</v>
      </c>
      <c r="D1397" s="7">
        <v>1396</v>
      </c>
      <c r="E1397">
        <v>92.644999999999996</v>
      </c>
    </row>
    <row r="1398" spans="3:5" x14ac:dyDescent="0.35">
      <c r="C1398">
        <f t="shared" si="22"/>
        <v>1903</v>
      </c>
      <c r="D1398" s="7">
        <v>1397</v>
      </c>
      <c r="E1398">
        <v>92.775899999999993</v>
      </c>
    </row>
    <row r="1399" spans="3:5" x14ac:dyDescent="0.35">
      <c r="C1399">
        <f t="shared" si="22"/>
        <v>1903</v>
      </c>
      <c r="D1399" s="7">
        <v>1398</v>
      </c>
      <c r="E1399">
        <v>89.206699999999998</v>
      </c>
    </row>
    <row r="1400" spans="3:5" x14ac:dyDescent="0.35">
      <c r="C1400">
        <f t="shared" si="22"/>
        <v>1903</v>
      </c>
      <c r="D1400" s="7">
        <v>1399</v>
      </c>
      <c r="E1400">
        <v>91.626900000000006</v>
      </c>
    </row>
    <row r="1401" spans="3:5" x14ac:dyDescent="0.35">
      <c r="C1401">
        <f t="shared" si="22"/>
        <v>1903</v>
      </c>
      <c r="D1401" s="7">
        <v>1400</v>
      </c>
      <c r="E1401">
        <v>91.465699999999998</v>
      </c>
    </row>
    <row r="1402" spans="3:5" x14ac:dyDescent="0.35">
      <c r="C1402">
        <f t="shared" si="22"/>
        <v>1903</v>
      </c>
      <c r="D1402" s="7">
        <v>1401</v>
      </c>
      <c r="E1402">
        <v>91.236099999999993</v>
      </c>
    </row>
    <row r="1403" spans="3:5" x14ac:dyDescent="0.35">
      <c r="C1403">
        <f t="shared" si="22"/>
        <v>1903</v>
      </c>
      <c r="D1403" s="7">
        <v>1402</v>
      </c>
      <c r="E1403">
        <v>92.020099999999999</v>
      </c>
    </row>
    <row r="1404" spans="3:5" x14ac:dyDescent="0.35">
      <c r="C1404">
        <f t="shared" si="22"/>
        <v>1903</v>
      </c>
      <c r="D1404" s="7">
        <v>1403</v>
      </c>
      <c r="E1404">
        <v>91.625100000000003</v>
      </c>
    </row>
    <row r="1405" spans="3:5" x14ac:dyDescent="0.35">
      <c r="C1405">
        <f t="shared" si="22"/>
        <v>1903</v>
      </c>
      <c r="D1405" s="7">
        <v>1404</v>
      </c>
      <c r="E1405">
        <v>92.41</v>
      </c>
    </row>
    <row r="1406" spans="3:5" x14ac:dyDescent="0.35">
      <c r="C1406">
        <f t="shared" si="22"/>
        <v>1903</v>
      </c>
      <c r="D1406" s="7">
        <v>1405</v>
      </c>
      <c r="E1406">
        <v>91.735699999999994</v>
      </c>
    </row>
    <row r="1407" spans="3:5" x14ac:dyDescent="0.35">
      <c r="C1407">
        <f t="shared" si="22"/>
        <v>1903</v>
      </c>
      <c r="D1407" s="7">
        <v>1406</v>
      </c>
      <c r="E1407">
        <v>93.2209</v>
      </c>
    </row>
    <row r="1408" spans="3:5" x14ac:dyDescent="0.35">
      <c r="C1408">
        <f t="shared" si="22"/>
        <v>1903</v>
      </c>
      <c r="D1408" s="7">
        <v>1407</v>
      </c>
      <c r="E1408">
        <v>93.112799999999993</v>
      </c>
    </row>
    <row r="1409" spans="3:5" x14ac:dyDescent="0.35">
      <c r="C1409">
        <f t="shared" si="22"/>
        <v>1903</v>
      </c>
      <c r="D1409" s="7">
        <v>1408</v>
      </c>
      <c r="E1409">
        <v>89.480599999999995</v>
      </c>
    </row>
    <row r="1410" spans="3:5" x14ac:dyDescent="0.35">
      <c r="C1410">
        <f t="shared" si="22"/>
        <v>1903</v>
      </c>
      <c r="D1410" s="7">
        <v>1409</v>
      </c>
      <c r="E1410">
        <v>92.865399999999994</v>
      </c>
    </row>
    <row r="1411" spans="3:5" x14ac:dyDescent="0.35">
      <c r="C1411">
        <f t="shared" ref="C1411:C1474" si="23">YEAR(D1411)</f>
        <v>1903</v>
      </c>
      <c r="D1411" s="7">
        <v>1410</v>
      </c>
      <c r="E1411">
        <v>90.094399999999993</v>
      </c>
    </row>
    <row r="1412" spans="3:5" x14ac:dyDescent="0.35">
      <c r="C1412">
        <f t="shared" si="23"/>
        <v>1903</v>
      </c>
      <c r="D1412" s="7">
        <v>1411</v>
      </c>
      <c r="E1412">
        <v>89.499700000000004</v>
      </c>
    </row>
    <row r="1413" spans="3:5" x14ac:dyDescent="0.35">
      <c r="C1413">
        <f t="shared" si="23"/>
        <v>1903</v>
      </c>
      <c r="D1413" s="7">
        <v>1412</v>
      </c>
      <c r="E1413">
        <v>89.891499999999994</v>
      </c>
    </row>
    <row r="1414" spans="3:5" x14ac:dyDescent="0.35">
      <c r="C1414">
        <f t="shared" si="23"/>
        <v>1903</v>
      </c>
      <c r="D1414" s="7">
        <v>1413</v>
      </c>
      <c r="E1414">
        <v>88.954800000000006</v>
      </c>
    </row>
    <row r="1415" spans="3:5" x14ac:dyDescent="0.35">
      <c r="C1415">
        <f t="shared" si="23"/>
        <v>1903</v>
      </c>
      <c r="D1415" s="7">
        <v>1414</v>
      </c>
      <c r="E1415">
        <v>84.924400000000006</v>
      </c>
    </row>
    <row r="1416" spans="3:5" x14ac:dyDescent="0.35">
      <c r="C1416">
        <f t="shared" si="23"/>
        <v>1903</v>
      </c>
      <c r="D1416" s="7">
        <v>1415</v>
      </c>
      <c r="E1416">
        <v>79.911500000000004</v>
      </c>
    </row>
    <row r="1417" spans="3:5" x14ac:dyDescent="0.35">
      <c r="C1417">
        <f t="shared" si="23"/>
        <v>1903</v>
      </c>
      <c r="D1417" s="7">
        <v>1416</v>
      </c>
      <c r="E1417">
        <v>77.899100000000004</v>
      </c>
    </row>
    <row r="1418" spans="3:5" x14ac:dyDescent="0.35">
      <c r="C1418">
        <f t="shared" si="23"/>
        <v>1903</v>
      </c>
      <c r="D1418" s="7">
        <v>1417</v>
      </c>
      <c r="E1418">
        <v>75.502499999999998</v>
      </c>
    </row>
    <row r="1419" spans="3:5" x14ac:dyDescent="0.35">
      <c r="C1419">
        <f t="shared" si="23"/>
        <v>1903</v>
      </c>
      <c r="D1419" s="7">
        <v>1418</v>
      </c>
      <c r="E1419">
        <v>70.9268</v>
      </c>
    </row>
    <row r="1420" spans="3:5" x14ac:dyDescent="0.35">
      <c r="C1420">
        <f t="shared" si="23"/>
        <v>1903</v>
      </c>
      <c r="D1420" s="7">
        <v>1419</v>
      </c>
      <c r="E1420">
        <v>74.739699999999999</v>
      </c>
    </row>
    <row r="1421" spans="3:5" x14ac:dyDescent="0.35">
      <c r="C1421">
        <f t="shared" si="23"/>
        <v>1903</v>
      </c>
      <c r="D1421" s="7">
        <v>1420</v>
      </c>
      <c r="E1421">
        <v>76.28</v>
      </c>
    </row>
    <row r="1422" spans="3:5" x14ac:dyDescent="0.35">
      <c r="C1422">
        <f t="shared" si="23"/>
        <v>1903</v>
      </c>
      <c r="D1422" s="7">
        <v>1421</v>
      </c>
      <c r="E1422">
        <v>76.770200000000003</v>
      </c>
    </row>
    <row r="1423" spans="3:5" x14ac:dyDescent="0.35">
      <c r="C1423">
        <f t="shared" si="23"/>
        <v>1903</v>
      </c>
      <c r="D1423" s="7">
        <v>1422</v>
      </c>
      <c r="E1423">
        <v>75.101900000000001</v>
      </c>
    </row>
    <row r="1424" spans="3:5" x14ac:dyDescent="0.35">
      <c r="C1424">
        <f t="shared" si="23"/>
        <v>1903</v>
      </c>
      <c r="D1424" s="7">
        <v>1423</v>
      </c>
      <c r="E1424">
        <v>75.8262</v>
      </c>
    </row>
    <row r="1425" spans="3:5" x14ac:dyDescent="0.35">
      <c r="C1425">
        <f t="shared" si="23"/>
        <v>1903</v>
      </c>
      <c r="D1425" s="7">
        <v>1424</v>
      </c>
      <c r="E1425">
        <v>72.784800000000004</v>
      </c>
    </row>
    <row r="1426" spans="3:5" x14ac:dyDescent="0.35">
      <c r="C1426">
        <f t="shared" si="23"/>
        <v>1903</v>
      </c>
      <c r="D1426" s="7">
        <v>1425</v>
      </c>
      <c r="E1426">
        <v>72.785399999999996</v>
      </c>
    </row>
    <row r="1427" spans="3:5" x14ac:dyDescent="0.35">
      <c r="C1427">
        <f t="shared" si="23"/>
        <v>1903</v>
      </c>
      <c r="D1427" s="7">
        <v>1426</v>
      </c>
      <c r="E1427">
        <v>72.639300000000006</v>
      </c>
    </row>
    <row r="1428" spans="3:5" x14ac:dyDescent="0.35">
      <c r="C1428">
        <f t="shared" si="23"/>
        <v>1903</v>
      </c>
      <c r="D1428" s="7">
        <v>1427</v>
      </c>
      <c r="E1428">
        <v>72.5137</v>
      </c>
    </row>
    <row r="1429" spans="3:5" x14ac:dyDescent="0.35">
      <c r="C1429">
        <f t="shared" si="23"/>
        <v>1903</v>
      </c>
      <c r="D1429" s="7">
        <v>1428</v>
      </c>
      <c r="E1429">
        <v>73.753699999999995</v>
      </c>
    </row>
    <row r="1430" spans="3:5" x14ac:dyDescent="0.35">
      <c r="C1430">
        <f t="shared" si="23"/>
        <v>1903</v>
      </c>
      <c r="D1430" s="7">
        <v>1429</v>
      </c>
      <c r="E1430">
        <v>74.555400000000006</v>
      </c>
    </row>
    <row r="1431" spans="3:5" x14ac:dyDescent="0.35">
      <c r="C1431">
        <f t="shared" si="23"/>
        <v>1903</v>
      </c>
      <c r="D1431" s="7">
        <v>1430</v>
      </c>
      <c r="E1431">
        <v>72.970399999999998</v>
      </c>
    </row>
    <row r="1432" spans="3:5" x14ac:dyDescent="0.35">
      <c r="C1432">
        <f t="shared" si="23"/>
        <v>1903</v>
      </c>
      <c r="D1432" s="7">
        <v>1431</v>
      </c>
      <c r="E1432">
        <v>72.490799999999993</v>
      </c>
    </row>
    <row r="1433" spans="3:5" x14ac:dyDescent="0.35">
      <c r="C1433">
        <f t="shared" si="23"/>
        <v>1903</v>
      </c>
      <c r="D1433" s="7">
        <v>1432</v>
      </c>
      <c r="E1433">
        <v>73.440299999999993</v>
      </c>
    </row>
    <row r="1434" spans="3:5" x14ac:dyDescent="0.35">
      <c r="C1434">
        <f t="shared" si="23"/>
        <v>1903</v>
      </c>
      <c r="D1434" s="7">
        <v>1433</v>
      </c>
      <c r="E1434">
        <v>74.294200000000004</v>
      </c>
    </row>
    <row r="1435" spans="3:5" x14ac:dyDescent="0.35">
      <c r="C1435">
        <f t="shared" si="23"/>
        <v>1903</v>
      </c>
      <c r="D1435" s="7">
        <v>1434</v>
      </c>
      <c r="E1435">
        <v>74.299700000000001</v>
      </c>
    </row>
    <row r="1436" spans="3:5" x14ac:dyDescent="0.35">
      <c r="C1436">
        <f t="shared" si="23"/>
        <v>1903</v>
      </c>
      <c r="D1436" s="7">
        <v>1435</v>
      </c>
      <c r="E1436">
        <v>75.8703</v>
      </c>
    </row>
    <row r="1437" spans="3:5" x14ac:dyDescent="0.35">
      <c r="C1437">
        <f t="shared" si="23"/>
        <v>1903</v>
      </c>
      <c r="D1437" s="7">
        <v>1436</v>
      </c>
      <c r="E1437">
        <v>74.704300000000003</v>
      </c>
    </row>
    <row r="1438" spans="3:5" x14ac:dyDescent="0.35">
      <c r="C1438">
        <f t="shared" si="23"/>
        <v>1903</v>
      </c>
      <c r="D1438" s="7">
        <v>1437</v>
      </c>
      <c r="E1438">
        <v>75.560699999999997</v>
      </c>
    </row>
    <row r="1439" spans="3:5" x14ac:dyDescent="0.35">
      <c r="C1439">
        <f t="shared" si="23"/>
        <v>1903</v>
      </c>
      <c r="D1439" s="7">
        <v>1438</v>
      </c>
      <c r="E1439">
        <v>75.573999999999998</v>
      </c>
    </row>
    <row r="1440" spans="3:5" x14ac:dyDescent="0.35">
      <c r="C1440">
        <f t="shared" si="23"/>
        <v>1903</v>
      </c>
      <c r="D1440" s="7">
        <v>1439</v>
      </c>
      <c r="E1440">
        <v>73.646199999999993</v>
      </c>
    </row>
    <row r="1441" spans="3:5" x14ac:dyDescent="0.35">
      <c r="C1441">
        <f t="shared" si="23"/>
        <v>1903</v>
      </c>
      <c r="D1441" s="7">
        <v>1440</v>
      </c>
      <c r="E1441">
        <v>71.984499999999997</v>
      </c>
    </row>
    <row r="1442" spans="3:5" x14ac:dyDescent="0.35">
      <c r="C1442">
        <f t="shared" si="23"/>
        <v>1903</v>
      </c>
      <c r="D1442" s="7">
        <v>1441</v>
      </c>
      <c r="E1442">
        <v>72.232299999999995</v>
      </c>
    </row>
    <row r="1443" spans="3:5" x14ac:dyDescent="0.35">
      <c r="C1443">
        <f t="shared" si="23"/>
        <v>1903</v>
      </c>
      <c r="D1443" s="7">
        <v>1442</v>
      </c>
      <c r="E1443">
        <v>71.6096</v>
      </c>
    </row>
    <row r="1444" spans="3:5" x14ac:dyDescent="0.35">
      <c r="C1444">
        <f t="shared" si="23"/>
        <v>1903</v>
      </c>
      <c r="D1444" s="7">
        <v>1443</v>
      </c>
      <c r="E1444">
        <v>72.404700000000005</v>
      </c>
    </row>
    <row r="1445" spans="3:5" x14ac:dyDescent="0.35">
      <c r="C1445">
        <f t="shared" si="23"/>
        <v>1903</v>
      </c>
      <c r="D1445" s="7">
        <v>1444</v>
      </c>
      <c r="E1445">
        <v>73.145899999999997</v>
      </c>
    </row>
    <row r="1446" spans="3:5" x14ac:dyDescent="0.35">
      <c r="C1446">
        <f t="shared" si="23"/>
        <v>1903</v>
      </c>
      <c r="D1446" s="7">
        <v>1445</v>
      </c>
      <c r="E1446">
        <v>73.8673</v>
      </c>
    </row>
    <row r="1447" spans="3:5" x14ac:dyDescent="0.35">
      <c r="C1447">
        <f t="shared" si="23"/>
        <v>1903</v>
      </c>
      <c r="D1447" s="7">
        <v>1446</v>
      </c>
      <c r="E1447">
        <v>73.072299999999998</v>
      </c>
    </row>
    <row r="1448" spans="3:5" x14ac:dyDescent="0.35">
      <c r="C1448">
        <f t="shared" si="23"/>
        <v>1903</v>
      </c>
      <c r="D1448" s="7">
        <v>1447</v>
      </c>
      <c r="E1448">
        <v>75.795699999999997</v>
      </c>
    </row>
    <row r="1449" spans="3:5" x14ac:dyDescent="0.35">
      <c r="C1449">
        <f t="shared" si="23"/>
        <v>1903</v>
      </c>
      <c r="D1449" s="7">
        <v>1448</v>
      </c>
      <c r="E1449">
        <v>76.674899999999994</v>
      </c>
    </row>
    <row r="1450" spans="3:5" x14ac:dyDescent="0.35">
      <c r="C1450">
        <f t="shared" si="23"/>
        <v>1903</v>
      </c>
      <c r="D1450" s="7">
        <v>1449</v>
      </c>
      <c r="E1450">
        <v>77.656999999999996</v>
      </c>
    </row>
    <row r="1451" spans="3:5" x14ac:dyDescent="0.35">
      <c r="C1451">
        <f t="shared" si="23"/>
        <v>1903</v>
      </c>
      <c r="D1451" s="7">
        <v>1450</v>
      </c>
      <c r="E1451">
        <v>78.981200000000001</v>
      </c>
    </row>
    <row r="1452" spans="3:5" x14ac:dyDescent="0.35">
      <c r="C1452">
        <f t="shared" si="23"/>
        <v>1903</v>
      </c>
      <c r="D1452" s="7">
        <v>1451</v>
      </c>
      <c r="E1452">
        <v>79.036699999999996</v>
      </c>
    </row>
    <row r="1453" spans="3:5" x14ac:dyDescent="0.35">
      <c r="C1453">
        <f t="shared" si="23"/>
        <v>1903</v>
      </c>
      <c r="D1453" s="7">
        <v>1452</v>
      </c>
      <c r="E1453">
        <v>78.016000000000005</v>
      </c>
    </row>
    <row r="1454" spans="3:5" x14ac:dyDescent="0.35">
      <c r="C1454">
        <f t="shared" si="23"/>
        <v>1903</v>
      </c>
      <c r="D1454" s="7">
        <v>1453</v>
      </c>
      <c r="E1454">
        <v>76.707400000000007</v>
      </c>
    </row>
    <row r="1455" spans="3:5" x14ac:dyDescent="0.35">
      <c r="C1455">
        <f t="shared" si="23"/>
        <v>1903</v>
      </c>
      <c r="D1455" s="7">
        <v>1454</v>
      </c>
      <c r="E1455">
        <v>76.463700000000003</v>
      </c>
    </row>
    <row r="1456" spans="3:5" x14ac:dyDescent="0.35">
      <c r="C1456">
        <f t="shared" si="23"/>
        <v>1903</v>
      </c>
      <c r="D1456" s="7">
        <v>1455</v>
      </c>
      <c r="E1456">
        <v>76.706699999999998</v>
      </c>
    </row>
    <row r="1457" spans="3:5" x14ac:dyDescent="0.35">
      <c r="C1457">
        <f t="shared" si="23"/>
        <v>1903</v>
      </c>
      <c r="D1457" s="7">
        <v>1456</v>
      </c>
      <c r="E1457">
        <v>76.683599999999998</v>
      </c>
    </row>
    <row r="1458" spans="3:5" x14ac:dyDescent="0.35">
      <c r="C1458">
        <f t="shared" si="23"/>
        <v>1903</v>
      </c>
      <c r="D1458" s="7">
        <v>1457</v>
      </c>
      <c r="E1458">
        <v>77.677599999999998</v>
      </c>
    </row>
    <row r="1459" spans="3:5" x14ac:dyDescent="0.35">
      <c r="C1459">
        <f t="shared" si="23"/>
        <v>1903</v>
      </c>
      <c r="D1459" s="7">
        <v>1458</v>
      </c>
      <c r="E1459">
        <v>78.799199999999999</v>
      </c>
    </row>
    <row r="1460" spans="3:5" x14ac:dyDescent="0.35">
      <c r="C1460">
        <f t="shared" si="23"/>
        <v>1903</v>
      </c>
      <c r="D1460" s="7">
        <v>1459</v>
      </c>
      <c r="E1460">
        <v>78.263900000000007</v>
      </c>
    </row>
    <row r="1461" spans="3:5" x14ac:dyDescent="0.35">
      <c r="C1461">
        <f t="shared" si="23"/>
        <v>1903</v>
      </c>
      <c r="D1461" s="7">
        <v>1460</v>
      </c>
      <c r="E1461">
        <v>78.5518</v>
      </c>
    </row>
    <row r="1462" spans="3:5" x14ac:dyDescent="0.35">
      <c r="C1462">
        <f t="shared" si="23"/>
        <v>1903</v>
      </c>
      <c r="D1462" s="7">
        <v>1461</v>
      </c>
      <c r="E1462">
        <v>79.228399999999993</v>
      </c>
    </row>
    <row r="1463" spans="3:5" x14ac:dyDescent="0.35">
      <c r="C1463">
        <f t="shared" si="23"/>
        <v>1904</v>
      </c>
      <c r="D1463" s="7">
        <v>1462</v>
      </c>
      <c r="E1463">
        <v>77.026499999999999</v>
      </c>
    </row>
    <row r="1464" spans="3:5" x14ac:dyDescent="0.35">
      <c r="C1464">
        <f t="shared" si="23"/>
        <v>1904</v>
      </c>
      <c r="D1464" s="7">
        <v>1463</v>
      </c>
      <c r="E1464">
        <v>76.608000000000004</v>
      </c>
    </row>
    <row r="1465" spans="3:5" x14ac:dyDescent="0.35">
      <c r="C1465">
        <f t="shared" si="23"/>
        <v>1904</v>
      </c>
      <c r="D1465" s="7">
        <v>1464</v>
      </c>
      <c r="E1465">
        <v>75.518799999999999</v>
      </c>
    </row>
    <row r="1466" spans="3:5" x14ac:dyDescent="0.35">
      <c r="C1466">
        <f t="shared" si="23"/>
        <v>1904</v>
      </c>
      <c r="D1466" s="7">
        <v>1465</v>
      </c>
      <c r="E1466">
        <v>77.073099999999997</v>
      </c>
    </row>
    <row r="1467" spans="3:5" x14ac:dyDescent="0.35">
      <c r="C1467">
        <f t="shared" si="23"/>
        <v>1904</v>
      </c>
      <c r="D1467" s="7">
        <v>1466</v>
      </c>
      <c r="E1467">
        <v>79.941599999999994</v>
      </c>
    </row>
    <row r="1468" spans="3:5" x14ac:dyDescent="0.35">
      <c r="C1468">
        <f t="shared" si="23"/>
        <v>1904</v>
      </c>
      <c r="D1468" s="7">
        <v>1467</v>
      </c>
      <c r="E1468">
        <v>88.492800000000003</v>
      </c>
    </row>
    <row r="1469" spans="3:5" x14ac:dyDescent="0.35">
      <c r="C1469">
        <f t="shared" si="23"/>
        <v>1904</v>
      </c>
      <c r="D1469" s="7">
        <v>1468</v>
      </c>
      <c r="E1469">
        <v>89.663300000000007</v>
      </c>
    </row>
    <row r="1470" spans="3:5" x14ac:dyDescent="0.35">
      <c r="C1470">
        <f t="shared" si="23"/>
        <v>1904</v>
      </c>
      <c r="D1470" s="7">
        <v>1469</v>
      </c>
      <c r="E1470">
        <v>91.441800000000001</v>
      </c>
    </row>
    <row r="1471" spans="3:5" x14ac:dyDescent="0.35">
      <c r="C1471">
        <f t="shared" si="23"/>
        <v>1904</v>
      </c>
      <c r="D1471" s="7">
        <v>1470</v>
      </c>
      <c r="E1471">
        <v>91.176000000000002</v>
      </c>
    </row>
    <row r="1472" spans="3:5" x14ac:dyDescent="0.35">
      <c r="C1472">
        <f t="shared" si="23"/>
        <v>1904</v>
      </c>
      <c r="D1472" s="7">
        <v>1471</v>
      </c>
      <c r="E1472">
        <v>92.026700000000005</v>
      </c>
    </row>
    <row r="1473" spans="3:5" x14ac:dyDescent="0.35">
      <c r="C1473">
        <f t="shared" si="23"/>
        <v>1904</v>
      </c>
      <c r="D1473" s="7">
        <v>1472</v>
      </c>
      <c r="E1473">
        <v>89.684899999999999</v>
      </c>
    </row>
    <row r="1474" spans="3:5" x14ac:dyDescent="0.35">
      <c r="C1474">
        <f t="shared" si="23"/>
        <v>1904</v>
      </c>
      <c r="D1474" s="7">
        <v>1473</v>
      </c>
      <c r="E1474">
        <v>88.983000000000004</v>
      </c>
    </row>
    <row r="1475" spans="3:5" x14ac:dyDescent="0.35">
      <c r="C1475">
        <f t="shared" ref="C1475:C1538" si="24">YEAR(D1475)</f>
        <v>1904</v>
      </c>
      <c r="D1475" s="7">
        <v>1474</v>
      </c>
      <c r="E1475">
        <v>90.234099999999998</v>
      </c>
    </row>
    <row r="1476" spans="3:5" x14ac:dyDescent="0.35">
      <c r="C1476">
        <f t="shared" si="24"/>
        <v>1904</v>
      </c>
      <c r="D1476" s="7">
        <v>1475</v>
      </c>
      <c r="E1476">
        <v>92.948599999999999</v>
      </c>
    </row>
    <row r="1477" spans="3:5" x14ac:dyDescent="0.35">
      <c r="C1477">
        <f t="shared" si="24"/>
        <v>1904</v>
      </c>
      <c r="D1477" s="7">
        <v>1476</v>
      </c>
      <c r="E1477">
        <v>92.679900000000004</v>
      </c>
    </row>
    <row r="1478" spans="3:5" x14ac:dyDescent="0.35">
      <c r="C1478">
        <f t="shared" si="24"/>
        <v>1904</v>
      </c>
      <c r="D1478" s="7">
        <v>1477</v>
      </c>
      <c r="E1478">
        <v>89.556299999999993</v>
      </c>
    </row>
    <row r="1479" spans="3:5" x14ac:dyDescent="0.35">
      <c r="C1479">
        <f t="shared" si="24"/>
        <v>1904</v>
      </c>
      <c r="D1479" s="7">
        <v>1478</v>
      </c>
      <c r="E1479">
        <v>90.204300000000003</v>
      </c>
    </row>
    <row r="1480" spans="3:5" x14ac:dyDescent="0.35">
      <c r="C1480">
        <f t="shared" si="24"/>
        <v>1904</v>
      </c>
      <c r="D1480" s="7">
        <v>1479</v>
      </c>
      <c r="E1480">
        <v>88.347499999999997</v>
      </c>
    </row>
    <row r="1481" spans="3:5" x14ac:dyDescent="0.35">
      <c r="C1481">
        <f t="shared" si="24"/>
        <v>1904</v>
      </c>
      <c r="D1481" s="7">
        <v>1480</v>
      </c>
      <c r="E1481">
        <v>88.363699999999994</v>
      </c>
    </row>
    <row r="1482" spans="3:5" x14ac:dyDescent="0.35">
      <c r="C1482">
        <f t="shared" si="24"/>
        <v>1904</v>
      </c>
      <c r="D1482" s="7">
        <v>1481</v>
      </c>
      <c r="E1482">
        <v>89.019099999999995</v>
      </c>
    </row>
    <row r="1483" spans="3:5" x14ac:dyDescent="0.35">
      <c r="C1483">
        <f t="shared" si="24"/>
        <v>1904</v>
      </c>
      <c r="D1483" s="7">
        <v>1482</v>
      </c>
      <c r="E1483">
        <v>87.881600000000006</v>
      </c>
    </row>
    <row r="1484" spans="3:5" x14ac:dyDescent="0.35">
      <c r="C1484">
        <f t="shared" si="24"/>
        <v>1904</v>
      </c>
      <c r="D1484" s="7">
        <v>1483</v>
      </c>
      <c r="E1484">
        <v>80.469700000000003</v>
      </c>
    </row>
    <row r="1485" spans="3:5" x14ac:dyDescent="0.35">
      <c r="C1485">
        <f t="shared" si="24"/>
        <v>1904</v>
      </c>
      <c r="D1485" s="7">
        <v>1484</v>
      </c>
      <c r="E1485">
        <v>80.371700000000004</v>
      </c>
    </row>
    <row r="1486" spans="3:5" x14ac:dyDescent="0.35">
      <c r="C1486">
        <f t="shared" si="24"/>
        <v>1904</v>
      </c>
      <c r="D1486" s="7">
        <v>1485</v>
      </c>
      <c r="E1486">
        <v>78.748199999999997</v>
      </c>
    </row>
    <row r="1487" spans="3:5" x14ac:dyDescent="0.35">
      <c r="C1487">
        <f t="shared" si="24"/>
        <v>1904</v>
      </c>
      <c r="D1487" s="7">
        <v>1486</v>
      </c>
      <c r="E1487">
        <v>76.408199999999994</v>
      </c>
    </row>
    <row r="1488" spans="3:5" x14ac:dyDescent="0.35">
      <c r="C1488">
        <f t="shared" si="24"/>
        <v>1904</v>
      </c>
      <c r="D1488" s="7">
        <v>1487</v>
      </c>
      <c r="E1488">
        <v>77.253</v>
      </c>
    </row>
    <row r="1489" spans="3:5" x14ac:dyDescent="0.35">
      <c r="C1489">
        <f t="shared" si="24"/>
        <v>1904</v>
      </c>
      <c r="D1489" s="7">
        <v>1488</v>
      </c>
      <c r="E1489">
        <v>80.700699999999998</v>
      </c>
    </row>
    <row r="1490" spans="3:5" x14ac:dyDescent="0.35">
      <c r="C1490">
        <f t="shared" si="24"/>
        <v>1904</v>
      </c>
      <c r="D1490" s="7">
        <v>1489</v>
      </c>
      <c r="E1490">
        <v>78.106300000000005</v>
      </c>
    </row>
    <row r="1491" spans="3:5" x14ac:dyDescent="0.35">
      <c r="C1491">
        <f t="shared" si="24"/>
        <v>1904</v>
      </c>
      <c r="D1491" s="7">
        <v>1490</v>
      </c>
      <c r="E1491">
        <v>75.620699999999999</v>
      </c>
    </row>
    <row r="1492" spans="3:5" x14ac:dyDescent="0.35">
      <c r="C1492">
        <f t="shared" si="24"/>
        <v>1904</v>
      </c>
      <c r="D1492" s="7">
        <v>1491</v>
      </c>
      <c r="E1492">
        <v>76.310400000000001</v>
      </c>
    </row>
    <row r="1493" spans="3:5" x14ac:dyDescent="0.35">
      <c r="C1493">
        <f t="shared" si="24"/>
        <v>1904</v>
      </c>
      <c r="D1493" s="7">
        <v>1492</v>
      </c>
      <c r="E1493">
        <v>74.153000000000006</v>
      </c>
    </row>
    <row r="1494" spans="3:5" x14ac:dyDescent="0.35">
      <c r="C1494">
        <f t="shared" si="24"/>
        <v>1904</v>
      </c>
      <c r="D1494" s="7">
        <v>1493</v>
      </c>
      <c r="E1494">
        <v>75.783699999999996</v>
      </c>
    </row>
    <row r="1495" spans="3:5" x14ac:dyDescent="0.35">
      <c r="C1495">
        <f t="shared" si="24"/>
        <v>1904</v>
      </c>
      <c r="D1495" s="7">
        <v>1494</v>
      </c>
      <c r="E1495">
        <v>72.148300000000006</v>
      </c>
    </row>
    <row r="1496" spans="3:5" x14ac:dyDescent="0.35">
      <c r="C1496">
        <f t="shared" si="24"/>
        <v>1904</v>
      </c>
      <c r="D1496" s="7">
        <v>1495</v>
      </c>
      <c r="E1496">
        <v>67.950999999999993</v>
      </c>
    </row>
    <row r="1497" spans="3:5" x14ac:dyDescent="0.35">
      <c r="C1497">
        <f t="shared" si="24"/>
        <v>1904</v>
      </c>
      <c r="D1497" s="7">
        <v>1496</v>
      </c>
      <c r="E1497">
        <v>66.931200000000004</v>
      </c>
    </row>
    <row r="1498" spans="3:5" x14ac:dyDescent="0.35">
      <c r="C1498">
        <f t="shared" si="24"/>
        <v>1904</v>
      </c>
      <c r="D1498" s="7">
        <v>1497</v>
      </c>
      <c r="E1498">
        <v>70.901899999999998</v>
      </c>
    </row>
    <row r="1499" spans="3:5" x14ac:dyDescent="0.35">
      <c r="C1499">
        <f t="shared" si="24"/>
        <v>1904</v>
      </c>
      <c r="D1499" s="7">
        <v>1498</v>
      </c>
      <c r="E1499">
        <v>70.802999999999997</v>
      </c>
    </row>
    <row r="1500" spans="3:5" x14ac:dyDescent="0.35">
      <c r="C1500">
        <f t="shared" si="24"/>
        <v>1904</v>
      </c>
      <c r="D1500" s="7">
        <v>1499</v>
      </c>
      <c r="E1500">
        <v>73.923900000000003</v>
      </c>
    </row>
    <row r="1501" spans="3:5" x14ac:dyDescent="0.35">
      <c r="C1501">
        <f t="shared" si="24"/>
        <v>1904</v>
      </c>
      <c r="D1501" s="7">
        <v>1500</v>
      </c>
      <c r="E1501">
        <v>72.110399999999998</v>
      </c>
    </row>
    <row r="1502" spans="3:5" x14ac:dyDescent="0.35">
      <c r="C1502">
        <f t="shared" si="24"/>
        <v>1904</v>
      </c>
      <c r="D1502" s="7">
        <v>1501</v>
      </c>
      <c r="E1502">
        <v>73.989900000000006</v>
      </c>
    </row>
    <row r="1503" spans="3:5" x14ac:dyDescent="0.35">
      <c r="C1503">
        <f t="shared" si="24"/>
        <v>1904</v>
      </c>
      <c r="D1503" s="7">
        <v>1502</v>
      </c>
      <c r="E1503">
        <v>73.956299999999999</v>
      </c>
    </row>
    <row r="1504" spans="3:5" x14ac:dyDescent="0.35">
      <c r="C1504">
        <f t="shared" si="24"/>
        <v>1904</v>
      </c>
      <c r="D1504" s="7">
        <v>1503</v>
      </c>
      <c r="E1504">
        <v>74.244799999999998</v>
      </c>
    </row>
    <row r="1505" spans="3:5" x14ac:dyDescent="0.35">
      <c r="C1505">
        <f t="shared" si="24"/>
        <v>1904</v>
      </c>
      <c r="D1505" s="7">
        <v>1504</v>
      </c>
      <c r="E1505">
        <v>73.450599999999994</v>
      </c>
    </row>
    <row r="1506" spans="3:5" x14ac:dyDescent="0.35">
      <c r="C1506">
        <f t="shared" si="24"/>
        <v>1904</v>
      </c>
      <c r="D1506" s="7">
        <v>1505</v>
      </c>
      <c r="E1506">
        <v>75.045400000000001</v>
      </c>
    </row>
    <row r="1507" spans="3:5" x14ac:dyDescent="0.35">
      <c r="C1507">
        <f t="shared" si="24"/>
        <v>1904</v>
      </c>
      <c r="D1507" s="7">
        <v>1506</v>
      </c>
      <c r="E1507">
        <v>74.416300000000007</v>
      </c>
    </row>
    <row r="1508" spans="3:5" x14ac:dyDescent="0.35">
      <c r="C1508">
        <f t="shared" si="24"/>
        <v>1904</v>
      </c>
      <c r="D1508" s="7">
        <v>1507</v>
      </c>
      <c r="E1508">
        <v>74.542299999999997</v>
      </c>
    </row>
    <row r="1509" spans="3:5" x14ac:dyDescent="0.35">
      <c r="C1509">
        <f t="shared" si="24"/>
        <v>1904</v>
      </c>
      <c r="D1509" s="7">
        <v>1508</v>
      </c>
      <c r="E1509">
        <v>74.238399999999999</v>
      </c>
    </row>
    <row r="1510" spans="3:5" x14ac:dyDescent="0.35">
      <c r="C1510">
        <f t="shared" si="24"/>
        <v>1904</v>
      </c>
      <c r="D1510" s="7">
        <v>1509</v>
      </c>
      <c r="E1510">
        <v>70.835099999999997</v>
      </c>
    </row>
    <row r="1511" spans="3:5" x14ac:dyDescent="0.35">
      <c r="C1511">
        <f t="shared" si="24"/>
        <v>1904</v>
      </c>
      <c r="D1511" s="7">
        <v>1510</v>
      </c>
      <c r="E1511">
        <v>70.443799999999996</v>
      </c>
    </row>
    <row r="1512" spans="3:5" x14ac:dyDescent="0.35">
      <c r="C1512">
        <f t="shared" si="24"/>
        <v>1904</v>
      </c>
      <c r="D1512" s="7">
        <v>1511</v>
      </c>
      <c r="E1512">
        <v>68.803700000000006</v>
      </c>
    </row>
    <row r="1513" spans="3:5" x14ac:dyDescent="0.35">
      <c r="C1513">
        <f t="shared" si="24"/>
        <v>1904</v>
      </c>
      <c r="D1513" s="7">
        <v>1512</v>
      </c>
      <c r="E1513">
        <v>68.490799999999993</v>
      </c>
    </row>
    <row r="1514" spans="3:5" x14ac:dyDescent="0.35">
      <c r="C1514">
        <f t="shared" si="24"/>
        <v>1904</v>
      </c>
      <c r="D1514" s="7">
        <v>1513</v>
      </c>
      <c r="E1514">
        <v>68.177999999999997</v>
      </c>
    </row>
    <row r="1515" spans="3:5" x14ac:dyDescent="0.35">
      <c r="C1515">
        <f t="shared" si="24"/>
        <v>1904</v>
      </c>
      <c r="D1515" s="7">
        <v>1514</v>
      </c>
      <c r="E1515">
        <v>68.139399999999995</v>
      </c>
    </row>
    <row r="1516" spans="3:5" x14ac:dyDescent="0.35">
      <c r="C1516">
        <f t="shared" si="24"/>
        <v>1904</v>
      </c>
      <c r="D1516" s="7">
        <v>1515</v>
      </c>
      <c r="E1516">
        <v>68.646199999999993</v>
      </c>
    </row>
    <row r="1517" spans="3:5" x14ac:dyDescent="0.35">
      <c r="C1517">
        <f t="shared" si="24"/>
        <v>1904</v>
      </c>
      <c r="D1517" s="7">
        <v>1516</v>
      </c>
      <c r="E1517">
        <v>69.2393</v>
      </c>
    </row>
    <row r="1518" spans="3:5" x14ac:dyDescent="0.35">
      <c r="C1518">
        <f t="shared" si="24"/>
        <v>1904</v>
      </c>
      <c r="D1518" s="7">
        <v>1517</v>
      </c>
      <c r="E1518">
        <v>68.889200000000002</v>
      </c>
    </row>
    <row r="1519" spans="3:5" x14ac:dyDescent="0.35">
      <c r="C1519">
        <f t="shared" si="24"/>
        <v>1904</v>
      </c>
      <c r="D1519" s="7">
        <v>1518</v>
      </c>
      <c r="E1519">
        <v>66.916600000000003</v>
      </c>
    </row>
    <row r="1520" spans="3:5" x14ac:dyDescent="0.35">
      <c r="C1520">
        <f t="shared" si="24"/>
        <v>1904</v>
      </c>
      <c r="D1520" s="7">
        <v>1519</v>
      </c>
      <c r="E1520">
        <v>67.987099999999998</v>
      </c>
    </row>
    <row r="1521" spans="3:5" x14ac:dyDescent="0.35">
      <c r="C1521">
        <f t="shared" si="24"/>
        <v>1904</v>
      </c>
      <c r="D1521" s="7">
        <v>1520</v>
      </c>
      <c r="E1521">
        <v>65.2089</v>
      </c>
    </row>
    <row r="1522" spans="3:5" x14ac:dyDescent="0.35">
      <c r="C1522">
        <f t="shared" si="24"/>
        <v>1904</v>
      </c>
      <c r="D1522" s="7">
        <v>1521</v>
      </c>
      <c r="E1522">
        <v>65.704599999999999</v>
      </c>
    </row>
    <row r="1523" spans="3:5" x14ac:dyDescent="0.35">
      <c r="C1523">
        <f t="shared" si="24"/>
        <v>1904</v>
      </c>
      <c r="D1523" s="7">
        <v>1522</v>
      </c>
      <c r="E1523">
        <v>66.360100000000003</v>
      </c>
    </row>
    <row r="1524" spans="3:5" x14ac:dyDescent="0.35">
      <c r="C1524">
        <f t="shared" si="24"/>
        <v>1904</v>
      </c>
      <c r="D1524" s="7">
        <v>1523</v>
      </c>
      <c r="E1524">
        <v>66.6798</v>
      </c>
    </row>
    <row r="1525" spans="3:5" x14ac:dyDescent="0.35">
      <c r="C1525">
        <f t="shared" si="24"/>
        <v>1904</v>
      </c>
      <c r="D1525" s="7">
        <v>1524</v>
      </c>
      <c r="E1525">
        <v>66.894900000000007</v>
      </c>
    </row>
    <row r="1526" spans="3:5" x14ac:dyDescent="0.35">
      <c r="C1526">
        <f t="shared" si="24"/>
        <v>1904</v>
      </c>
      <c r="D1526" s="7">
        <v>1525</v>
      </c>
      <c r="E1526">
        <v>67.474100000000007</v>
      </c>
    </row>
    <row r="1527" spans="3:5" x14ac:dyDescent="0.35">
      <c r="C1527">
        <f t="shared" si="24"/>
        <v>1904</v>
      </c>
      <c r="D1527" s="7">
        <v>1526</v>
      </c>
      <c r="E1527">
        <v>67.213999999999999</v>
      </c>
    </row>
    <row r="1528" spans="3:5" x14ac:dyDescent="0.35">
      <c r="C1528">
        <f t="shared" si="24"/>
        <v>1904</v>
      </c>
      <c r="D1528" s="7">
        <v>1527</v>
      </c>
      <c r="E1528">
        <v>68.5839</v>
      </c>
    </row>
    <row r="1529" spans="3:5" x14ac:dyDescent="0.35">
      <c r="C1529">
        <f t="shared" si="24"/>
        <v>1904</v>
      </c>
      <c r="D1529" s="7">
        <v>1528</v>
      </c>
      <c r="E1529">
        <v>68.0428</v>
      </c>
    </row>
    <row r="1530" spans="3:5" x14ac:dyDescent="0.35">
      <c r="C1530">
        <f t="shared" si="24"/>
        <v>1904</v>
      </c>
      <c r="D1530" s="7">
        <v>1529</v>
      </c>
      <c r="E1530">
        <v>67.634799999999998</v>
      </c>
    </row>
    <row r="1531" spans="3:5" x14ac:dyDescent="0.35">
      <c r="C1531">
        <f t="shared" si="24"/>
        <v>1904</v>
      </c>
      <c r="D1531" s="7">
        <v>1530</v>
      </c>
      <c r="E1531">
        <v>66.639700000000005</v>
      </c>
    </row>
    <row r="1532" spans="3:5" x14ac:dyDescent="0.35">
      <c r="C1532">
        <f t="shared" si="24"/>
        <v>1904</v>
      </c>
      <c r="D1532" s="7">
        <v>1531</v>
      </c>
      <c r="E1532">
        <v>67.202299999999994</v>
      </c>
    </row>
    <row r="1533" spans="3:5" x14ac:dyDescent="0.35">
      <c r="C1533">
        <f t="shared" si="24"/>
        <v>1904</v>
      </c>
      <c r="D1533" s="7">
        <v>1532</v>
      </c>
      <c r="E1533">
        <v>66.708399999999997</v>
      </c>
    </row>
    <row r="1534" spans="3:5" x14ac:dyDescent="0.35">
      <c r="C1534">
        <f t="shared" si="24"/>
        <v>1904</v>
      </c>
      <c r="D1534" s="7">
        <v>1533</v>
      </c>
      <c r="E1534">
        <v>61.384900000000002</v>
      </c>
    </row>
    <row r="1535" spans="3:5" x14ac:dyDescent="0.35">
      <c r="C1535">
        <f t="shared" si="24"/>
        <v>1904</v>
      </c>
      <c r="D1535" s="7">
        <v>1534</v>
      </c>
      <c r="E1535">
        <v>60.158900000000003</v>
      </c>
    </row>
    <row r="1536" spans="3:5" x14ac:dyDescent="0.35">
      <c r="C1536">
        <f t="shared" si="24"/>
        <v>1904</v>
      </c>
      <c r="D1536" s="7">
        <v>1535</v>
      </c>
      <c r="E1536">
        <v>60.9649</v>
      </c>
    </row>
    <row r="1537" spans="3:5" x14ac:dyDescent="0.35">
      <c r="C1537">
        <f t="shared" si="24"/>
        <v>1904</v>
      </c>
      <c r="D1537" s="7">
        <v>1536</v>
      </c>
      <c r="E1537">
        <v>57.976300000000002</v>
      </c>
    </row>
    <row r="1538" spans="3:5" x14ac:dyDescent="0.35">
      <c r="C1538">
        <f t="shared" si="24"/>
        <v>1904</v>
      </c>
      <c r="D1538" s="7">
        <v>1537</v>
      </c>
      <c r="E1538">
        <v>57.043799999999997</v>
      </c>
    </row>
    <row r="1539" spans="3:5" x14ac:dyDescent="0.35">
      <c r="C1539">
        <f t="shared" ref="C1539:C1602" si="25">YEAR(D1539)</f>
        <v>1904</v>
      </c>
      <c r="D1539" s="7">
        <v>1538</v>
      </c>
      <c r="E1539">
        <v>57.8688</v>
      </c>
    </row>
    <row r="1540" spans="3:5" x14ac:dyDescent="0.35">
      <c r="C1540">
        <f t="shared" si="25"/>
        <v>1904</v>
      </c>
      <c r="D1540" s="7">
        <v>1539</v>
      </c>
      <c r="E1540">
        <v>58.934600000000003</v>
      </c>
    </row>
    <row r="1541" spans="3:5" x14ac:dyDescent="0.35">
      <c r="C1541">
        <f t="shared" si="25"/>
        <v>1904</v>
      </c>
      <c r="D1541" s="7">
        <v>1540</v>
      </c>
      <c r="E1541">
        <v>59.494100000000003</v>
      </c>
    </row>
    <row r="1542" spans="3:5" x14ac:dyDescent="0.35">
      <c r="C1542">
        <f t="shared" si="25"/>
        <v>1904</v>
      </c>
      <c r="D1542" s="7">
        <v>1541</v>
      </c>
      <c r="E1542">
        <v>58.347000000000001</v>
      </c>
    </row>
    <row r="1543" spans="3:5" x14ac:dyDescent="0.35">
      <c r="C1543">
        <f t="shared" si="25"/>
        <v>1904</v>
      </c>
      <c r="D1543" s="7">
        <v>1542</v>
      </c>
      <c r="E1543">
        <v>61.785499999999999</v>
      </c>
    </row>
    <row r="1544" spans="3:5" x14ac:dyDescent="0.35">
      <c r="C1544">
        <f t="shared" si="25"/>
        <v>1904</v>
      </c>
      <c r="D1544" s="7">
        <v>1543</v>
      </c>
      <c r="E1544">
        <v>62.084099999999999</v>
      </c>
    </row>
    <row r="1545" spans="3:5" x14ac:dyDescent="0.35">
      <c r="C1545">
        <f t="shared" si="25"/>
        <v>1904</v>
      </c>
      <c r="D1545" s="7">
        <v>1544</v>
      </c>
      <c r="E1545">
        <v>59.252000000000002</v>
      </c>
    </row>
    <row r="1546" spans="3:5" x14ac:dyDescent="0.35">
      <c r="C1546">
        <f t="shared" si="25"/>
        <v>1904</v>
      </c>
      <c r="D1546" s="7">
        <v>1545</v>
      </c>
      <c r="E1546">
        <v>60.7483</v>
      </c>
    </row>
    <row r="1547" spans="3:5" x14ac:dyDescent="0.35">
      <c r="C1547">
        <f t="shared" si="25"/>
        <v>1904</v>
      </c>
      <c r="D1547" s="7">
        <v>1546</v>
      </c>
      <c r="E1547">
        <v>62.1175</v>
      </c>
    </row>
    <row r="1548" spans="3:5" x14ac:dyDescent="0.35">
      <c r="C1548">
        <f t="shared" si="25"/>
        <v>1904</v>
      </c>
      <c r="D1548" s="7">
        <v>1547</v>
      </c>
      <c r="E1548">
        <v>61.754300000000001</v>
      </c>
    </row>
    <row r="1549" spans="3:5" x14ac:dyDescent="0.35">
      <c r="C1549">
        <f t="shared" si="25"/>
        <v>1904</v>
      </c>
      <c r="D1549" s="7">
        <v>1548</v>
      </c>
      <c r="E1549">
        <v>63.566800000000001</v>
      </c>
    </row>
    <row r="1550" spans="3:5" x14ac:dyDescent="0.35">
      <c r="C1550">
        <f t="shared" si="25"/>
        <v>1904</v>
      </c>
      <c r="D1550" s="7">
        <v>1549</v>
      </c>
      <c r="E1550">
        <v>63.7956</v>
      </c>
    </row>
    <row r="1551" spans="3:5" x14ac:dyDescent="0.35">
      <c r="C1551">
        <f t="shared" si="25"/>
        <v>1904</v>
      </c>
      <c r="D1551" s="7">
        <v>1550</v>
      </c>
      <c r="E1551">
        <v>62.746400000000001</v>
      </c>
    </row>
    <row r="1552" spans="3:5" x14ac:dyDescent="0.35">
      <c r="C1552">
        <f t="shared" si="25"/>
        <v>1904</v>
      </c>
      <c r="D1552" s="7">
        <v>1551</v>
      </c>
      <c r="E1552">
        <v>64.220799999999997</v>
      </c>
    </row>
    <row r="1553" spans="3:5" x14ac:dyDescent="0.35">
      <c r="C1553">
        <f t="shared" si="25"/>
        <v>1904</v>
      </c>
      <c r="D1553" s="7">
        <v>1552</v>
      </c>
      <c r="E1553">
        <v>64.504999999999995</v>
      </c>
    </row>
    <row r="1554" spans="3:5" x14ac:dyDescent="0.35">
      <c r="C1554">
        <f t="shared" si="25"/>
        <v>1904</v>
      </c>
      <c r="D1554" s="7">
        <v>1553</v>
      </c>
      <c r="E1554">
        <v>63.990200000000002</v>
      </c>
    </row>
    <row r="1555" spans="3:5" x14ac:dyDescent="0.35">
      <c r="C1555">
        <f t="shared" si="25"/>
        <v>1904</v>
      </c>
      <c r="D1555" s="7">
        <v>1554</v>
      </c>
      <c r="E1555">
        <v>65.370500000000007</v>
      </c>
    </row>
    <row r="1556" spans="3:5" x14ac:dyDescent="0.35">
      <c r="C1556">
        <f t="shared" si="25"/>
        <v>1904</v>
      </c>
      <c r="D1556" s="7">
        <v>1555</v>
      </c>
      <c r="E1556">
        <v>64.236000000000004</v>
      </c>
    </row>
    <row r="1557" spans="3:5" x14ac:dyDescent="0.35">
      <c r="C1557">
        <f t="shared" si="25"/>
        <v>1904</v>
      </c>
      <c r="D1557" s="7">
        <v>1556</v>
      </c>
      <c r="E1557">
        <v>66.583799999999997</v>
      </c>
    </row>
    <row r="1558" spans="3:5" x14ac:dyDescent="0.35">
      <c r="C1558">
        <f t="shared" si="25"/>
        <v>1904</v>
      </c>
      <c r="D1558" s="7">
        <v>1557</v>
      </c>
      <c r="E1558">
        <v>68.8446</v>
      </c>
    </row>
    <row r="1559" spans="3:5" x14ac:dyDescent="0.35">
      <c r="C1559">
        <f t="shared" si="25"/>
        <v>1904</v>
      </c>
      <c r="D1559" s="7">
        <v>1558</v>
      </c>
      <c r="E1559">
        <v>67.450599999999994</v>
      </c>
    </row>
    <row r="1560" spans="3:5" x14ac:dyDescent="0.35">
      <c r="C1560">
        <f t="shared" si="25"/>
        <v>1904</v>
      </c>
      <c r="D1560" s="7">
        <v>1559</v>
      </c>
      <c r="E1560">
        <v>67.689899999999994</v>
      </c>
    </row>
    <row r="1561" spans="3:5" x14ac:dyDescent="0.35">
      <c r="C1561">
        <f t="shared" si="25"/>
        <v>1904</v>
      </c>
      <c r="D1561" s="7">
        <v>1560</v>
      </c>
      <c r="E1561">
        <v>67.213200000000001</v>
      </c>
    </row>
    <row r="1562" spans="3:5" x14ac:dyDescent="0.35">
      <c r="C1562">
        <f t="shared" si="25"/>
        <v>1904</v>
      </c>
      <c r="D1562" s="7">
        <v>1561</v>
      </c>
      <c r="E1562">
        <v>69.038600000000002</v>
      </c>
    </row>
    <row r="1563" spans="3:5" x14ac:dyDescent="0.35">
      <c r="C1563">
        <f t="shared" si="25"/>
        <v>1904</v>
      </c>
      <c r="D1563" s="7">
        <v>1562</v>
      </c>
      <c r="E1563">
        <v>69.353499999999997</v>
      </c>
    </row>
    <row r="1564" spans="3:5" x14ac:dyDescent="0.35">
      <c r="C1564">
        <f t="shared" si="25"/>
        <v>1904</v>
      </c>
      <c r="D1564" s="7">
        <v>1563</v>
      </c>
      <c r="E1564">
        <v>65.972200000000001</v>
      </c>
    </row>
    <row r="1565" spans="3:5" x14ac:dyDescent="0.35">
      <c r="C1565">
        <f t="shared" si="25"/>
        <v>1904</v>
      </c>
      <c r="D1565" s="7">
        <v>1564</v>
      </c>
      <c r="E1565">
        <v>66.563000000000002</v>
      </c>
    </row>
    <row r="1566" spans="3:5" x14ac:dyDescent="0.35">
      <c r="C1566">
        <f t="shared" si="25"/>
        <v>1904</v>
      </c>
      <c r="D1566" s="7">
        <v>1565</v>
      </c>
      <c r="E1566">
        <v>67.395200000000003</v>
      </c>
    </row>
    <row r="1567" spans="3:5" x14ac:dyDescent="0.35">
      <c r="C1567">
        <f t="shared" si="25"/>
        <v>1904</v>
      </c>
      <c r="D1567" s="7">
        <v>1566</v>
      </c>
      <c r="E1567">
        <v>67.594700000000003</v>
      </c>
    </row>
    <row r="1568" spans="3:5" x14ac:dyDescent="0.35">
      <c r="C1568">
        <f t="shared" si="25"/>
        <v>1904</v>
      </c>
      <c r="D1568" s="7">
        <v>1567</v>
      </c>
      <c r="E1568">
        <v>66.961500000000001</v>
      </c>
    </row>
    <row r="1569" spans="3:5" x14ac:dyDescent="0.35">
      <c r="C1569">
        <f t="shared" si="25"/>
        <v>1904</v>
      </c>
      <c r="D1569" s="7">
        <v>1568</v>
      </c>
      <c r="E1569">
        <v>69.348699999999994</v>
      </c>
    </row>
    <row r="1570" spans="3:5" x14ac:dyDescent="0.35">
      <c r="C1570">
        <f t="shared" si="25"/>
        <v>1904</v>
      </c>
      <c r="D1570" s="7">
        <v>1569</v>
      </c>
      <c r="E1570">
        <v>69.296800000000005</v>
      </c>
    </row>
    <row r="1571" spans="3:5" x14ac:dyDescent="0.35">
      <c r="C1571">
        <f t="shared" si="25"/>
        <v>1904</v>
      </c>
      <c r="D1571" s="7">
        <v>1570</v>
      </c>
      <c r="E1571">
        <v>69.745000000000005</v>
      </c>
    </row>
    <row r="1572" spans="3:5" x14ac:dyDescent="0.35">
      <c r="C1572">
        <f t="shared" si="25"/>
        <v>1904</v>
      </c>
      <c r="D1572" s="7">
        <v>1571</v>
      </c>
      <c r="E1572">
        <v>70.919700000000006</v>
      </c>
    </row>
    <row r="1573" spans="3:5" x14ac:dyDescent="0.35">
      <c r="C1573">
        <f t="shared" si="25"/>
        <v>1904</v>
      </c>
      <c r="D1573" s="7">
        <v>1572</v>
      </c>
      <c r="E1573">
        <v>70.343299999999999</v>
      </c>
    </row>
    <row r="1574" spans="3:5" x14ac:dyDescent="0.35">
      <c r="C1574">
        <f t="shared" si="25"/>
        <v>1904</v>
      </c>
      <c r="D1574" s="7">
        <v>1573</v>
      </c>
      <c r="E1574">
        <v>68.508700000000005</v>
      </c>
    </row>
    <row r="1575" spans="3:5" x14ac:dyDescent="0.35">
      <c r="C1575">
        <f t="shared" si="25"/>
        <v>1904</v>
      </c>
      <c r="D1575" s="7">
        <v>1574</v>
      </c>
      <c r="E1575">
        <v>66.644400000000005</v>
      </c>
    </row>
    <row r="1576" spans="3:5" x14ac:dyDescent="0.35">
      <c r="C1576">
        <f t="shared" si="25"/>
        <v>1904</v>
      </c>
      <c r="D1576" s="7">
        <v>1575</v>
      </c>
      <c r="E1576">
        <v>65.995900000000006</v>
      </c>
    </row>
    <row r="1577" spans="3:5" x14ac:dyDescent="0.35">
      <c r="C1577">
        <f t="shared" si="25"/>
        <v>1904</v>
      </c>
      <c r="D1577" s="7">
        <v>1576</v>
      </c>
      <c r="E1577">
        <v>67.051400000000001</v>
      </c>
    </row>
    <row r="1578" spans="3:5" x14ac:dyDescent="0.35">
      <c r="C1578">
        <f t="shared" si="25"/>
        <v>1904</v>
      </c>
      <c r="D1578" s="7">
        <v>1577</v>
      </c>
      <c r="E1578">
        <v>66.638400000000004</v>
      </c>
    </row>
    <row r="1579" spans="3:5" x14ac:dyDescent="0.35">
      <c r="C1579">
        <f t="shared" si="25"/>
        <v>1904</v>
      </c>
      <c r="D1579" s="7">
        <v>1578</v>
      </c>
      <c r="E1579">
        <v>68.158799999999999</v>
      </c>
    </row>
    <row r="1580" spans="3:5" x14ac:dyDescent="0.35">
      <c r="C1580">
        <f t="shared" si="25"/>
        <v>1904</v>
      </c>
      <c r="D1580" s="7">
        <v>1579</v>
      </c>
      <c r="E1580">
        <v>68.828400000000002</v>
      </c>
    </row>
    <row r="1581" spans="3:5" x14ac:dyDescent="0.35">
      <c r="C1581">
        <f t="shared" si="25"/>
        <v>1904</v>
      </c>
      <c r="D1581" s="7">
        <v>1580</v>
      </c>
      <c r="E1581">
        <v>67.001599999999996</v>
      </c>
    </row>
    <row r="1582" spans="3:5" x14ac:dyDescent="0.35">
      <c r="C1582">
        <f t="shared" si="25"/>
        <v>1904</v>
      </c>
      <c r="D1582" s="7">
        <v>1581</v>
      </c>
      <c r="E1582">
        <v>66.823800000000006</v>
      </c>
    </row>
    <row r="1583" spans="3:5" x14ac:dyDescent="0.35">
      <c r="C1583">
        <f t="shared" si="25"/>
        <v>1904</v>
      </c>
      <c r="D1583" s="7">
        <v>1582</v>
      </c>
      <c r="E1583">
        <v>65.597700000000003</v>
      </c>
    </row>
    <row r="1584" spans="3:5" x14ac:dyDescent="0.35">
      <c r="C1584">
        <f t="shared" si="25"/>
        <v>1904</v>
      </c>
      <c r="D1584" s="7">
        <v>1583</v>
      </c>
      <c r="E1584">
        <v>61.302700000000002</v>
      </c>
    </row>
    <row r="1585" spans="3:5" x14ac:dyDescent="0.35">
      <c r="C1585">
        <f t="shared" si="25"/>
        <v>1904</v>
      </c>
      <c r="D1585" s="7">
        <v>1584</v>
      </c>
      <c r="E1585">
        <v>61.228299999999997</v>
      </c>
    </row>
    <row r="1586" spans="3:5" x14ac:dyDescent="0.35">
      <c r="C1586">
        <f t="shared" si="25"/>
        <v>1904</v>
      </c>
      <c r="D1586" s="7">
        <v>1585</v>
      </c>
      <c r="E1586">
        <v>62.947800000000001</v>
      </c>
    </row>
    <row r="1587" spans="3:5" x14ac:dyDescent="0.35">
      <c r="C1587">
        <f t="shared" si="25"/>
        <v>1904</v>
      </c>
      <c r="D1587" s="7">
        <v>1586</v>
      </c>
      <c r="E1587">
        <v>61.144599999999997</v>
      </c>
    </row>
    <row r="1588" spans="3:5" x14ac:dyDescent="0.35">
      <c r="C1588">
        <f t="shared" si="25"/>
        <v>1904</v>
      </c>
      <c r="D1588" s="7">
        <v>1587</v>
      </c>
      <c r="E1588">
        <v>61.381900000000002</v>
      </c>
    </row>
    <row r="1589" spans="3:5" x14ac:dyDescent="0.35">
      <c r="C1589">
        <f t="shared" si="25"/>
        <v>1904</v>
      </c>
      <c r="D1589" s="7">
        <v>1588</v>
      </c>
      <c r="E1589">
        <v>61.993400000000001</v>
      </c>
    </row>
    <row r="1590" spans="3:5" x14ac:dyDescent="0.35">
      <c r="C1590">
        <f t="shared" si="25"/>
        <v>1904</v>
      </c>
      <c r="D1590" s="7">
        <v>1589</v>
      </c>
      <c r="E1590">
        <v>60.9833</v>
      </c>
    </row>
    <row r="1591" spans="3:5" x14ac:dyDescent="0.35">
      <c r="C1591">
        <f t="shared" si="25"/>
        <v>1904</v>
      </c>
      <c r="D1591" s="7">
        <v>1590</v>
      </c>
      <c r="E1591">
        <v>59.218899999999998</v>
      </c>
    </row>
    <row r="1592" spans="3:5" x14ac:dyDescent="0.35">
      <c r="C1592">
        <f t="shared" si="25"/>
        <v>1904</v>
      </c>
      <c r="D1592" s="7">
        <v>1591</v>
      </c>
      <c r="E1592">
        <v>58.845999999999997</v>
      </c>
    </row>
    <row r="1593" spans="3:5" x14ac:dyDescent="0.35">
      <c r="C1593">
        <f t="shared" si="25"/>
        <v>1904</v>
      </c>
      <c r="D1593" s="7">
        <v>1592</v>
      </c>
      <c r="E1593">
        <v>56.817900000000002</v>
      </c>
    </row>
    <row r="1594" spans="3:5" x14ac:dyDescent="0.35">
      <c r="C1594">
        <f t="shared" si="25"/>
        <v>1904</v>
      </c>
      <c r="D1594" s="7">
        <v>1593</v>
      </c>
      <c r="E1594">
        <v>57.527900000000002</v>
      </c>
    </row>
    <row r="1595" spans="3:5" x14ac:dyDescent="0.35">
      <c r="C1595">
        <f t="shared" si="25"/>
        <v>1904</v>
      </c>
      <c r="D1595" s="7">
        <v>1594</v>
      </c>
      <c r="E1595">
        <v>55.066400000000002</v>
      </c>
    </row>
    <row r="1596" spans="3:5" x14ac:dyDescent="0.35">
      <c r="C1596">
        <f t="shared" si="25"/>
        <v>1904</v>
      </c>
      <c r="D1596" s="7">
        <v>1595</v>
      </c>
      <c r="E1596">
        <v>54.636699999999998</v>
      </c>
    </row>
    <row r="1597" spans="3:5" x14ac:dyDescent="0.35">
      <c r="C1597">
        <f t="shared" si="25"/>
        <v>1904</v>
      </c>
      <c r="D1597" s="7">
        <v>1596</v>
      </c>
      <c r="E1597">
        <v>56.4968</v>
      </c>
    </row>
    <row r="1598" spans="3:5" x14ac:dyDescent="0.35">
      <c r="C1598">
        <f t="shared" si="25"/>
        <v>1904</v>
      </c>
      <c r="D1598" s="7">
        <v>1597</v>
      </c>
      <c r="E1598">
        <v>55.628500000000003</v>
      </c>
    </row>
    <row r="1599" spans="3:5" x14ac:dyDescent="0.35">
      <c r="C1599">
        <f t="shared" si="25"/>
        <v>1904</v>
      </c>
      <c r="D1599" s="7">
        <v>1598</v>
      </c>
      <c r="E1599">
        <v>54.777700000000003</v>
      </c>
    </row>
    <row r="1600" spans="3:5" x14ac:dyDescent="0.35">
      <c r="C1600">
        <f t="shared" si="25"/>
        <v>1904</v>
      </c>
      <c r="D1600" s="7">
        <v>1599</v>
      </c>
      <c r="E1600">
        <v>53.168199999999999</v>
      </c>
    </row>
    <row r="1601" spans="3:5" x14ac:dyDescent="0.35">
      <c r="C1601">
        <f t="shared" si="25"/>
        <v>1904</v>
      </c>
      <c r="D1601" s="7">
        <v>1600</v>
      </c>
      <c r="E1601">
        <v>51.276699999999998</v>
      </c>
    </row>
    <row r="1602" spans="3:5" x14ac:dyDescent="0.35">
      <c r="C1602">
        <f t="shared" si="25"/>
        <v>1904</v>
      </c>
      <c r="D1602" s="7">
        <v>1601</v>
      </c>
      <c r="E1602">
        <v>50.389400000000002</v>
      </c>
    </row>
    <row r="1603" spans="3:5" x14ac:dyDescent="0.35">
      <c r="C1603">
        <f t="shared" ref="C1603:C1666" si="26">YEAR(D1603)</f>
        <v>1904</v>
      </c>
      <c r="D1603" s="7">
        <v>1602</v>
      </c>
      <c r="E1603">
        <v>51.138599999999997</v>
      </c>
    </row>
    <row r="1604" spans="3:5" x14ac:dyDescent="0.35">
      <c r="C1604">
        <f t="shared" si="26"/>
        <v>1904</v>
      </c>
      <c r="D1604" s="7">
        <v>1603</v>
      </c>
      <c r="E1604">
        <v>50.281399999999998</v>
      </c>
    </row>
    <row r="1605" spans="3:5" x14ac:dyDescent="0.35">
      <c r="C1605">
        <f t="shared" si="26"/>
        <v>1904</v>
      </c>
      <c r="D1605" s="7">
        <v>1604</v>
      </c>
      <c r="E1605">
        <v>50.7395</v>
      </c>
    </row>
    <row r="1606" spans="3:5" x14ac:dyDescent="0.35">
      <c r="C1606">
        <f t="shared" si="26"/>
        <v>1904</v>
      </c>
      <c r="D1606" s="7">
        <v>1605</v>
      </c>
      <c r="E1606">
        <v>50.200299999999999</v>
      </c>
    </row>
    <row r="1607" spans="3:5" x14ac:dyDescent="0.35">
      <c r="C1607">
        <f t="shared" si="26"/>
        <v>1904</v>
      </c>
      <c r="D1607" s="7">
        <v>1606</v>
      </c>
      <c r="E1607">
        <v>51.401800000000001</v>
      </c>
    </row>
    <row r="1608" spans="3:5" x14ac:dyDescent="0.35">
      <c r="C1608">
        <f t="shared" si="26"/>
        <v>1904</v>
      </c>
      <c r="D1608" s="7">
        <v>1607</v>
      </c>
      <c r="E1608">
        <v>52.896999999999998</v>
      </c>
    </row>
    <row r="1609" spans="3:5" x14ac:dyDescent="0.35">
      <c r="C1609">
        <f t="shared" si="26"/>
        <v>1904</v>
      </c>
      <c r="D1609" s="7">
        <v>1608</v>
      </c>
      <c r="E1609">
        <v>53.7179</v>
      </c>
    </row>
    <row r="1610" spans="3:5" x14ac:dyDescent="0.35">
      <c r="C1610">
        <f t="shared" si="26"/>
        <v>1904</v>
      </c>
      <c r="D1610" s="7">
        <v>1609</v>
      </c>
      <c r="E1610">
        <v>53.862699999999997</v>
      </c>
    </row>
    <row r="1611" spans="3:5" x14ac:dyDescent="0.35">
      <c r="C1611">
        <f t="shared" si="26"/>
        <v>1904</v>
      </c>
      <c r="D1611" s="7">
        <v>1610</v>
      </c>
      <c r="E1611">
        <v>53.820399999999999</v>
      </c>
    </row>
    <row r="1612" spans="3:5" x14ac:dyDescent="0.35">
      <c r="C1612">
        <f t="shared" si="26"/>
        <v>1904</v>
      </c>
      <c r="D1612" s="7">
        <v>1611</v>
      </c>
      <c r="E1612">
        <v>53.925199999999997</v>
      </c>
    </row>
    <row r="1613" spans="3:5" x14ac:dyDescent="0.35">
      <c r="C1613">
        <f t="shared" si="26"/>
        <v>1904</v>
      </c>
      <c r="D1613" s="7">
        <v>1612</v>
      </c>
      <c r="E1613">
        <v>53.390900000000002</v>
      </c>
    </row>
    <row r="1614" spans="3:5" x14ac:dyDescent="0.35">
      <c r="C1614">
        <f t="shared" si="26"/>
        <v>1904</v>
      </c>
      <c r="D1614" s="7">
        <v>1613</v>
      </c>
      <c r="E1614">
        <v>53.473199999999999</v>
      </c>
    </row>
    <row r="1615" spans="3:5" x14ac:dyDescent="0.35">
      <c r="C1615">
        <f t="shared" si="26"/>
        <v>1904</v>
      </c>
      <c r="D1615" s="7">
        <v>1614</v>
      </c>
      <c r="E1615">
        <v>52.916200000000003</v>
      </c>
    </row>
    <row r="1616" spans="3:5" x14ac:dyDescent="0.35">
      <c r="C1616">
        <f t="shared" si="26"/>
        <v>1904</v>
      </c>
      <c r="D1616" s="7">
        <v>1615</v>
      </c>
      <c r="E1616">
        <v>53.473500000000001</v>
      </c>
    </row>
    <row r="1617" spans="3:5" x14ac:dyDescent="0.35">
      <c r="C1617">
        <f t="shared" si="26"/>
        <v>1904</v>
      </c>
      <c r="D1617" s="7">
        <v>1616</v>
      </c>
      <c r="E1617">
        <v>52.478900000000003</v>
      </c>
    </row>
    <row r="1618" spans="3:5" x14ac:dyDescent="0.35">
      <c r="C1618">
        <f t="shared" si="26"/>
        <v>1904</v>
      </c>
      <c r="D1618" s="7">
        <v>1617</v>
      </c>
      <c r="E1618">
        <v>51.9161</v>
      </c>
    </row>
    <row r="1619" spans="3:5" x14ac:dyDescent="0.35">
      <c r="C1619">
        <f t="shared" si="26"/>
        <v>1904</v>
      </c>
      <c r="D1619" s="7">
        <v>1618</v>
      </c>
      <c r="E1619">
        <v>51.323900000000002</v>
      </c>
    </row>
    <row r="1620" spans="3:5" x14ac:dyDescent="0.35">
      <c r="C1620">
        <f t="shared" si="26"/>
        <v>1904</v>
      </c>
      <c r="D1620" s="7">
        <v>1619</v>
      </c>
      <c r="E1620">
        <v>49.785600000000002</v>
      </c>
    </row>
    <row r="1621" spans="3:5" x14ac:dyDescent="0.35">
      <c r="C1621">
        <f t="shared" si="26"/>
        <v>1904</v>
      </c>
      <c r="D1621" s="7">
        <v>1620</v>
      </c>
      <c r="E1621">
        <v>47.698500000000003</v>
      </c>
    </row>
    <row r="1622" spans="3:5" x14ac:dyDescent="0.35">
      <c r="C1622">
        <f t="shared" si="26"/>
        <v>1904</v>
      </c>
      <c r="D1622" s="7">
        <v>1621</v>
      </c>
      <c r="E1622">
        <v>48.4375</v>
      </c>
    </row>
    <row r="1623" spans="3:5" x14ac:dyDescent="0.35">
      <c r="C1623">
        <f t="shared" si="26"/>
        <v>1904</v>
      </c>
      <c r="D1623" s="7">
        <v>1622</v>
      </c>
      <c r="E1623">
        <v>47.976399999999998</v>
      </c>
    </row>
    <row r="1624" spans="3:5" x14ac:dyDescent="0.35">
      <c r="C1624">
        <f t="shared" si="26"/>
        <v>1904</v>
      </c>
      <c r="D1624" s="7">
        <v>1623</v>
      </c>
      <c r="E1624">
        <v>47.128300000000003</v>
      </c>
    </row>
    <row r="1625" spans="3:5" x14ac:dyDescent="0.35">
      <c r="C1625">
        <f t="shared" si="26"/>
        <v>1904</v>
      </c>
      <c r="D1625" s="7">
        <v>1624</v>
      </c>
      <c r="E1625">
        <v>46.985500000000002</v>
      </c>
    </row>
    <row r="1626" spans="3:5" x14ac:dyDescent="0.35">
      <c r="C1626">
        <f t="shared" si="26"/>
        <v>1904</v>
      </c>
      <c r="D1626" s="7">
        <v>1625</v>
      </c>
      <c r="E1626">
        <v>47.786900000000003</v>
      </c>
    </row>
    <row r="1627" spans="3:5" x14ac:dyDescent="0.35">
      <c r="C1627">
        <f t="shared" si="26"/>
        <v>1904</v>
      </c>
      <c r="D1627" s="7">
        <v>1626</v>
      </c>
      <c r="E1627">
        <v>49.9529</v>
      </c>
    </row>
    <row r="1628" spans="3:5" x14ac:dyDescent="0.35">
      <c r="C1628">
        <f t="shared" si="26"/>
        <v>1904</v>
      </c>
      <c r="D1628" s="7">
        <v>1627</v>
      </c>
      <c r="E1628">
        <v>48.949599999999997</v>
      </c>
    </row>
    <row r="1629" spans="3:5" x14ac:dyDescent="0.35">
      <c r="C1629">
        <f t="shared" si="26"/>
        <v>1904</v>
      </c>
      <c r="D1629" s="7">
        <v>1628</v>
      </c>
      <c r="E1629">
        <v>49.7624</v>
      </c>
    </row>
    <row r="1630" spans="3:5" x14ac:dyDescent="0.35">
      <c r="C1630">
        <f t="shared" si="26"/>
        <v>1904</v>
      </c>
      <c r="D1630" s="7">
        <v>1629</v>
      </c>
      <c r="E1630">
        <v>46.646599999999999</v>
      </c>
    </row>
    <row r="1631" spans="3:5" x14ac:dyDescent="0.35">
      <c r="C1631">
        <f t="shared" si="26"/>
        <v>1904</v>
      </c>
      <c r="D1631" s="7">
        <v>1630</v>
      </c>
      <c r="E1631">
        <v>47.099299999999999</v>
      </c>
    </row>
    <row r="1632" spans="3:5" x14ac:dyDescent="0.35">
      <c r="C1632">
        <f t="shared" si="26"/>
        <v>1904</v>
      </c>
      <c r="D1632" s="7">
        <v>1631</v>
      </c>
      <c r="E1632">
        <v>48.076900000000002</v>
      </c>
    </row>
    <row r="1633" spans="3:5" x14ac:dyDescent="0.35">
      <c r="C1633">
        <f t="shared" si="26"/>
        <v>1904</v>
      </c>
      <c r="D1633" s="7">
        <v>1632</v>
      </c>
      <c r="E1633">
        <v>46.969700000000003</v>
      </c>
    </row>
    <row r="1634" spans="3:5" x14ac:dyDescent="0.35">
      <c r="C1634">
        <f t="shared" si="26"/>
        <v>1904</v>
      </c>
      <c r="D1634" s="7">
        <v>1633</v>
      </c>
      <c r="E1634">
        <v>46.728499999999997</v>
      </c>
    </row>
    <row r="1635" spans="3:5" x14ac:dyDescent="0.35">
      <c r="C1635">
        <f t="shared" si="26"/>
        <v>1904</v>
      </c>
      <c r="D1635" s="7">
        <v>1634</v>
      </c>
      <c r="E1635">
        <v>46.266800000000003</v>
      </c>
    </row>
    <row r="1636" spans="3:5" x14ac:dyDescent="0.35">
      <c r="C1636">
        <f t="shared" si="26"/>
        <v>1904</v>
      </c>
      <c r="D1636" s="7">
        <v>1635</v>
      </c>
      <c r="E1636">
        <v>45.232399999999998</v>
      </c>
    </row>
    <row r="1637" spans="3:5" x14ac:dyDescent="0.35">
      <c r="C1637">
        <f t="shared" si="26"/>
        <v>1904</v>
      </c>
      <c r="D1637" s="7">
        <v>1636</v>
      </c>
      <c r="E1637">
        <v>44.643300000000004</v>
      </c>
    </row>
    <row r="1638" spans="3:5" x14ac:dyDescent="0.35">
      <c r="C1638">
        <f t="shared" si="26"/>
        <v>1904</v>
      </c>
      <c r="D1638" s="7">
        <v>1637</v>
      </c>
      <c r="E1638">
        <v>44.613100000000003</v>
      </c>
    </row>
    <row r="1639" spans="3:5" x14ac:dyDescent="0.35">
      <c r="C1639">
        <f t="shared" si="26"/>
        <v>1904</v>
      </c>
      <c r="D1639" s="7">
        <v>1638</v>
      </c>
      <c r="E1639">
        <v>43.933300000000003</v>
      </c>
    </row>
    <row r="1640" spans="3:5" x14ac:dyDescent="0.35">
      <c r="C1640">
        <f t="shared" si="26"/>
        <v>1904</v>
      </c>
      <c r="D1640" s="7">
        <v>1639</v>
      </c>
      <c r="E1640">
        <v>46.121699999999997</v>
      </c>
    </row>
    <row r="1641" spans="3:5" x14ac:dyDescent="0.35">
      <c r="C1641">
        <f t="shared" si="26"/>
        <v>1904</v>
      </c>
      <c r="D1641" s="7">
        <v>1640</v>
      </c>
      <c r="E1641">
        <v>47.617600000000003</v>
      </c>
    </row>
    <row r="1642" spans="3:5" x14ac:dyDescent="0.35">
      <c r="C1642">
        <f t="shared" si="26"/>
        <v>1904</v>
      </c>
      <c r="D1642" s="7">
        <v>1641</v>
      </c>
      <c r="E1642">
        <v>48.155900000000003</v>
      </c>
    </row>
    <row r="1643" spans="3:5" x14ac:dyDescent="0.35">
      <c r="C1643">
        <f t="shared" si="26"/>
        <v>1904</v>
      </c>
      <c r="D1643" s="7">
        <v>1642</v>
      </c>
      <c r="E1643">
        <v>48.597900000000003</v>
      </c>
    </row>
    <row r="1644" spans="3:5" x14ac:dyDescent="0.35">
      <c r="C1644">
        <f t="shared" si="26"/>
        <v>1904</v>
      </c>
      <c r="D1644" s="7">
        <v>1643</v>
      </c>
      <c r="E1644">
        <v>48.460599999999999</v>
      </c>
    </row>
    <row r="1645" spans="3:5" x14ac:dyDescent="0.35">
      <c r="C1645">
        <f t="shared" si="26"/>
        <v>1904</v>
      </c>
      <c r="D1645" s="7">
        <v>1644</v>
      </c>
      <c r="E1645">
        <v>41.125300000000003</v>
      </c>
    </row>
    <row r="1646" spans="3:5" x14ac:dyDescent="0.35">
      <c r="C1646">
        <f t="shared" si="26"/>
        <v>1904</v>
      </c>
      <c r="D1646" s="7">
        <v>1645</v>
      </c>
      <c r="E1646">
        <v>40.130699999999997</v>
      </c>
    </row>
    <row r="1647" spans="3:5" x14ac:dyDescent="0.35">
      <c r="C1647">
        <f t="shared" si="26"/>
        <v>1904</v>
      </c>
      <c r="D1647" s="7">
        <v>1646</v>
      </c>
      <c r="E1647">
        <v>39.128500000000003</v>
      </c>
    </row>
    <row r="1648" spans="3:5" x14ac:dyDescent="0.35">
      <c r="C1648">
        <f t="shared" si="26"/>
        <v>1904</v>
      </c>
      <c r="D1648" s="7">
        <v>1647</v>
      </c>
      <c r="E1648">
        <v>36.940600000000003</v>
      </c>
    </row>
    <row r="1649" spans="3:5" x14ac:dyDescent="0.35">
      <c r="C1649">
        <f t="shared" si="26"/>
        <v>1904</v>
      </c>
      <c r="D1649" s="7">
        <v>1648</v>
      </c>
      <c r="E1649">
        <v>37.975999999999999</v>
      </c>
    </row>
    <row r="1650" spans="3:5" x14ac:dyDescent="0.35">
      <c r="C1650">
        <f t="shared" si="26"/>
        <v>1904</v>
      </c>
      <c r="D1650" s="7">
        <v>1649</v>
      </c>
      <c r="E1650">
        <v>39.7164</v>
      </c>
    </row>
    <row r="1651" spans="3:5" x14ac:dyDescent="0.35">
      <c r="C1651">
        <f t="shared" si="26"/>
        <v>1904</v>
      </c>
      <c r="D1651" s="7">
        <v>1650</v>
      </c>
      <c r="E1651">
        <v>39.4163</v>
      </c>
    </row>
    <row r="1652" spans="3:5" x14ac:dyDescent="0.35">
      <c r="C1652">
        <f t="shared" si="26"/>
        <v>1904</v>
      </c>
      <c r="D1652" s="7">
        <v>1651</v>
      </c>
      <c r="E1652">
        <v>39.718600000000002</v>
      </c>
    </row>
    <row r="1653" spans="3:5" x14ac:dyDescent="0.35">
      <c r="C1653">
        <f t="shared" si="26"/>
        <v>1904</v>
      </c>
      <c r="D1653" s="7">
        <v>1652</v>
      </c>
      <c r="E1653">
        <v>39.894199999999998</v>
      </c>
    </row>
    <row r="1654" spans="3:5" x14ac:dyDescent="0.35">
      <c r="C1654">
        <f t="shared" si="26"/>
        <v>1904</v>
      </c>
      <c r="D1654" s="7">
        <v>1653</v>
      </c>
      <c r="E1654">
        <v>39.597700000000003</v>
      </c>
    </row>
    <row r="1655" spans="3:5" x14ac:dyDescent="0.35">
      <c r="C1655">
        <f t="shared" si="26"/>
        <v>1904</v>
      </c>
      <c r="D1655" s="7">
        <v>1654</v>
      </c>
      <c r="E1655">
        <v>40.229900000000001</v>
      </c>
    </row>
    <row r="1656" spans="3:5" x14ac:dyDescent="0.35">
      <c r="C1656">
        <f t="shared" si="26"/>
        <v>1904</v>
      </c>
      <c r="D1656" s="7">
        <v>1655</v>
      </c>
      <c r="E1656">
        <v>39.662599999999998</v>
      </c>
    </row>
    <row r="1657" spans="3:5" x14ac:dyDescent="0.35">
      <c r="C1657">
        <f t="shared" si="26"/>
        <v>1904</v>
      </c>
      <c r="D1657" s="7">
        <v>1656</v>
      </c>
      <c r="E1657">
        <v>39.104300000000002</v>
      </c>
    </row>
    <row r="1658" spans="3:5" x14ac:dyDescent="0.35">
      <c r="C1658">
        <f t="shared" si="26"/>
        <v>1904</v>
      </c>
      <c r="D1658" s="7">
        <v>1657</v>
      </c>
      <c r="E1658">
        <v>39.137099999999997</v>
      </c>
    </row>
    <row r="1659" spans="3:5" x14ac:dyDescent="0.35">
      <c r="C1659">
        <f t="shared" si="26"/>
        <v>1904</v>
      </c>
      <c r="D1659" s="7">
        <v>1658</v>
      </c>
      <c r="E1659">
        <v>39.825600000000001</v>
      </c>
    </row>
    <row r="1660" spans="3:5" x14ac:dyDescent="0.35">
      <c r="C1660">
        <f t="shared" si="26"/>
        <v>1904</v>
      </c>
      <c r="D1660" s="7">
        <v>1659</v>
      </c>
      <c r="E1660">
        <v>42.518900000000002</v>
      </c>
    </row>
    <row r="1661" spans="3:5" x14ac:dyDescent="0.35">
      <c r="C1661">
        <f t="shared" si="26"/>
        <v>1904</v>
      </c>
      <c r="D1661" s="7">
        <v>1660</v>
      </c>
      <c r="E1661">
        <v>44.658200000000001</v>
      </c>
    </row>
    <row r="1662" spans="3:5" x14ac:dyDescent="0.35">
      <c r="C1662">
        <f t="shared" si="26"/>
        <v>1904</v>
      </c>
      <c r="D1662" s="7">
        <v>1661</v>
      </c>
      <c r="E1662">
        <v>43.732799999999997</v>
      </c>
    </row>
    <row r="1663" spans="3:5" x14ac:dyDescent="0.35">
      <c r="C1663">
        <f t="shared" si="26"/>
        <v>1904</v>
      </c>
      <c r="D1663" s="7">
        <v>1662</v>
      </c>
      <c r="E1663">
        <v>44.762999999999998</v>
      </c>
    </row>
    <row r="1664" spans="3:5" x14ac:dyDescent="0.35">
      <c r="C1664">
        <f t="shared" si="26"/>
        <v>1904</v>
      </c>
      <c r="D1664" s="7">
        <v>1663</v>
      </c>
      <c r="E1664">
        <v>44.2166</v>
      </c>
    </row>
    <row r="1665" spans="3:5" x14ac:dyDescent="0.35">
      <c r="C1665">
        <f t="shared" si="26"/>
        <v>1904</v>
      </c>
      <c r="D1665" s="7">
        <v>1664</v>
      </c>
      <c r="E1665">
        <v>43.83</v>
      </c>
    </row>
    <row r="1666" spans="3:5" x14ac:dyDescent="0.35">
      <c r="C1666">
        <f t="shared" si="26"/>
        <v>1904</v>
      </c>
      <c r="D1666" s="7">
        <v>1665</v>
      </c>
      <c r="E1666">
        <v>41.651800000000001</v>
      </c>
    </row>
    <row r="1667" spans="3:5" x14ac:dyDescent="0.35">
      <c r="C1667">
        <f t="shared" ref="C1667:C1730" si="27">YEAR(D1667)</f>
        <v>1904</v>
      </c>
      <c r="D1667" s="7">
        <v>1666</v>
      </c>
      <c r="E1667">
        <v>42.4129</v>
      </c>
    </row>
    <row r="1668" spans="3:5" x14ac:dyDescent="0.35">
      <c r="C1668">
        <f t="shared" si="27"/>
        <v>1904</v>
      </c>
      <c r="D1668" s="7">
        <v>1667</v>
      </c>
      <c r="E1668">
        <v>41.972099999999998</v>
      </c>
    </row>
    <row r="1669" spans="3:5" x14ac:dyDescent="0.35">
      <c r="C1669">
        <f t="shared" si="27"/>
        <v>1904</v>
      </c>
      <c r="D1669" s="7">
        <v>1668</v>
      </c>
      <c r="E1669">
        <v>42.893700000000003</v>
      </c>
    </row>
    <row r="1670" spans="3:5" x14ac:dyDescent="0.35">
      <c r="C1670">
        <f t="shared" si="27"/>
        <v>1904</v>
      </c>
      <c r="D1670" s="7">
        <v>1669</v>
      </c>
      <c r="E1670">
        <v>41.8703</v>
      </c>
    </row>
    <row r="1671" spans="3:5" x14ac:dyDescent="0.35">
      <c r="C1671">
        <f t="shared" si="27"/>
        <v>1904</v>
      </c>
      <c r="D1671" s="7">
        <v>1670</v>
      </c>
      <c r="E1671">
        <v>41.506500000000003</v>
      </c>
    </row>
    <row r="1672" spans="3:5" x14ac:dyDescent="0.35">
      <c r="C1672">
        <f t="shared" si="27"/>
        <v>1904</v>
      </c>
      <c r="D1672" s="7">
        <v>1671</v>
      </c>
      <c r="E1672">
        <v>40.936199999999999</v>
      </c>
    </row>
    <row r="1673" spans="3:5" x14ac:dyDescent="0.35">
      <c r="C1673">
        <f t="shared" si="27"/>
        <v>1904</v>
      </c>
      <c r="D1673" s="7">
        <v>1672</v>
      </c>
      <c r="E1673">
        <v>40.963299999999997</v>
      </c>
    </row>
    <row r="1674" spans="3:5" x14ac:dyDescent="0.35">
      <c r="C1674">
        <f t="shared" si="27"/>
        <v>1904</v>
      </c>
      <c r="D1674" s="7">
        <v>1673</v>
      </c>
      <c r="E1674">
        <v>41.322499999999998</v>
      </c>
    </row>
    <row r="1675" spans="3:5" x14ac:dyDescent="0.35">
      <c r="C1675">
        <f t="shared" si="27"/>
        <v>1904</v>
      </c>
      <c r="D1675" s="7">
        <v>1674</v>
      </c>
      <c r="E1675">
        <v>41.077199999999998</v>
      </c>
    </row>
    <row r="1676" spans="3:5" x14ac:dyDescent="0.35">
      <c r="C1676">
        <f t="shared" si="27"/>
        <v>1904</v>
      </c>
      <c r="D1676" s="7">
        <v>1675</v>
      </c>
      <c r="E1676">
        <v>41.466000000000001</v>
      </c>
    </row>
    <row r="1677" spans="3:5" x14ac:dyDescent="0.35">
      <c r="C1677">
        <f t="shared" si="27"/>
        <v>1904</v>
      </c>
      <c r="D1677" s="7">
        <v>1676</v>
      </c>
      <c r="E1677">
        <v>41.442</v>
      </c>
    </row>
    <row r="1678" spans="3:5" x14ac:dyDescent="0.35">
      <c r="C1678">
        <f t="shared" si="27"/>
        <v>1904</v>
      </c>
      <c r="D1678" s="7">
        <v>1677</v>
      </c>
      <c r="E1678">
        <v>41.281399999999998</v>
      </c>
    </row>
    <row r="1679" spans="3:5" x14ac:dyDescent="0.35">
      <c r="C1679">
        <f t="shared" si="27"/>
        <v>1904</v>
      </c>
      <c r="D1679" s="7">
        <v>1678</v>
      </c>
      <c r="E1679">
        <v>41.155900000000003</v>
      </c>
    </row>
    <row r="1680" spans="3:5" x14ac:dyDescent="0.35">
      <c r="C1680">
        <f t="shared" si="27"/>
        <v>1904</v>
      </c>
      <c r="D1680" s="7">
        <v>1679</v>
      </c>
      <c r="E1680">
        <v>40.535800000000002</v>
      </c>
    </row>
    <row r="1681" spans="3:5" x14ac:dyDescent="0.35">
      <c r="C1681">
        <f t="shared" si="27"/>
        <v>1904</v>
      </c>
      <c r="D1681" s="7">
        <v>1680</v>
      </c>
      <c r="E1681">
        <v>40.701500000000003</v>
      </c>
    </row>
    <row r="1682" spans="3:5" x14ac:dyDescent="0.35">
      <c r="C1682">
        <f t="shared" si="27"/>
        <v>1904</v>
      </c>
      <c r="D1682" s="7">
        <v>1681</v>
      </c>
      <c r="E1682">
        <v>41.001800000000003</v>
      </c>
    </row>
    <row r="1683" spans="3:5" x14ac:dyDescent="0.35">
      <c r="C1683">
        <f t="shared" si="27"/>
        <v>1904</v>
      </c>
      <c r="D1683" s="7">
        <v>1682</v>
      </c>
      <c r="E1683">
        <v>41.810099999999998</v>
      </c>
    </row>
    <row r="1684" spans="3:5" x14ac:dyDescent="0.35">
      <c r="C1684">
        <f t="shared" si="27"/>
        <v>1904</v>
      </c>
      <c r="D1684" s="7">
        <v>1683</v>
      </c>
      <c r="E1684">
        <v>41.8825</v>
      </c>
    </row>
    <row r="1685" spans="3:5" x14ac:dyDescent="0.35">
      <c r="C1685">
        <f t="shared" si="27"/>
        <v>1904</v>
      </c>
      <c r="D1685" s="7">
        <v>1684</v>
      </c>
      <c r="E1685">
        <v>41.929099999999998</v>
      </c>
    </row>
    <row r="1686" spans="3:5" x14ac:dyDescent="0.35">
      <c r="C1686">
        <f t="shared" si="27"/>
        <v>1904</v>
      </c>
      <c r="D1686" s="7">
        <v>1685</v>
      </c>
      <c r="E1686">
        <v>41.680599999999998</v>
      </c>
    </row>
    <row r="1687" spans="3:5" x14ac:dyDescent="0.35">
      <c r="C1687">
        <f t="shared" si="27"/>
        <v>1904</v>
      </c>
      <c r="D1687" s="7">
        <v>1686</v>
      </c>
      <c r="E1687">
        <v>41.966099999999997</v>
      </c>
    </row>
    <row r="1688" spans="3:5" x14ac:dyDescent="0.35">
      <c r="C1688">
        <f t="shared" si="27"/>
        <v>1904</v>
      </c>
      <c r="D1688" s="7">
        <v>1687</v>
      </c>
      <c r="E1688">
        <v>41.1967</v>
      </c>
    </row>
    <row r="1689" spans="3:5" x14ac:dyDescent="0.35">
      <c r="C1689">
        <f t="shared" si="27"/>
        <v>1904</v>
      </c>
      <c r="D1689" s="7">
        <v>1688</v>
      </c>
      <c r="E1689">
        <v>41.112499999999997</v>
      </c>
    </row>
    <row r="1690" spans="3:5" x14ac:dyDescent="0.35">
      <c r="C1690">
        <f t="shared" si="27"/>
        <v>1904</v>
      </c>
      <c r="D1690" s="7">
        <v>1689</v>
      </c>
      <c r="E1690">
        <v>41.219000000000001</v>
      </c>
    </row>
    <row r="1691" spans="3:5" x14ac:dyDescent="0.35">
      <c r="C1691">
        <f t="shared" si="27"/>
        <v>1904</v>
      </c>
      <c r="D1691" s="7">
        <v>1690</v>
      </c>
      <c r="E1691">
        <v>40.953299999999999</v>
      </c>
    </row>
    <row r="1692" spans="3:5" x14ac:dyDescent="0.35">
      <c r="C1692">
        <f t="shared" si="27"/>
        <v>1904</v>
      </c>
      <c r="D1692" s="7">
        <v>1691</v>
      </c>
      <c r="E1692">
        <v>41.788899999999998</v>
      </c>
    </row>
    <row r="1693" spans="3:5" x14ac:dyDescent="0.35">
      <c r="C1693">
        <f t="shared" si="27"/>
        <v>1904</v>
      </c>
      <c r="D1693" s="7">
        <v>1692</v>
      </c>
      <c r="E1693">
        <v>42.221899999999998</v>
      </c>
    </row>
    <row r="1694" spans="3:5" x14ac:dyDescent="0.35">
      <c r="C1694">
        <f t="shared" si="27"/>
        <v>1904</v>
      </c>
      <c r="D1694" s="7">
        <v>1693</v>
      </c>
      <c r="E1694">
        <v>39.777099999999997</v>
      </c>
    </row>
    <row r="1695" spans="3:5" x14ac:dyDescent="0.35">
      <c r="C1695">
        <f t="shared" si="27"/>
        <v>1904</v>
      </c>
      <c r="D1695" s="7">
        <v>1694</v>
      </c>
      <c r="E1695">
        <v>40.379600000000003</v>
      </c>
    </row>
    <row r="1696" spans="3:5" x14ac:dyDescent="0.35">
      <c r="C1696">
        <f t="shared" si="27"/>
        <v>1904</v>
      </c>
      <c r="D1696" s="7">
        <v>1695</v>
      </c>
      <c r="E1696">
        <v>40.912300000000002</v>
      </c>
    </row>
    <row r="1697" spans="3:5" x14ac:dyDescent="0.35">
      <c r="C1697">
        <f t="shared" si="27"/>
        <v>1904</v>
      </c>
      <c r="D1697" s="7">
        <v>1696</v>
      </c>
      <c r="E1697">
        <v>40.775700000000001</v>
      </c>
    </row>
    <row r="1698" spans="3:5" x14ac:dyDescent="0.35">
      <c r="C1698">
        <f t="shared" si="27"/>
        <v>1904</v>
      </c>
      <c r="D1698" s="7">
        <v>1697</v>
      </c>
      <c r="E1698">
        <v>40.617199999999997</v>
      </c>
    </row>
    <row r="1699" spans="3:5" x14ac:dyDescent="0.35">
      <c r="C1699">
        <f t="shared" si="27"/>
        <v>1904</v>
      </c>
      <c r="D1699" s="7">
        <v>1698</v>
      </c>
      <c r="E1699">
        <v>40.768799999999999</v>
      </c>
    </row>
    <row r="1700" spans="3:5" x14ac:dyDescent="0.35">
      <c r="C1700">
        <f t="shared" si="27"/>
        <v>1904</v>
      </c>
      <c r="D1700" s="7">
        <v>1699</v>
      </c>
      <c r="E1700">
        <v>41.810600000000001</v>
      </c>
    </row>
    <row r="1701" spans="3:5" x14ac:dyDescent="0.35">
      <c r="C1701">
        <f t="shared" si="27"/>
        <v>1904</v>
      </c>
      <c r="D1701" s="7">
        <v>1700</v>
      </c>
      <c r="E1701">
        <v>43.008699999999997</v>
      </c>
    </row>
    <row r="1702" spans="3:5" x14ac:dyDescent="0.35">
      <c r="C1702">
        <f t="shared" si="27"/>
        <v>1904</v>
      </c>
      <c r="D1702" s="7">
        <v>1701</v>
      </c>
      <c r="E1702">
        <v>43.304499999999997</v>
      </c>
    </row>
    <row r="1703" spans="3:5" x14ac:dyDescent="0.35">
      <c r="C1703">
        <f t="shared" si="27"/>
        <v>1904</v>
      </c>
      <c r="D1703" s="7">
        <v>1702</v>
      </c>
      <c r="E1703">
        <v>43.142600000000002</v>
      </c>
    </row>
    <row r="1704" spans="3:5" x14ac:dyDescent="0.35">
      <c r="C1704">
        <f t="shared" si="27"/>
        <v>1904</v>
      </c>
      <c r="D1704" s="7">
        <v>1703</v>
      </c>
      <c r="E1704">
        <v>43.348300000000002</v>
      </c>
    </row>
    <row r="1705" spans="3:5" x14ac:dyDescent="0.35">
      <c r="C1705">
        <f t="shared" si="27"/>
        <v>1904</v>
      </c>
      <c r="D1705" s="7">
        <v>1704</v>
      </c>
      <c r="E1705">
        <v>43.891800000000003</v>
      </c>
    </row>
    <row r="1706" spans="3:5" x14ac:dyDescent="0.35">
      <c r="C1706">
        <f t="shared" si="27"/>
        <v>1904</v>
      </c>
      <c r="D1706" s="7">
        <v>1705</v>
      </c>
      <c r="E1706">
        <v>43.616799999999998</v>
      </c>
    </row>
    <row r="1707" spans="3:5" x14ac:dyDescent="0.35">
      <c r="C1707">
        <f t="shared" si="27"/>
        <v>1904</v>
      </c>
      <c r="D1707" s="7">
        <v>1706</v>
      </c>
      <c r="E1707">
        <v>43.651600000000002</v>
      </c>
    </row>
    <row r="1708" spans="3:5" x14ac:dyDescent="0.35">
      <c r="C1708">
        <f t="shared" si="27"/>
        <v>1904</v>
      </c>
      <c r="D1708" s="7">
        <v>1707</v>
      </c>
      <c r="E1708">
        <v>44.184600000000003</v>
      </c>
    </row>
    <row r="1709" spans="3:5" x14ac:dyDescent="0.35">
      <c r="C1709">
        <f t="shared" si="27"/>
        <v>1904</v>
      </c>
      <c r="D1709" s="7">
        <v>1708</v>
      </c>
      <c r="E1709">
        <v>44.233699999999999</v>
      </c>
    </row>
    <row r="1710" spans="3:5" x14ac:dyDescent="0.35">
      <c r="C1710">
        <f t="shared" si="27"/>
        <v>1904</v>
      </c>
      <c r="D1710" s="7">
        <v>1709</v>
      </c>
      <c r="E1710">
        <v>44.314500000000002</v>
      </c>
    </row>
    <row r="1711" spans="3:5" x14ac:dyDescent="0.35">
      <c r="C1711">
        <f t="shared" si="27"/>
        <v>1904</v>
      </c>
      <c r="D1711" s="7">
        <v>1710</v>
      </c>
      <c r="E1711">
        <v>45.304499999999997</v>
      </c>
    </row>
    <row r="1712" spans="3:5" x14ac:dyDescent="0.35">
      <c r="C1712">
        <f t="shared" si="27"/>
        <v>1904</v>
      </c>
      <c r="D1712" s="7">
        <v>1711</v>
      </c>
      <c r="E1712">
        <v>44.808999999999997</v>
      </c>
    </row>
    <row r="1713" spans="3:5" x14ac:dyDescent="0.35">
      <c r="C1713">
        <f t="shared" si="27"/>
        <v>1904</v>
      </c>
      <c r="D1713" s="7">
        <v>1712</v>
      </c>
      <c r="E1713">
        <v>45.691899999999997</v>
      </c>
    </row>
    <row r="1714" spans="3:5" x14ac:dyDescent="0.35">
      <c r="C1714">
        <f t="shared" si="27"/>
        <v>1904</v>
      </c>
      <c r="D1714" s="7">
        <v>1713</v>
      </c>
      <c r="E1714">
        <v>44.595500000000001</v>
      </c>
    </row>
    <row r="1715" spans="3:5" x14ac:dyDescent="0.35">
      <c r="C1715">
        <f t="shared" si="27"/>
        <v>1904</v>
      </c>
      <c r="D1715" s="7">
        <v>1714</v>
      </c>
      <c r="E1715">
        <v>44.774700000000003</v>
      </c>
    </row>
    <row r="1716" spans="3:5" x14ac:dyDescent="0.35">
      <c r="C1716">
        <f t="shared" si="27"/>
        <v>1904</v>
      </c>
      <c r="D1716" s="7">
        <v>1715</v>
      </c>
      <c r="E1716">
        <v>43.881599999999999</v>
      </c>
    </row>
    <row r="1717" spans="3:5" x14ac:dyDescent="0.35">
      <c r="C1717">
        <f t="shared" si="27"/>
        <v>1904</v>
      </c>
      <c r="D1717" s="7">
        <v>1716</v>
      </c>
      <c r="E1717">
        <v>42.872</v>
      </c>
    </row>
    <row r="1718" spans="3:5" x14ac:dyDescent="0.35">
      <c r="C1718">
        <f t="shared" si="27"/>
        <v>1904</v>
      </c>
      <c r="D1718" s="7">
        <v>1717</v>
      </c>
      <c r="E1718">
        <v>42.839799999999997</v>
      </c>
    </row>
    <row r="1719" spans="3:5" x14ac:dyDescent="0.35">
      <c r="C1719">
        <f t="shared" si="27"/>
        <v>1904</v>
      </c>
      <c r="D1719" s="7">
        <v>1718</v>
      </c>
      <c r="E1719">
        <v>41.970700000000001</v>
      </c>
    </row>
    <row r="1720" spans="3:5" x14ac:dyDescent="0.35">
      <c r="C1720">
        <f t="shared" si="27"/>
        <v>1904</v>
      </c>
      <c r="D1720" s="7">
        <v>1719</v>
      </c>
      <c r="E1720">
        <v>41.283200000000001</v>
      </c>
    </row>
    <row r="1721" spans="3:5" x14ac:dyDescent="0.35">
      <c r="C1721">
        <f t="shared" si="27"/>
        <v>1904</v>
      </c>
      <c r="D1721" s="7">
        <v>1720</v>
      </c>
      <c r="E1721">
        <v>40.974200000000003</v>
      </c>
    </row>
    <row r="1722" spans="3:5" x14ac:dyDescent="0.35">
      <c r="C1722">
        <f t="shared" si="27"/>
        <v>1904</v>
      </c>
      <c r="D1722" s="7">
        <v>1721</v>
      </c>
      <c r="E1722">
        <v>38.918500000000002</v>
      </c>
    </row>
    <row r="1723" spans="3:5" x14ac:dyDescent="0.35">
      <c r="C1723">
        <f t="shared" si="27"/>
        <v>1904</v>
      </c>
      <c r="D1723" s="7">
        <v>1722</v>
      </c>
      <c r="E1723">
        <v>40.929600000000001</v>
      </c>
    </row>
    <row r="1724" spans="3:5" x14ac:dyDescent="0.35">
      <c r="C1724">
        <f t="shared" si="27"/>
        <v>1904</v>
      </c>
      <c r="D1724" s="7">
        <v>1723</v>
      </c>
      <c r="E1724">
        <v>40.714399999999998</v>
      </c>
    </row>
    <row r="1725" spans="3:5" x14ac:dyDescent="0.35">
      <c r="C1725">
        <f t="shared" si="27"/>
        <v>1904</v>
      </c>
      <c r="D1725" s="7">
        <v>1724</v>
      </c>
      <c r="E1725">
        <v>41.347999999999999</v>
      </c>
    </row>
    <row r="1726" spans="3:5" x14ac:dyDescent="0.35">
      <c r="C1726">
        <f t="shared" si="27"/>
        <v>1904</v>
      </c>
      <c r="D1726" s="7">
        <v>1725</v>
      </c>
      <c r="E1726">
        <v>40.209000000000003</v>
      </c>
    </row>
    <row r="1727" spans="3:5" x14ac:dyDescent="0.35">
      <c r="C1727">
        <f t="shared" si="27"/>
        <v>1904</v>
      </c>
      <c r="D1727" s="7">
        <v>1726</v>
      </c>
      <c r="E1727">
        <v>40.773200000000003</v>
      </c>
    </row>
    <row r="1728" spans="3:5" x14ac:dyDescent="0.35">
      <c r="C1728">
        <f t="shared" si="27"/>
        <v>1904</v>
      </c>
      <c r="D1728" s="7">
        <v>1727</v>
      </c>
      <c r="E1728">
        <v>40.400500000000001</v>
      </c>
    </row>
    <row r="1729" spans="3:5" x14ac:dyDescent="0.35">
      <c r="C1729">
        <f t="shared" si="27"/>
        <v>1904</v>
      </c>
      <c r="D1729" s="7">
        <v>1728</v>
      </c>
      <c r="E1729">
        <v>39.991799999999998</v>
      </c>
    </row>
    <row r="1730" spans="3:5" x14ac:dyDescent="0.35">
      <c r="C1730">
        <f t="shared" si="27"/>
        <v>1904</v>
      </c>
      <c r="D1730" s="7">
        <v>1729</v>
      </c>
      <c r="E1730">
        <v>39.597000000000001</v>
      </c>
    </row>
    <row r="1731" spans="3:5" x14ac:dyDescent="0.35">
      <c r="C1731">
        <f t="shared" ref="C1731:C1794" si="28">YEAR(D1731)</f>
        <v>1904</v>
      </c>
      <c r="D1731" s="7">
        <v>1730</v>
      </c>
      <c r="E1731">
        <v>39.348700000000001</v>
      </c>
    </row>
    <row r="1732" spans="3:5" x14ac:dyDescent="0.35">
      <c r="C1732">
        <f t="shared" si="28"/>
        <v>1904</v>
      </c>
      <c r="D1732" s="7">
        <v>1731</v>
      </c>
      <c r="E1732">
        <v>40.065199999999997</v>
      </c>
    </row>
    <row r="1733" spans="3:5" x14ac:dyDescent="0.35">
      <c r="C1733">
        <f t="shared" si="28"/>
        <v>1904</v>
      </c>
      <c r="D1733" s="7">
        <v>1732</v>
      </c>
      <c r="E1733">
        <v>39.939500000000002</v>
      </c>
    </row>
    <row r="1734" spans="3:5" x14ac:dyDescent="0.35">
      <c r="C1734">
        <f t="shared" si="28"/>
        <v>1904</v>
      </c>
      <c r="D1734" s="7">
        <v>1733</v>
      </c>
      <c r="E1734">
        <v>39.628900000000002</v>
      </c>
    </row>
    <row r="1735" spans="3:5" x14ac:dyDescent="0.35">
      <c r="C1735">
        <f t="shared" si="28"/>
        <v>1904</v>
      </c>
      <c r="D1735" s="7">
        <v>1734</v>
      </c>
      <c r="E1735">
        <v>38.4099</v>
      </c>
    </row>
    <row r="1736" spans="3:5" x14ac:dyDescent="0.35">
      <c r="C1736">
        <f t="shared" si="28"/>
        <v>1904</v>
      </c>
      <c r="D1736" s="7">
        <v>1735</v>
      </c>
      <c r="E1736">
        <v>38.1995</v>
      </c>
    </row>
    <row r="1737" spans="3:5" x14ac:dyDescent="0.35">
      <c r="C1737">
        <f t="shared" si="28"/>
        <v>1904</v>
      </c>
      <c r="D1737" s="7">
        <v>1736</v>
      </c>
      <c r="E1737">
        <v>38.076300000000003</v>
      </c>
    </row>
    <row r="1738" spans="3:5" x14ac:dyDescent="0.35">
      <c r="C1738">
        <f t="shared" si="28"/>
        <v>1904</v>
      </c>
      <c r="D1738" s="7">
        <v>1737</v>
      </c>
      <c r="E1738">
        <v>37.479500000000002</v>
      </c>
    </row>
    <row r="1739" spans="3:5" x14ac:dyDescent="0.35">
      <c r="C1739">
        <f t="shared" si="28"/>
        <v>1904</v>
      </c>
      <c r="D1739" s="7">
        <v>1738</v>
      </c>
      <c r="E1739">
        <v>35.924999999999997</v>
      </c>
    </row>
    <row r="1740" spans="3:5" x14ac:dyDescent="0.35">
      <c r="C1740">
        <f t="shared" si="28"/>
        <v>1904</v>
      </c>
      <c r="D1740" s="7">
        <v>1739</v>
      </c>
      <c r="E1740">
        <v>36.252000000000002</v>
      </c>
    </row>
    <row r="1741" spans="3:5" x14ac:dyDescent="0.35">
      <c r="C1741">
        <f t="shared" si="28"/>
        <v>1904</v>
      </c>
      <c r="D1741" s="7">
        <v>1740</v>
      </c>
      <c r="E1741">
        <v>35.226599999999998</v>
      </c>
    </row>
    <row r="1742" spans="3:5" x14ac:dyDescent="0.35">
      <c r="C1742">
        <f t="shared" si="28"/>
        <v>1904</v>
      </c>
      <c r="D1742" s="7">
        <v>1741</v>
      </c>
      <c r="E1742">
        <v>36.5672</v>
      </c>
    </row>
    <row r="1743" spans="3:5" x14ac:dyDescent="0.35">
      <c r="C1743">
        <f t="shared" si="28"/>
        <v>1904</v>
      </c>
      <c r="D1743" s="7">
        <v>1742</v>
      </c>
      <c r="E1743">
        <v>37.403500000000001</v>
      </c>
    </row>
    <row r="1744" spans="3:5" x14ac:dyDescent="0.35">
      <c r="C1744">
        <f t="shared" si="28"/>
        <v>1904</v>
      </c>
      <c r="D1744" s="7">
        <v>1743</v>
      </c>
      <c r="E1744">
        <v>37.977200000000003</v>
      </c>
    </row>
    <row r="1745" spans="3:5" x14ac:dyDescent="0.35">
      <c r="C1745">
        <f t="shared" si="28"/>
        <v>1904</v>
      </c>
      <c r="D1745" s="7">
        <v>1744</v>
      </c>
      <c r="E1745">
        <v>37.1661</v>
      </c>
    </row>
    <row r="1746" spans="3:5" x14ac:dyDescent="0.35">
      <c r="C1746">
        <f t="shared" si="28"/>
        <v>1904</v>
      </c>
      <c r="D1746" s="7">
        <v>1745</v>
      </c>
      <c r="E1746">
        <v>36.317700000000002</v>
      </c>
    </row>
    <row r="1747" spans="3:5" x14ac:dyDescent="0.35">
      <c r="C1747">
        <f t="shared" si="28"/>
        <v>1904</v>
      </c>
      <c r="D1747" s="7">
        <v>1746</v>
      </c>
      <c r="E1747">
        <v>37.291800000000002</v>
      </c>
    </row>
    <row r="1748" spans="3:5" x14ac:dyDescent="0.35">
      <c r="C1748">
        <f t="shared" si="28"/>
        <v>1904</v>
      </c>
      <c r="D1748" s="7">
        <v>1747</v>
      </c>
      <c r="E1748">
        <v>36.881300000000003</v>
      </c>
    </row>
    <row r="1749" spans="3:5" x14ac:dyDescent="0.35">
      <c r="C1749">
        <f t="shared" si="28"/>
        <v>1904</v>
      </c>
      <c r="D1749" s="7">
        <v>1748</v>
      </c>
      <c r="E1749">
        <v>38.7346</v>
      </c>
    </row>
    <row r="1750" spans="3:5" x14ac:dyDescent="0.35">
      <c r="C1750">
        <f t="shared" si="28"/>
        <v>1904</v>
      </c>
      <c r="D1750" s="7">
        <v>1749</v>
      </c>
      <c r="E1750">
        <v>38.583599999999997</v>
      </c>
    </row>
    <row r="1751" spans="3:5" x14ac:dyDescent="0.35">
      <c r="C1751">
        <f t="shared" si="28"/>
        <v>1904</v>
      </c>
      <c r="D1751" s="7">
        <v>1750</v>
      </c>
      <c r="E1751">
        <v>39.141300000000001</v>
      </c>
    </row>
    <row r="1752" spans="3:5" x14ac:dyDescent="0.35">
      <c r="C1752">
        <f t="shared" si="28"/>
        <v>1904</v>
      </c>
      <c r="D1752" s="7">
        <v>1751</v>
      </c>
      <c r="E1752">
        <v>39.371899999999997</v>
      </c>
    </row>
    <row r="1753" spans="3:5" x14ac:dyDescent="0.35">
      <c r="C1753">
        <f t="shared" si="28"/>
        <v>1904</v>
      </c>
      <c r="D1753" s="7">
        <v>1752</v>
      </c>
      <c r="E1753">
        <v>39.431899999999999</v>
      </c>
    </row>
    <row r="1754" spans="3:5" x14ac:dyDescent="0.35">
      <c r="C1754">
        <f t="shared" si="28"/>
        <v>1904</v>
      </c>
      <c r="D1754" s="7">
        <v>1753</v>
      </c>
      <c r="E1754">
        <v>39.192700000000002</v>
      </c>
    </row>
    <row r="1755" spans="3:5" x14ac:dyDescent="0.35">
      <c r="C1755">
        <f t="shared" si="28"/>
        <v>1904</v>
      </c>
      <c r="D1755" s="7">
        <v>1754</v>
      </c>
      <c r="E1755">
        <v>38.714100000000002</v>
      </c>
    </row>
    <row r="1756" spans="3:5" x14ac:dyDescent="0.35">
      <c r="C1756">
        <f t="shared" si="28"/>
        <v>1904</v>
      </c>
      <c r="D1756" s="7">
        <v>1755</v>
      </c>
      <c r="E1756">
        <v>38.556899999999999</v>
      </c>
    </row>
    <row r="1757" spans="3:5" x14ac:dyDescent="0.35">
      <c r="C1757">
        <f t="shared" si="28"/>
        <v>1904</v>
      </c>
      <c r="D1757" s="7">
        <v>1756</v>
      </c>
      <c r="E1757">
        <v>39.066000000000003</v>
      </c>
    </row>
    <row r="1758" spans="3:5" x14ac:dyDescent="0.35">
      <c r="C1758">
        <f t="shared" si="28"/>
        <v>1904</v>
      </c>
      <c r="D1758" s="7">
        <v>1757</v>
      </c>
      <c r="E1758">
        <v>38.268300000000004</v>
      </c>
    </row>
    <row r="1759" spans="3:5" x14ac:dyDescent="0.35">
      <c r="C1759">
        <f t="shared" si="28"/>
        <v>1904</v>
      </c>
      <c r="D1759" s="7">
        <v>1758</v>
      </c>
      <c r="E1759">
        <v>38.521500000000003</v>
      </c>
    </row>
    <row r="1760" spans="3:5" x14ac:dyDescent="0.35">
      <c r="C1760">
        <f t="shared" si="28"/>
        <v>1904</v>
      </c>
      <c r="D1760" s="7">
        <v>1759</v>
      </c>
      <c r="E1760">
        <v>36.930500000000002</v>
      </c>
    </row>
    <row r="1761" spans="3:5" x14ac:dyDescent="0.35">
      <c r="C1761">
        <f t="shared" si="28"/>
        <v>1904</v>
      </c>
      <c r="D1761" s="7">
        <v>1760</v>
      </c>
      <c r="E1761">
        <v>35.8596</v>
      </c>
    </row>
    <row r="1762" spans="3:5" x14ac:dyDescent="0.35">
      <c r="C1762">
        <f t="shared" si="28"/>
        <v>1904</v>
      </c>
      <c r="D1762" s="7">
        <v>1761</v>
      </c>
      <c r="E1762">
        <v>36.637700000000002</v>
      </c>
    </row>
    <row r="1763" spans="3:5" x14ac:dyDescent="0.35">
      <c r="C1763">
        <f t="shared" si="28"/>
        <v>1904</v>
      </c>
      <c r="D1763" s="7">
        <v>1762</v>
      </c>
      <c r="E1763">
        <v>36.502299999999998</v>
      </c>
    </row>
    <row r="1764" spans="3:5" x14ac:dyDescent="0.35">
      <c r="C1764">
        <f t="shared" si="28"/>
        <v>1904</v>
      </c>
      <c r="D1764" s="7">
        <v>1763</v>
      </c>
      <c r="E1764">
        <v>35.235399999999998</v>
      </c>
    </row>
    <row r="1765" spans="3:5" x14ac:dyDescent="0.35">
      <c r="C1765">
        <f t="shared" si="28"/>
        <v>1904</v>
      </c>
      <c r="D1765" s="7">
        <v>1764</v>
      </c>
      <c r="E1765">
        <v>34.208500000000001</v>
      </c>
    </row>
    <row r="1766" spans="3:5" x14ac:dyDescent="0.35">
      <c r="C1766">
        <f t="shared" si="28"/>
        <v>1904</v>
      </c>
      <c r="D1766" s="7">
        <v>1765</v>
      </c>
      <c r="E1766">
        <v>33.013100000000001</v>
      </c>
    </row>
    <row r="1767" spans="3:5" x14ac:dyDescent="0.35">
      <c r="C1767">
        <f t="shared" si="28"/>
        <v>1904</v>
      </c>
      <c r="D1767" s="7">
        <v>1766</v>
      </c>
      <c r="E1767">
        <v>33.282200000000003</v>
      </c>
    </row>
    <row r="1768" spans="3:5" x14ac:dyDescent="0.35">
      <c r="C1768">
        <f t="shared" si="28"/>
        <v>1904</v>
      </c>
      <c r="D1768" s="7">
        <v>1767</v>
      </c>
      <c r="E1768">
        <v>34.640799999999999</v>
      </c>
    </row>
    <row r="1769" spans="3:5" x14ac:dyDescent="0.35">
      <c r="C1769">
        <f t="shared" si="28"/>
        <v>1904</v>
      </c>
      <c r="D1769" s="7">
        <v>1768</v>
      </c>
      <c r="E1769">
        <v>34.8598</v>
      </c>
    </row>
    <row r="1770" spans="3:5" x14ac:dyDescent="0.35">
      <c r="C1770">
        <f t="shared" si="28"/>
        <v>1904</v>
      </c>
      <c r="D1770" s="7">
        <v>1769</v>
      </c>
      <c r="E1770">
        <v>35.640799999999999</v>
      </c>
    </row>
    <row r="1771" spans="3:5" x14ac:dyDescent="0.35">
      <c r="C1771">
        <f t="shared" si="28"/>
        <v>1904</v>
      </c>
      <c r="D1771" s="7">
        <v>1770</v>
      </c>
      <c r="E1771">
        <v>35.040900000000001</v>
      </c>
    </row>
    <row r="1772" spans="3:5" x14ac:dyDescent="0.35">
      <c r="C1772">
        <f t="shared" si="28"/>
        <v>1904</v>
      </c>
      <c r="D1772" s="7">
        <v>1771</v>
      </c>
      <c r="E1772">
        <v>35.025399999999998</v>
      </c>
    </row>
    <row r="1773" spans="3:5" x14ac:dyDescent="0.35">
      <c r="C1773">
        <f t="shared" si="28"/>
        <v>1904</v>
      </c>
      <c r="D1773" s="7">
        <v>1772</v>
      </c>
      <c r="E1773">
        <v>35.352600000000002</v>
      </c>
    </row>
    <row r="1774" spans="3:5" x14ac:dyDescent="0.35">
      <c r="C1774">
        <f t="shared" si="28"/>
        <v>1904</v>
      </c>
      <c r="D1774" s="7">
        <v>1773</v>
      </c>
      <c r="E1774">
        <v>37.646700000000003</v>
      </c>
    </row>
    <row r="1775" spans="3:5" x14ac:dyDescent="0.35">
      <c r="C1775">
        <f t="shared" si="28"/>
        <v>1904</v>
      </c>
      <c r="D1775" s="7">
        <v>1774</v>
      </c>
      <c r="E1775">
        <v>36.817999999999998</v>
      </c>
    </row>
    <row r="1776" spans="3:5" x14ac:dyDescent="0.35">
      <c r="C1776">
        <f t="shared" si="28"/>
        <v>1904</v>
      </c>
      <c r="D1776" s="7">
        <v>1775</v>
      </c>
      <c r="E1776">
        <v>37.311999999999998</v>
      </c>
    </row>
    <row r="1777" spans="3:5" x14ac:dyDescent="0.35">
      <c r="C1777">
        <f t="shared" si="28"/>
        <v>1904</v>
      </c>
      <c r="D1777" s="7">
        <v>1776</v>
      </c>
      <c r="E1777">
        <v>36.286499999999997</v>
      </c>
    </row>
    <row r="1778" spans="3:5" x14ac:dyDescent="0.35">
      <c r="C1778">
        <f t="shared" si="28"/>
        <v>1904</v>
      </c>
      <c r="D1778" s="7">
        <v>1777</v>
      </c>
      <c r="E1778">
        <v>37.739600000000003</v>
      </c>
    </row>
    <row r="1779" spans="3:5" x14ac:dyDescent="0.35">
      <c r="C1779">
        <f t="shared" si="28"/>
        <v>1904</v>
      </c>
      <c r="D1779" s="7">
        <v>1778</v>
      </c>
      <c r="E1779">
        <v>37.755699999999997</v>
      </c>
    </row>
    <row r="1780" spans="3:5" x14ac:dyDescent="0.35">
      <c r="C1780">
        <f t="shared" si="28"/>
        <v>1904</v>
      </c>
      <c r="D1780" s="7">
        <v>1779</v>
      </c>
      <c r="E1780">
        <v>38.6389</v>
      </c>
    </row>
    <row r="1781" spans="3:5" x14ac:dyDescent="0.35">
      <c r="C1781">
        <f t="shared" si="28"/>
        <v>1904</v>
      </c>
      <c r="D1781" s="7">
        <v>1780</v>
      </c>
      <c r="E1781">
        <v>38.499299999999998</v>
      </c>
    </row>
    <row r="1782" spans="3:5" x14ac:dyDescent="0.35">
      <c r="C1782">
        <f t="shared" si="28"/>
        <v>1904</v>
      </c>
      <c r="D1782" s="7">
        <v>1781</v>
      </c>
      <c r="E1782">
        <v>38.823799999999999</v>
      </c>
    </row>
    <row r="1783" spans="3:5" x14ac:dyDescent="0.35">
      <c r="C1783">
        <f t="shared" si="28"/>
        <v>1904</v>
      </c>
      <c r="D1783" s="7">
        <v>1782</v>
      </c>
      <c r="E1783">
        <v>38.264200000000002</v>
      </c>
    </row>
    <row r="1784" spans="3:5" x14ac:dyDescent="0.35">
      <c r="C1784">
        <f t="shared" si="28"/>
        <v>1904</v>
      </c>
      <c r="D1784" s="7">
        <v>1783</v>
      </c>
      <c r="E1784">
        <v>38.003700000000002</v>
      </c>
    </row>
    <row r="1785" spans="3:5" x14ac:dyDescent="0.35">
      <c r="C1785">
        <f t="shared" si="28"/>
        <v>1904</v>
      </c>
      <c r="D1785" s="7">
        <v>1784</v>
      </c>
      <c r="E1785">
        <v>38.631799999999998</v>
      </c>
    </row>
    <row r="1786" spans="3:5" x14ac:dyDescent="0.35">
      <c r="C1786">
        <f t="shared" si="28"/>
        <v>1904</v>
      </c>
      <c r="D1786" s="7">
        <v>1785</v>
      </c>
      <c r="E1786">
        <v>39.024999999999999</v>
      </c>
    </row>
    <row r="1787" spans="3:5" x14ac:dyDescent="0.35">
      <c r="C1787">
        <f t="shared" si="28"/>
        <v>1904</v>
      </c>
      <c r="D1787" s="7">
        <v>1786</v>
      </c>
      <c r="E1787">
        <v>38.163200000000003</v>
      </c>
    </row>
    <row r="1788" spans="3:5" x14ac:dyDescent="0.35">
      <c r="C1788">
        <f t="shared" si="28"/>
        <v>1904</v>
      </c>
      <c r="D1788" s="7">
        <v>1787</v>
      </c>
      <c r="E1788">
        <v>39.420699999999997</v>
      </c>
    </row>
    <row r="1789" spans="3:5" x14ac:dyDescent="0.35">
      <c r="C1789">
        <f t="shared" si="28"/>
        <v>1904</v>
      </c>
      <c r="D1789" s="7">
        <v>1788</v>
      </c>
      <c r="E1789">
        <v>39.739899999999999</v>
      </c>
    </row>
    <row r="1790" spans="3:5" x14ac:dyDescent="0.35">
      <c r="C1790">
        <f t="shared" si="28"/>
        <v>1904</v>
      </c>
      <c r="D1790" s="7">
        <v>1789</v>
      </c>
      <c r="E1790">
        <v>39</v>
      </c>
    </row>
    <row r="1791" spans="3:5" x14ac:dyDescent="0.35">
      <c r="C1791">
        <f t="shared" si="28"/>
        <v>1904</v>
      </c>
      <c r="D1791" s="7">
        <v>1790</v>
      </c>
      <c r="E1791">
        <v>38.971200000000003</v>
      </c>
    </row>
    <row r="1792" spans="3:5" x14ac:dyDescent="0.35">
      <c r="C1792">
        <f t="shared" si="28"/>
        <v>1904</v>
      </c>
      <c r="D1792" s="7">
        <v>1791</v>
      </c>
      <c r="E1792">
        <v>39.1297</v>
      </c>
    </row>
    <row r="1793" spans="3:5" x14ac:dyDescent="0.35">
      <c r="C1793">
        <f t="shared" si="28"/>
        <v>1904</v>
      </c>
      <c r="D1793" s="7">
        <v>1792</v>
      </c>
      <c r="E1793">
        <v>39.677</v>
      </c>
    </row>
    <row r="1794" spans="3:5" x14ac:dyDescent="0.35">
      <c r="C1794">
        <f t="shared" si="28"/>
        <v>1904</v>
      </c>
      <c r="D1794" s="7">
        <v>1793</v>
      </c>
      <c r="E1794">
        <v>39.764800000000001</v>
      </c>
    </row>
    <row r="1795" spans="3:5" x14ac:dyDescent="0.35">
      <c r="C1795">
        <f t="shared" ref="C1795:C1858" si="29">YEAR(D1795)</f>
        <v>1904</v>
      </c>
      <c r="D1795" s="7">
        <v>1794</v>
      </c>
      <c r="E1795">
        <v>39.861699999999999</v>
      </c>
    </row>
    <row r="1796" spans="3:5" x14ac:dyDescent="0.35">
      <c r="C1796">
        <f t="shared" si="29"/>
        <v>1904</v>
      </c>
      <c r="D1796" s="7">
        <v>1795</v>
      </c>
      <c r="E1796">
        <v>39.1828</v>
      </c>
    </row>
    <row r="1797" spans="3:5" x14ac:dyDescent="0.35">
      <c r="C1797">
        <f t="shared" si="29"/>
        <v>1904</v>
      </c>
      <c r="D1797" s="7">
        <v>1796</v>
      </c>
      <c r="E1797">
        <v>38.077199999999998</v>
      </c>
    </row>
    <row r="1798" spans="3:5" x14ac:dyDescent="0.35">
      <c r="C1798">
        <f t="shared" si="29"/>
        <v>1904</v>
      </c>
      <c r="D1798" s="7">
        <v>1797</v>
      </c>
      <c r="E1798">
        <v>37.588500000000003</v>
      </c>
    </row>
    <row r="1799" spans="3:5" x14ac:dyDescent="0.35">
      <c r="C1799">
        <f t="shared" si="29"/>
        <v>1904</v>
      </c>
      <c r="D1799" s="7">
        <v>1798</v>
      </c>
      <c r="E1799">
        <v>38.838799999999999</v>
      </c>
    </row>
    <row r="1800" spans="3:5" x14ac:dyDescent="0.35">
      <c r="C1800">
        <f t="shared" si="29"/>
        <v>1904</v>
      </c>
      <c r="D1800" s="7">
        <v>1799</v>
      </c>
      <c r="E1800">
        <v>39.492800000000003</v>
      </c>
    </row>
    <row r="1801" spans="3:5" x14ac:dyDescent="0.35">
      <c r="C1801">
        <f t="shared" si="29"/>
        <v>1904</v>
      </c>
      <c r="D1801" s="7">
        <v>1800</v>
      </c>
      <c r="E1801">
        <v>38.818600000000004</v>
      </c>
    </row>
    <row r="1802" spans="3:5" x14ac:dyDescent="0.35">
      <c r="C1802">
        <f t="shared" si="29"/>
        <v>1904</v>
      </c>
      <c r="D1802" s="7">
        <v>1801</v>
      </c>
      <c r="E1802">
        <v>39.028100000000002</v>
      </c>
    </row>
    <row r="1803" spans="3:5" x14ac:dyDescent="0.35">
      <c r="C1803">
        <f t="shared" si="29"/>
        <v>1904</v>
      </c>
      <c r="D1803" s="7">
        <v>1802</v>
      </c>
      <c r="E1803">
        <v>39.0167</v>
      </c>
    </row>
    <row r="1804" spans="3:5" x14ac:dyDescent="0.35">
      <c r="C1804">
        <f t="shared" si="29"/>
        <v>1904</v>
      </c>
      <c r="D1804" s="7">
        <v>1803</v>
      </c>
      <c r="E1804">
        <v>38.970399999999998</v>
      </c>
    </row>
    <row r="1805" spans="3:5" x14ac:dyDescent="0.35">
      <c r="C1805">
        <f t="shared" si="29"/>
        <v>1904</v>
      </c>
      <c r="D1805" s="7">
        <v>1804</v>
      </c>
      <c r="E1805">
        <v>38.0687</v>
      </c>
    </row>
    <row r="1806" spans="3:5" x14ac:dyDescent="0.35">
      <c r="C1806">
        <f t="shared" si="29"/>
        <v>1904</v>
      </c>
      <c r="D1806" s="7">
        <v>1805</v>
      </c>
      <c r="E1806">
        <v>38.514200000000002</v>
      </c>
    </row>
    <row r="1807" spans="3:5" x14ac:dyDescent="0.35">
      <c r="C1807">
        <f t="shared" si="29"/>
        <v>1904</v>
      </c>
      <c r="D1807" s="7">
        <v>1806</v>
      </c>
      <c r="E1807">
        <v>39.0807</v>
      </c>
    </row>
    <row r="1808" spans="3:5" x14ac:dyDescent="0.35">
      <c r="C1808">
        <f t="shared" si="29"/>
        <v>1904</v>
      </c>
      <c r="D1808" s="7">
        <v>1807</v>
      </c>
      <c r="E1808">
        <v>40.191000000000003</v>
      </c>
    </row>
    <row r="1809" spans="3:5" x14ac:dyDescent="0.35">
      <c r="C1809">
        <f t="shared" si="29"/>
        <v>1904</v>
      </c>
      <c r="D1809" s="7">
        <v>1808</v>
      </c>
      <c r="E1809">
        <v>40.6021</v>
      </c>
    </row>
    <row r="1810" spans="3:5" x14ac:dyDescent="0.35">
      <c r="C1810">
        <f t="shared" si="29"/>
        <v>1904</v>
      </c>
      <c r="D1810" s="7">
        <v>1809</v>
      </c>
      <c r="E1810">
        <v>40.862699999999997</v>
      </c>
    </row>
    <row r="1811" spans="3:5" x14ac:dyDescent="0.35">
      <c r="C1811">
        <f t="shared" si="29"/>
        <v>1904</v>
      </c>
      <c r="D1811" s="7">
        <v>1810</v>
      </c>
      <c r="E1811">
        <v>41.059199999999997</v>
      </c>
    </row>
    <row r="1812" spans="3:5" x14ac:dyDescent="0.35">
      <c r="C1812">
        <f t="shared" si="29"/>
        <v>1904</v>
      </c>
      <c r="D1812" s="7">
        <v>1811</v>
      </c>
      <c r="E1812">
        <v>41.0655</v>
      </c>
    </row>
    <row r="1813" spans="3:5" x14ac:dyDescent="0.35">
      <c r="C1813">
        <f t="shared" si="29"/>
        <v>1904</v>
      </c>
      <c r="D1813" s="7">
        <v>1812</v>
      </c>
      <c r="E1813">
        <v>39.542499999999997</v>
      </c>
    </row>
    <row r="1814" spans="3:5" x14ac:dyDescent="0.35">
      <c r="C1814">
        <f t="shared" si="29"/>
        <v>1904</v>
      </c>
      <c r="D1814" s="7">
        <v>1813</v>
      </c>
      <c r="E1814">
        <v>37.697400000000002</v>
      </c>
    </row>
    <row r="1815" spans="3:5" x14ac:dyDescent="0.35">
      <c r="C1815">
        <f t="shared" si="29"/>
        <v>1904</v>
      </c>
      <c r="D1815" s="7">
        <v>1814</v>
      </c>
      <c r="E1815">
        <v>37.875399999999999</v>
      </c>
    </row>
    <row r="1816" spans="3:5" x14ac:dyDescent="0.35">
      <c r="C1816">
        <f t="shared" si="29"/>
        <v>1904</v>
      </c>
      <c r="D1816" s="7">
        <v>1815</v>
      </c>
      <c r="E1816">
        <v>37.931199999999997</v>
      </c>
    </row>
    <row r="1817" spans="3:5" x14ac:dyDescent="0.35">
      <c r="C1817">
        <f t="shared" si="29"/>
        <v>1904</v>
      </c>
      <c r="D1817" s="7">
        <v>1816</v>
      </c>
      <c r="E1817">
        <v>38.1113</v>
      </c>
    </row>
    <row r="1818" spans="3:5" x14ac:dyDescent="0.35">
      <c r="C1818">
        <f t="shared" si="29"/>
        <v>1904</v>
      </c>
      <c r="D1818" s="7">
        <v>1817</v>
      </c>
      <c r="E1818">
        <v>38.039499999999997</v>
      </c>
    </row>
    <row r="1819" spans="3:5" x14ac:dyDescent="0.35">
      <c r="C1819">
        <f t="shared" si="29"/>
        <v>1904</v>
      </c>
      <c r="D1819" s="7">
        <v>1818</v>
      </c>
      <c r="E1819">
        <v>37.054499999999997</v>
      </c>
    </row>
    <row r="1820" spans="3:5" x14ac:dyDescent="0.35">
      <c r="C1820">
        <f t="shared" si="29"/>
        <v>1904</v>
      </c>
      <c r="D1820" s="7">
        <v>1819</v>
      </c>
      <c r="E1820">
        <v>37.504600000000003</v>
      </c>
    </row>
    <row r="1821" spans="3:5" x14ac:dyDescent="0.35">
      <c r="C1821">
        <f t="shared" si="29"/>
        <v>1904</v>
      </c>
      <c r="D1821" s="7">
        <v>1820</v>
      </c>
      <c r="E1821">
        <v>37.326900000000002</v>
      </c>
    </row>
    <row r="1822" spans="3:5" x14ac:dyDescent="0.35">
      <c r="C1822">
        <f t="shared" si="29"/>
        <v>1904</v>
      </c>
      <c r="D1822" s="7">
        <v>1821</v>
      </c>
      <c r="E1822">
        <v>37.007599999999996</v>
      </c>
    </row>
    <row r="1823" spans="3:5" x14ac:dyDescent="0.35">
      <c r="C1823">
        <f t="shared" si="29"/>
        <v>1904</v>
      </c>
      <c r="D1823" s="7">
        <v>1822</v>
      </c>
      <c r="E1823">
        <v>37.404699999999998</v>
      </c>
    </row>
    <row r="1824" spans="3:5" x14ac:dyDescent="0.35">
      <c r="C1824">
        <f t="shared" si="29"/>
        <v>1904</v>
      </c>
      <c r="D1824" s="7">
        <v>1823</v>
      </c>
      <c r="E1824">
        <v>37.2149</v>
      </c>
    </row>
    <row r="1825" spans="3:5" x14ac:dyDescent="0.35">
      <c r="C1825">
        <f t="shared" si="29"/>
        <v>1904</v>
      </c>
      <c r="D1825" s="7">
        <v>1824</v>
      </c>
      <c r="E1825">
        <v>36.604300000000002</v>
      </c>
    </row>
    <row r="1826" spans="3:5" x14ac:dyDescent="0.35">
      <c r="C1826">
        <f t="shared" si="29"/>
        <v>1904</v>
      </c>
      <c r="D1826" s="7">
        <v>1825</v>
      </c>
      <c r="E1826">
        <v>36.340499999999999</v>
      </c>
    </row>
    <row r="1827" spans="3:5" x14ac:dyDescent="0.35">
      <c r="C1827">
        <f t="shared" si="29"/>
        <v>1904</v>
      </c>
      <c r="D1827" s="7">
        <v>1826</v>
      </c>
      <c r="E1827">
        <v>37.277999999999999</v>
      </c>
    </row>
    <row r="1828" spans="3:5" x14ac:dyDescent="0.35">
      <c r="C1828">
        <f t="shared" si="29"/>
        <v>1904</v>
      </c>
      <c r="D1828" s="7">
        <v>1827</v>
      </c>
      <c r="E1828">
        <v>36.424100000000003</v>
      </c>
    </row>
    <row r="1829" spans="3:5" x14ac:dyDescent="0.35">
      <c r="C1829">
        <f t="shared" si="29"/>
        <v>1905</v>
      </c>
      <c r="D1829" s="7">
        <v>1828</v>
      </c>
      <c r="E1829">
        <v>36.700200000000002</v>
      </c>
    </row>
    <row r="1830" spans="3:5" x14ac:dyDescent="0.35">
      <c r="C1830">
        <f t="shared" si="29"/>
        <v>1905</v>
      </c>
      <c r="D1830" s="7">
        <v>1829</v>
      </c>
      <c r="E1830">
        <v>36.1462</v>
      </c>
    </row>
    <row r="1831" spans="3:5" x14ac:dyDescent="0.35">
      <c r="C1831">
        <f t="shared" si="29"/>
        <v>1905</v>
      </c>
      <c r="D1831" s="7">
        <v>1830</v>
      </c>
      <c r="E1831">
        <v>36.690899999999999</v>
      </c>
    </row>
    <row r="1832" spans="3:5" x14ac:dyDescent="0.35">
      <c r="C1832">
        <f t="shared" si="29"/>
        <v>1905</v>
      </c>
      <c r="D1832" s="7">
        <v>1831</v>
      </c>
      <c r="E1832">
        <v>36.110300000000002</v>
      </c>
    </row>
    <row r="1833" spans="3:5" x14ac:dyDescent="0.35">
      <c r="C1833">
        <f t="shared" si="29"/>
        <v>1905</v>
      </c>
      <c r="D1833" s="7">
        <v>1832</v>
      </c>
      <c r="E1833">
        <v>36.588099999999997</v>
      </c>
    </row>
    <row r="1834" spans="3:5" x14ac:dyDescent="0.35">
      <c r="C1834">
        <f t="shared" si="29"/>
        <v>1905</v>
      </c>
      <c r="D1834" s="7">
        <v>1833</v>
      </c>
      <c r="E1834">
        <v>36.938699999999997</v>
      </c>
    </row>
    <row r="1835" spans="3:5" x14ac:dyDescent="0.35">
      <c r="C1835">
        <f t="shared" si="29"/>
        <v>1905</v>
      </c>
      <c r="D1835" s="7">
        <v>1834</v>
      </c>
      <c r="E1835">
        <v>37.625500000000002</v>
      </c>
    </row>
    <row r="1836" spans="3:5" x14ac:dyDescent="0.35">
      <c r="C1836">
        <f t="shared" si="29"/>
        <v>1905</v>
      </c>
      <c r="D1836" s="7">
        <v>1835</v>
      </c>
      <c r="E1836">
        <v>39.950000000000003</v>
      </c>
    </row>
    <row r="1837" spans="3:5" x14ac:dyDescent="0.35">
      <c r="C1837">
        <f t="shared" si="29"/>
        <v>1905</v>
      </c>
      <c r="D1837" s="7">
        <v>1836</v>
      </c>
      <c r="E1837">
        <v>40.694899999999997</v>
      </c>
    </row>
    <row r="1838" spans="3:5" x14ac:dyDescent="0.35">
      <c r="C1838">
        <f t="shared" si="29"/>
        <v>1905</v>
      </c>
      <c r="D1838" s="7">
        <v>1837</v>
      </c>
      <c r="E1838">
        <v>42.018700000000003</v>
      </c>
    </row>
    <row r="1839" spans="3:5" x14ac:dyDescent="0.35">
      <c r="C1839">
        <f t="shared" si="29"/>
        <v>1905</v>
      </c>
      <c r="D1839" s="7">
        <v>1838</v>
      </c>
      <c r="E1839">
        <v>41.771900000000002</v>
      </c>
    </row>
    <row r="1840" spans="3:5" x14ac:dyDescent="0.35">
      <c r="C1840">
        <f t="shared" si="29"/>
        <v>1905</v>
      </c>
      <c r="D1840" s="7">
        <v>1839</v>
      </c>
      <c r="E1840">
        <v>41.779299999999999</v>
      </c>
    </row>
    <row r="1841" spans="3:5" x14ac:dyDescent="0.35">
      <c r="C1841">
        <f t="shared" si="29"/>
        <v>1905</v>
      </c>
      <c r="D1841" s="7">
        <v>1840</v>
      </c>
      <c r="E1841">
        <v>42.329599999999999</v>
      </c>
    </row>
    <row r="1842" spans="3:5" x14ac:dyDescent="0.35">
      <c r="C1842">
        <f t="shared" si="29"/>
        <v>1905</v>
      </c>
      <c r="D1842" s="7">
        <v>1841</v>
      </c>
      <c r="E1842">
        <v>42.335000000000001</v>
      </c>
    </row>
    <row r="1843" spans="3:5" x14ac:dyDescent="0.35">
      <c r="C1843">
        <f t="shared" si="29"/>
        <v>1905</v>
      </c>
      <c r="D1843" s="7">
        <v>1842</v>
      </c>
      <c r="E1843">
        <v>43.284199999999998</v>
      </c>
    </row>
    <row r="1844" spans="3:5" x14ac:dyDescent="0.35">
      <c r="C1844">
        <f t="shared" si="29"/>
        <v>1905</v>
      </c>
      <c r="D1844" s="7">
        <v>1843</v>
      </c>
      <c r="E1844">
        <v>44.062399999999997</v>
      </c>
    </row>
    <row r="1845" spans="3:5" x14ac:dyDescent="0.35">
      <c r="C1845">
        <f t="shared" si="29"/>
        <v>1905</v>
      </c>
      <c r="D1845" s="7">
        <v>1844</v>
      </c>
      <c r="E1845">
        <v>43.804900000000004</v>
      </c>
    </row>
    <row r="1846" spans="3:5" x14ac:dyDescent="0.35">
      <c r="C1846">
        <f t="shared" si="29"/>
        <v>1905</v>
      </c>
      <c r="D1846" s="7">
        <v>1845</v>
      </c>
      <c r="E1846">
        <v>46.102200000000003</v>
      </c>
    </row>
    <row r="1847" spans="3:5" x14ac:dyDescent="0.35">
      <c r="C1847">
        <f t="shared" si="29"/>
        <v>1905</v>
      </c>
      <c r="D1847" s="7">
        <v>1846</v>
      </c>
      <c r="E1847">
        <v>46.018099999999997</v>
      </c>
    </row>
    <row r="1848" spans="3:5" x14ac:dyDescent="0.35">
      <c r="C1848">
        <f t="shared" si="29"/>
        <v>1905</v>
      </c>
      <c r="D1848" s="7">
        <v>1847</v>
      </c>
      <c r="E1848">
        <v>46.904800000000002</v>
      </c>
    </row>
    <row r="1849" spans="3:5" x14ac:dyDescent="0.35">
      <c r="C1849">
        <f t="shared" si="29"/>
        <v>1905</v>
      </c>
      <c r="D1849" s="7">
        <v>1848</v>
      </c>
      <c r="E1849">
        <v>46.136699999999998</v>
      </c>
    </row>
    <row r="1850" spans="3:5" x14ac:dyDescent="0.35">
      <c r="C1850">
        <f t="shared" si="29"/>
        <v>1905</v>
      </c>
      <c r="D1850" s="7">
        <v>1849</v>
      </c>
      <c r="E1850">
        <v>46.0899</v>
      </c>
    </row>
    <row r="1851" spans="3:5" x14ac:dyDescent="0.35">
      <c r="C1851">
        <f t="shared" si="29"/>
        <v>1905</v>
      </c>
      <c r="D1851" s="7">
        <v>1850</v>
      </c>
      <c r="E1851">
        <v>47.196800000000003</v>
      </c>
    </row>
    <row r="1852" spans="3:5" x14ac:dyDescent="0.35">
      <c r="C1852">
        <f t="shared" si="29"/>
        <v>1905</v>
      </c>
      <c r="D1852" s="7">
        <v>1851</v>
      </c>
      <c r="E1852">
        <v>47.718499999999999</v>
      </c>
    </row>
    <row r="1853" spans="3:5" x14ac:dyDescent="0.35">
      <c r="C1853">
        <f t="shared" si="29"/>
        <v>1905</v>
      </c>
      <c r="D1853" s="7">
        <v>1852</v>
      </c>
      <c r="E1853">
        <v>47.279400000000003</v>
      </c>
    </row>
    <row r="1854" spans="3:5" x14ac:dyDescent="0.35">
      <c r="C1854">
        <f t="shared" si="29"/>
        <v>1905</v>
      </c>
      <c r="D1854" s="7">
        <v>1853</v>
      </c>
      <c r="E1854">
        <v>46.383899999999997</v>
      </c>
    </row>
    <row r="1855" spans="3:5" x14ac:dyDescent="0.35">
      <c r="C1855">
        <f t="shared" si="29"/>
        <v>1905</v>
      </c>
      <c r="D1855" s="7">
        <v>1854</v>
      </c>
      <c r="E1855">
        <v>45.854700000000001</v>
      </c>
    </row>
    <row r="1856" spans="3:5" x14ac:dyDescent="0.35">
      <c r="C1856">
        <f t="shared" si="29"/>
        <v>1905</v>
      </c>
      <c r="D1856" s="7">
        <v>1855</v>
      </c>
      <c r="E1856">
        <v>47.264200000000002</v>
      </c>
    </row>
    <row r="1857" spans="3:5" x14ac:dyDescent="0.35">
      <c r="C1857">
        <f t="shared" si="29"/>
        <v>1905</v>
      </c>
      <c r="D1857" s="7">
        <v>1856</v>
      </c>
      <c r="E1857">
        <v>49.215200000000003</v>
      </c>
    </row>
    <row r="1858" spans="3:5" x14ac:dyDescent="0.35">
      <c r="C1858">
        <f t="shared" si="29"/>
        <v>1905</v>
      </c>
      <c r="D1858" s="7">
        <v>1857</v>
      </c>
      <c r="E1858">
        <v>49.617699999999999</v>
      </c>
    </row>
    <row r="1859" spans="3:5" x14ac:dyDescent="0.35">
      <c r="C1859">
        <f t="shared" ref="C1859:C1922" si="30">YEAR(D1859)</f>
        <v>1905</v>
      </c>
      <c r="D1859" s="7">
        <v>1858</v>
      </c>
      <c r="E1859">
        <v>50.739899999999999</v>
      </c>
    </row>
    <row r="1860" spans="3:5" x14ac:dyDescent="0.35">
      <c r="C1860">
        <f t="shared" si="30"/>
        <v>1905</v>
      </c>
      <c r="D1860" s="7">
        <v>1859</v>
      </c>
      <c r="E1860">
        <v>50.0747</v>
      </c>
    </row>
    <row r="1861" spans="3:5" x14ac:dyDescent="0.35">
      <c r="C1861">
        <f t="shared" si="30"/>
        <v>1905</v>
      </c>
      <c r="D1861" s="7">
        <v>1860</v>
      </c>
      <c r="E1861">
        <v>49.837800000000001</v>
      </c>
    </row>
    <row r="1862" spans="3:5" x14ac:dyDescent="0.35">
      <c r="C1862">
        <f t="shared" si="30"/>
        <v>1905</v>
      </c>
      <c r="D1862" s="7">
        <v>1861</v>
      </c>
      <c r="E1862">
        <v>49.834099999999999</v>
      </c>
    </row>
    <row r="1863" spans="3:5" x14ac:dyDescent="0.35">
      <c r="C1863">
        <f t="shared" si="30"/>
        <v>1905</v>
      </c>
      <c r="D1863" s="7">
        <v>1862</v>
      </c>
      <c r="E1863">
        <v>49.749099999999999</v>
      </c>
    </row>
    <row r="1864" spans="3:5" x14ac:dyDescent="0.35">
      <c r="C1864">
        <f t="shared" si="30"/>
        <v>1905</v>
      </c>
      <c r="D1864" s="7">
        <v>1863</v>
      </c>
      <c r="E1864">
        <v>50.173099999999998</v>
      </c>
    </row>
    <row r="1865" spans="3:5" x14ac:dyDescent="0.35">
      <c r="C1865">
        <f t="shared" si="30"/>
        <v>1905</v>
      </c>
      <c r="D1865" s="7">
        <v>1864</v>
      </c>
      <c r="E1865">
        <v>51.464100000000002</v>
      </c>
    </row>
    <row r="1866" spans="3:5" x14ac:dyDescent="0.35">
      <c r="C1866">
        <f t="shared" si="30"/>
        <v>1905</v>
      </c>
      <c r="D1866" s="7">
        <v>1865</v>
      </c>
      <c r="E1866">
        <v>51.063800000000001</v>
      </c>
    </row>
    <row r="1867" spans="3:5" x14ac:dyDescent="0.35">
      <c r="C1867">
        <f t="shared" si="30"/>
        <v>1905</v>
      </c>
      <c r="D1867" s="7">
        <v>1866</v>
      </c>
      <c r="E1867">
        <v>50.914000000000001</v>
      </c>
    </row>
    <row r="1868" spans="3:5" x14ac:dyDescent="0.35">
      <c r="C1868">
        <f t="shared" si="30"/>
        <v>1905</v>
      </c>
      <c r="D1868" s="7">
        <v>1867</v>
      </c>
      <c r="E1868">
        <v>50.305399999999999</v>
      </c>
    </row>
    <row r="1869" spans="3:5" x14ac:dyDescent="0.35">
      <c r="C1869">
        <f t="shared" si="30"/>
        <v>1905</v>
      </c>
      <c r="D1869" s="7">
        <v>1868</v>
      </c>
      <c r="E1869">
        <v>51.3187</v>
      </c>
    </row>
    <row r="1870" spans="3:5" x14ac:dyDescent="0.35">
      <c r="C1870">
        <f t="shared" si="30"/>
        <v>1905</v>
      </c>
      <c r="D1870" s="7">
        <v>1869</v>
      </c>
      <c r="E1870">
        <v>51.233499999999999</v>
      </c>
    </row>
    <row r="1871" spans="3:5" x14ac:dyDescent="0.35">
      <c r="C1871">
        <f t="shared" si="30"/>
        <v>1905</v>
      </c>
      <c r="D1871" s="7">
        <v>1870</v>
      </c>
      <c r="E1871">
        <v>51.0916</v>
      </c>
    </row>
    <row r="1872" spans="3:5" x14ac:dyDescent="0.35">
      <c r="C1872">
        <f t="shared" si="30"/>
        <v>1905</v>
      </c>
      <c r="D1872" s="7">
        <v>1871</v>
      </c>
      <c r="E1872">
        <v>51.690100000000001</v>
      </c>
    </row>
    <row r="1873" spans="3:5" x14ac:dyDescent="0.35">
      <c r="C1873">
        <f t="shared" si="30"/>
        <v>1905</v>
      </c>
      <c r="D1873" s="7">
        <v>1872</v>
      </c>
      <c r="E1873">
        <v>52.402999999999999</v>
      </c>
    </row>
    <row r="1874" spans="3:5" x14ac:dyDescent="0.35">
      <c r="C1874">
        <f t="shared" si="30"/>
        <v>1905</v>
      </c>
      <c r="D1874" s="7">
        <v>1873</v>
      </c>
      <c r="E1874">
        <v>51.329599999999999</v>
      </c>
    </row>
    <row r="1875" spans="3:5" x14ac:dyDescent="0.35">
      <c r="C1875">
        <f t="shared" si="30"/>
        <v>1905</v>
      </c>
      <c r="D1875" s="7">
        <v>1874</v>
      </c>
      <c r="E1875">
        <v>53.204099999999997</v>
      </c>
    </row>
    <row r="1876" spans="3:5" x14ac:dyDescent="0.35">
      <c r="C1876">
        <f t="shared" si="30"/>
        <v>1905</v>
      </c>
      <c r="D1876" s="7">
        <v>1875</v>
      </c>
      <c r="E1876">
        <v>52.728000000000002</v>
      </c>
    </row>
    <row r="1877" spans="3:5" x14ac:dyDescent="0.35">
      <c r="C1877">
        <f t="shared" si="30"/>
        <v>1905</v>
      </c>
      <c r="D1877" s="7">
        <v>1876</v>
      </c>
      <c r="E1877">
        <v>52.587899999999998</v>
      </c>
    </row>
    <row r="1878" spans="3:5" x14ac:dyDescent="0.35">
      <c r="C1878">
        <f t="shared" si="30"/>
        <v>1905</v>
      </c>
      <c r="D1878" s="7">
        <v>1877</v>
      </c>
      <c r="E1878">
        <v>53.665999999999997</v>
      </c>
    </row>
    <row r="1879" spans="3:5" x14ac:dyDescent="0.35">
      <c r="C1879">
        <f t="shared" si="30"/>
        <v>1905</v>
      </c>
      <c r="D1879" s="7">
        <v>1878</v>
      </c>
      <c r="E1879">
        <v>54.765300000000003</v>
      </c>
    </row>
    <row r="1880" spans="3:5" x14ac:dyDescent="0.35">
      <c r="C1880">
        <f t="shared" si="30"/>
        <v>1905</v>
      </c>
      <c r="D1880" s="7">
        <v>1879</v>
      </c>
      <c r="E1880">
        <v>55.322200000000002</v>
      </c>
    </row>
    <row r="1881" spans="3:5" x14ac:dyDescent="0.35">
      <c r="C1881">
        <f t="shared" si="30"/>
        <v>1905</v>
      </c>
      <c r="D1881" s="7">
        <v>1880</v>
      </c>
      <c r="E1881">
        <v>55.398600000000002</v>
      </c>
    </row>
    <row r="1882" spans="3:5" x14ac:dyDescent="0.35">
      <c r="C1882">
        <f t="shared" si="30"/>
        <v>1905</v>
      </c>
      <c r="D1882" s="7">
        <v>1881</v>
      </c>
      <c r="E1882">
        <v>56.510599999999997</v>
      </c>
    </row>
    <row r="1883" spans="3:5" x14ac:dyDescent="0.35">
      <c r="C1883">
        <f t="shared" si="30"/>
        <v>1905</v>
      </c>
      <c r="D1883" s="7">
        <v>1882</v>
      </c>
      <c r="E1883">
        <v>55.597200000000001</v>
      </c>
    </row>
    <row r="1884" spans="3:5" x14ac:dyDescent="0.35">
      <c r="C1884">
        <f t="shared" si="30"/>
        <v>1905</v>
      </c>
      <c r="D1884" s="7">
        <v>1883</v>
      </c>
      <c r="E1884">
        <v>57.262999999999998</v>
      </c>
    </row>
    <row r="1885" spans="3:5" x14ac:dyDescent="0.35">
      <c r="C1885">
        <f t="shared" si="30"/>
        <v>1905</v>
      </c>
      <c r="D1885" s="7">
        <v>1884</v>
      </c>
      <c r="E1885">
        <v>58.4893</v>
      </c>
    </row>
    <row r="1886" spans="3:5" x14ac:dyDescent="0.35">
      <c r="C1886">
        <f t="shared" si="30"/>
        <v>1905</v>
      </c>
      <c r="D1886" s="7">
        <v>1885</v>
      </c>
      <c r="E1886">
        <v>58.957299999999996</v>
      </c>
    </row>
    <row r="1887" spans="3:5" x14ac:dyDescent="0.35">
      <c r="C1887">
        <f t="shared" si="30"/>
        <v>1905</v>
      </c>
      <c r="D1887" s="7">
        <v>1886</v>
      </c>
      <c r="E1887">
        <v>58.625399999999999</v>
      </c>
    </row>
    <row r="1888" spans="3:5" x14ac:dyDescent="0.35">
      <c r="C1888">
        <f t="shared" si="30"/>
        <v>1905</v>
      </c>
      <c r="D1888" s="7">
        <v>1887</v>
      </c>
      <c r="E1888">
        <v>59.558399999999999</v>
      </c>
    </row>
    <row r="1889" spans="3:5" x14ac:dyDescent="0.35">
      <c r="C1889">
        <f t="shared" si="30"/>
        <v>1905</v>
      </c>
      <c r="D1889" s="7">
        <v>1888</v>
      </c>
      <c r="E1889">
        <v>61.456699999999998</v>
      </c>
    </row>
    <row r="1890" spans="3:5" x14ac:dyDescent="0.35">
      <c r="C1890">
        <f t="shared" si="30"/>
        <v>1905</v>
      </c>
      <c r="D1890" s="7">
        <v>1889</v>
      </c>
      <c r="E1890">
        <v>60.735799999999998</v>
      </c>
    </row>
    <row r="1891" spans="3:5" x14ac:dyDescent="0.35">
      <c r="C1891">
        <f t="shared" si="30"/>
        <v>1905</v>
      </c>
      <c r="D1891" s="7">
        <v>1890</v>
      </c>
      <c r="E1891">
        <v>62.7624</v>
      </c>
    </row>
    <row r="1892" spans="3:5" x14ac:dyDescent="0.35">
      <c r="C1892">
        <f t="shared" si="30"/>
        <v>1905</v>
      </c>
      <c r="D1892" s="7">
        <v>1891</v>
      </c>
      <c r="E1892">
        <v>62.789499999999997</v>
      </c>
    </row>
    <row r="1893" spans="3:5" x14ac:dyDescent="0.35">
      <c r="C1893">
        <f t="shared" si="30"/>
        <v>1905</v>
      </c>
      <c r="D1893" s="7">
        <v>1892</v>
      </c>
      <c r="E1893">
        <v>63.833599999999997</v>
      </c>
    </row>
    <row r="1894" spans="3:5" x14ac:dyDescent="0.35">
      <c r="C1894">
        <f t="shared" si="30"/>
        <v>1905</v>
      </c>
      <c r="D1894" s="7">
        <v>1893</v>
      </c>
      <c r="E1894">
        <v>62.923000000000002</v>
      </c>
    </row>
    <row r="1895" spans="3:5" x14ac:dyDescent="0.35">
      <c r="C1895">
        <f t="shared" si="30"/>
        <v>1905</v>
      </c>
      <c r="D1895" s="7">
        <v>1894</v>
      </c>
      <c r="E1895">
        <v>63.709099999999999</v>
      </c>
    </row>
    <row r="1896" spans="3:5" x14ac:dyDescent="0.35">
      <c r="C1896">
        <f t="shared" si="30"/>
        <v>1905</v>
      </c>
      <c r="D1896" s="7">
        <v>1895</v>
      </c>
      <c r="E1896">
        <v>62.019799999999996</v>
      </c>
    </row>
    <row r="1897" spans="3:5" x14ac:dyDescent="0.35">
      <c r="C1897">
        <f t="shared" si="30"/>
        <v>1905</v>
      </c>
      <c r="D1897" s="7">
        <v>1896</v>
      </c>
      <c r="E1897">
        <v>62.155500000000004</v>
      </c>
    </row>
    <row r="1898" spans="3:5" x14ac:dyDescent="0.35">
      <c r="C1898">
        <f t="shared" si="30"/>
        <v>1905</v>
      </c>
      <c r="D1898" s="7">
        <v>1897</v>
      </c>
      <c r="E1898">
        <v>62.092500000000001</v>
      </c>
    </row>
    <row r="1899" spans="3:5" x14ac:dyDescent="0.35">
      <c r="C1899">
        <f t="shared" si="30"/>
        <v>1905</v>
      </c>
      <c r="D1899" s="7">
        <v>1898</v>
      </c>
      <c r="E1899">
        <v>61.424799999999998</v>
      </c>
    </row>
    <row r="1900" spans="3:5" x14ac:dyDescent="0.35">
      <c r="C1900">
        <f t="shared" si="30"/>
        <v>1905</v>
      </c>
      <c r="D1900" s="7">
        <v>1899</v>
      </c>
      <c r="E1900">
        <v>60.5989</v>
      </c>
    </row>
    <row r="1901" spans="3:5" x14ac:dyDescent="0.35">
      <c r="C1901">
        <f t="shared" si="30"/>
        <v>1905</v>
      </c>
      <c r="D1901" s="7">
        <v>1900</v>
      </c>
      <c r="E1901">
        <v>61.344200000000001</v>
      </c>
    </row>
    <row r="1902" spans="3:5" x14ac:dyDescent="0.35">
      <c r="C1902">
        <f t="shared" si="30"/>
        <v>1905</v>
      </c>
      <c r="D1902" s="7">
        <v>1901</v>
      </c>
      <c r="E1902">
        <v>60.047499999999999</v>
      </c>
    </row>
    <row r="1903" spans="3:5" x14ac:dyDescent="0.35">
      <c r="C1903">
        <f t="shared" si="30"/>
        <v>1905</v>
      </c>
      <c r="D1903" s="7">
        <v>1902</v>
      </c>
      <c r="E1903">
        <v>61.386499999999998</v>
      </c>
    </row>
    <row r="1904" spans="3:5" x14ac:dyDescent="0.35">
      <c r="C1904">
        <f t="shared" si="30"/>
        <v>1905</v>
      </c>
      <c r="D1904" s="7">
        <v>1903</v>
      </c>
      <c r="E1904">
        <v>60.030500000000004</v>
      </c>
    </row>
    <row r="1905" spans="3:5" x14ac:dyDescent="0.35">
      <c r="C1905">
        <f t="shared" si="30"/>
        <v>1905</v>
      </c>
      <c r="D1905" s="7">
        <v>1904</v>
      </c>
      <c r="E1905">
        <v>60.023099999999999</v>
      </c>
    </row>
    <row r="1906" spans="3:5" x14ac:dyDescent="0.35">
      <c r="C1906">
        <f t="shared" si="30"/>
        <v>1905</v>
      </c>
      <c r="D1906" s="7">
        <v>1905</v>
      </c>
      <c r="E1906">
        <v>60.124200000000002</v>
      </c>
    </row>
    <row r="1907" spans="3:5" x14ac:dyDescent="0.35">
      <c r="C1907">
        <f t="shared" si="30"/>
        <v>1905</v>
      </c>
      <c r="D1907" s="7">
        <v>1906</v>
      </c>
      <c r="E1907">
        <v>61.948599999999999</v>
      </c>
    </row>
    <row r="1908" spans="3:5" x14ac:dyDescent="0.35">
      <c r="C1908">
        <f t="shared" si="30"/>
        <v>1905</v>
      </c>
      <c r="D1908" s="7">
        <v>1907</v>
      </c>
      <c r="E1908">
        <v>63.475099999999998</v>
      </c>
    </row>
    <row r="1909" spans="3:5" x14ac:dyDescent="0.35">
      <c r="C1909">
        <f t="shared" si="30"/>
        <v>1905</v>
      </c>
      <c r="D1909" s="7">
        <v>1908</v>
      </c>
      <c r="E1909">
        <v>63.492199999999997</v>
      </c>
    </row>
    <row r="1910" spans="3:5" x14ac:dyDescent="0.35">
      <c r="C1910">
        <f t="shared" si="30"/>
        <v>1905</v>
      </c>
      <c r="D1910" s="7">
        <v>1909</v>
      </c>
      <c r="E1910">
        <v>61.735599999999998</v>
      </c>
    </row>
    <row r="1911" spans="3:5" x14ac:dyDescent="0.35">
      <c r="C1911">
        <f t="shared" si="30"/>
        <v>1905</v>
      </c>
      <c r="D1911" s="7">
        <v>1910</v>
      </c>
      <c r="E1911">
        <v>60.528399999999998</v>
      </c>
    </row>
    <row r="1912" spans="3:5" x14ac:dyDescent="0.35">
      <c r="C1912">
        <f t="shared" si="30"/>
        <v>1905</v>
      </c>
      <c r="D1912" s="7">
        <v>1911</v>
      </c>
      <c r="E1912">
        <v>61.371099999999998</v>
      </c>
    </row>
    <row r="1913" spans="3:5" x14ac:dyDescent="0.35">
      <c r="C1913">
        <f t="shared" si="30"/>
        <v>1905</v>
      </c>
      <c r="D1913" s="7">
        <v>1912</v>
      </c>
      <c r="E1913">
        <v>65.117099999999994</v>
      </c>
    </row>
    <row r="1914" spans="3:5" x14ac:dyDescent="0.35">
      <c r="C1914">
        <f t="shared" si="30"/>
        <v>1905</v>
      </c>
      <c r="D1914" s="7">
        <v>1913</v>
      </c>
      <c r="E1914">
        <v>64.282700000000006</v>
      </c>
    </row>
    <row r="1915" spans="3:5" x14ac:dyDescent="0.35">
      <c r="C1915">
        <f t="shared" si="30"/>
        <v>1905</v>
      </c>
      <c r="D1915" s="7">
        <v>1914</v>
      </c>
      <c r="E1915">
        <v>64.059899999999999</v>
      </c>
    </row>
    <row r="1916" spans="3:5" x14ac:dyDescent="0.35">
      <c r="C1916">
        <f t="shared" si="30"/>
        <v>1905</v>
      </c>
      <c r="D1916" s="7">
        <v>1915</v>
      </c>
      <c r="E1916">
        <v>63.953200000000002</v>
      </c>
    </row>
    <row r="1917" spans="3:5" x14ac:dyDescent="0.35">
      <c r="C1917">
        <f t="shared" si="30"/>
        <v>1905</v>
      </c>
      <c r="D1917" s="7">
        <v>1916</v>
      </c>
      <c r="E1917">
        <v>63.480600000000003</v>
      </c>
    </row>
    <row r="1918" spans="3:5" x14ac:dyDescent="0.35">
      <c r="C1918">
        <f t="shared" si="30"/>
        <v>1905</v>
      </c>
      <c r="D1918" s="7">
        <v>1917</v>
      </c>
      <c r="E1918">
        <v>64.343599999999995</v>
      </c>
    </row>
    <row r="1919" spans="3:5" x14ac:dyDescent="0.35">
      <c r="C1919">
        <f t="shared" si="30"/>
        <v>1905</v>
      </c>
      <c r="D1919" s="7">
        <v>1918</v>
      </c>
      <c r="E1919">
        <v>66.181100000000001</v>
      </c>
    </row>
    <row r="1920" spans="3:5" x14ac:dyDescent="0.35">
      <c r="C1920">
        <f t="shared" si="30"/>
        <v>1905</v>
      </c>
      <c r="D1920" s="7">
        <v>1919</v>
      </c>
      <c r="E1920">
        <v>65.301400000000001</v>
      </c>
    </row>
    <row r="1921" spans="3:5" x14ac:dyDescent="0.35">
      <c r="C1921">
        <f t="shared" si="30"/>
        <v>1905</v>
      </c>
      <c r="D1921" s="7">
        <v>1920</v>
      </c>
      <c r="E1921">
        <v>66.101699999999994</v>
      </c>
    </row>
    <row r="1922" spans="3:5" x14ac:dyDescent="0.35">
      <c r="C1922">
        <f t="shared" si="30"/>
        <v>1905</v>
      </c>
      <c r="D1922" s="7">
        <v>1921</v>
      </c>
      <c r="E1922">
        <v>66.698400000000007</v>
      </c>
    </row>
    <row r="1923" spans="3:5" x14ac:dyDescent="0.35">
      <c r="C1923">
        <f t="shared" ref="C1923:C1986" si="31">YEAR(D1923)</f>
        <v>1905</v>
      </c>
      <c r="D1923" s="7">
        <v>1922</v>
      </c>
      <c r="E1923">
        <v>68.174400000000006</v>
      </c>
    </row>
    <row r="1924" spans="3:5" x14ac:dyDescent="0.35">
      <c r="C1924">
        <f t="shared" si="31"/>
        <v>1905</v>
      </c>
      <c r="D1924" s="7">
        <v>1923</v>
      </c>
      <c r="E1924">
        <v>66.965100000000007</v>
      </c>
    </row>
    <row r="1925" spans="3:5" x14ac:dyDescent="0.35">
      <c r="C1925">
        <f t="shared" si="31"/>
        <v>1905</v>
      </c>
      <c r="D1925" s="7">
        <v>1924</v>
      </c>
      <c r="E1925">
        <v>67.363</v>
      </c>
    </row>
    <row r="1926" spans="3:5" x14ac:dyDescent="0.35">
      <c r="C1926">
        <f t="shared" si="31"/>
        <v>1905</v>
      </c>
      <c r="D1926" s="7">
        <v>1925</v>
      </c>
      <c r="E1926">
        <v>66.753900000000002</v>
      </c>
    </row>
    <row r="1927" spans="3:5" x14ac:dyDescent="0.35">
      <c r="C1927">
        <f t="shared" si="31"/>
        <v>1905</v>
      </c>
      <c r="D1927" s="7">
        <v>1926</v>
      </c>
      <c r="E1927">
        <v>66.421099999999996</v>
      </c>
    </row>
    <row r="1928" spans="3:5" x14ac:dyDescent="0.35">
      <c r="C1928">
        <f t="shared" si="31"/>
        <v>1905</v>
      </c>
      <c r="D1928" s="7">
        <v>1927</v>
      </c>
      <c r="E1928">
        <v>65.731700000000004</v>
      </c>
    </row>
    <row r="1929" spans="3:5" x14ac:dyDescent="0.35">
      <c r="C1929">
        <f t="shared" si="31"/>
        <v>1905</v>
      </c>
      <c r="D1929" s="7">
        <v>1928</v>
      </c>
      <c r="E1929">
        <v>66.694699999999997</v>
      </c>
    </row>
    <row r="1930" spans="3:5" x14ac:dyDescent="0.35">
      <c r="C1930">
        <f t="shared" si="31"/>
        <v>1905</v>
      </c>
      <c r="D1930" s="7">
        <v>1929</v>
      </c>
      <c r="E1930">
        <v>67.711299999999994</v>
      </c>
    </row>
    <row r="1931" spans="3:5" x14ac:dyDescent="0.35">
      <c r="C1931">
        <f t="shared" si="31"/>
        <v>1905</v>
      </c>
      <c r="D1931" s="7">
        <v>1930</v>
      </c>
      <c r="E1931">
        <v>67.163300000000007</v>
      </c>
    </row>
    <row r="1932" spans="3:5" x14ac:dyDescent="0.35">
      <c r="C1932">
        <f t="shared" si="31"/>
        <v>1905</v>
      </c>
      <c r="D1932" s="7">
        <v>1931</v>
      </c>
      <c r="E1932">
        <v>70.122</v>
      </c>
    </row>
    <row r="1933" spans="3:5" x14ac:dyDescent="0.35">
      <c r="C1933">
        <f t="shared" si="31"/>
        <v>1905</v>
      </c>
      <c r="D1933" s="7">
        <v>1932</v>
      </c>
      <c r="E1933">
        <v>71.874399999999994</v>
      </c>
    </row>
    <row r="1934" spans="3:5" x14ac:dyDescent="0.35">
      <c r="C1934">
        <f t="shared" si="31"/>
        <v>1905</v>
      </c>
      <c r="D1934" s="7">
        <v>1933</v>
      </c>
      <c r="E1934">
        <v>68.674599999999998</v>
      </c>
    </row>
    <row r="1935" spans="3:5" x14ac:dyDescent="0.35">
      <c r="C1935">
        <f t="shared" si="31"/>
        <v>1905</v>
      </c>
      <c r="D1935" s="7">
        <v>1934</v>
      </c>
      <c r="E1935">
        <v>67.346599999999995</v>
      </c>
    </row>
    <row r="1936" spans="3:5" x14ac:dyDescent="0.35">
      <c r="C1936">
        <f t="shared" si="31"/>
        <v>1905</v>
      </c>
      <c r="D1936" s="7">
        <v>1935</v>
      </c>
      <c r="E1936">
        <v>67.330699999999993</v>
      </c>
    </row>
    <row r="1937" spans="3:5" x14ac:dyDescent="0.35">
      <c r="C1937">
        <f t="shared" si="31"/>
        <v>1905</v>
      </c>
      <c r="D1937" s="7">
        <v>1936</v>
      </c>
      <c r="E1937">
        <v>64.145700000000005</v>
      </c>
    </row>
    <row r="1938" spans="3:5" x14ac:dyDescent="0.35">
      <c r="C1938">
        <f t="shared" si="31"/>
        <v>1905</v>
      </c>
      <c r="D1938" s="7">
        <v>1937</v>
      </c>
      <c r="E1938">
        <v>62.868499999999997</v>
      </c>
    </row>
    <row r="1939" spans="3:5" x14ac:dyDescent="0.35">
      <c r="C1939">
        <f t="shared" si="31"/>
        <v>1905</v>
      </c>
      <c r="D1939" s="7">
        <v>1938</v>
      </c>
      <c r="E1939">
        <v>63.342599999999997</v>
      </c>
    </row>
    <row r="1940" spans="3:5" x14ac:dyDescent="0.35">
      <c r="C1940">
        <f t="shared" si="31"/>
        <v>1905</v>
      </c>
      <c r="D1940" s="7">
        <v>1939</v>
      </c>
      <c r="E1940">
        <v>63.536900000000003</v>
      </c>
    </row>
    <row r="1941" spans="3:5" x14ac:dyDescent="0.35">
      <c r="C1941">
        <f t="shared" si="31"/>
        <v>1905</v>
      </c>
      <c r="D1941" s="7">
        <v>1940</v>
      </c>
      <c r="E1941">
        <v>64.3429</v>
      </c>
    </row>
    <row r="1942" spans="3:5" x14ac:dyDescent="0.35">
      <c r="C1942">
        <f t="shared" si="31"/>
        <v>1905</v>
      </c>
      <c r="D1942" s="7">
        <v>1941</v>
      </c>
      <c r="E1942">
        <v>59.652799999999999</v>
      </c>
    </row>
    <row r="1943" spans="3:5" x14ac:dyDescent="0.35">
      <c r="C1943">
        <f t="shared" si="31"/>
        <v>1905</v>
      </c>
      <c r="D1943" s="7">
        <v>1942</v>
      </c>
      <c r="E1943">
        <v>60.908700000000003</v>
      </c>
    </row>
    <row r="1944" spans="3:5" x14ac:dyDescent="0.35">
      <c r="C1944">
        <f t="shared" si="31"/>
        <v>1905</v>
      </c>
      <c r="D1944" s="7">
        <v>1943</v>
      </c>
      <c r="E1944">
        <v>58.849299999999999</v>
      </c>
    </row>
    <row r="1945" spans="3:5" x14ac:dyDescent="0.35">
      <c r="C1945">
        <f t="shared" si="31"/>
        <v>1905</v>
      </c>
      <c r="D1945" s="7">
        <v>1944</v>
      </c>
      <c r="E1945">
        <v>60.26</v>
      </c>
    </row>
    <row r="1946" spans="3:5" x14ac:dyDescent="0.35">
      <c r="C1946">
        <f t="shared" si="31"/>
        <v>1905</v>
      </c>
      <c r="D1946" s="7">
        <v>1945</v>
      </c>
      <c r="E1946">
        <v>59.683599999999998</v>
      </c>
    </row>
    <row r="1947" spans="3:5" x14ac:dyDescent="0.35">
      <c r="C1947">
        <f t="shared" si="31"/>
        <v>1905</v>
      </c>
      <c r="D1947" s="7">
        <v>1946</v>
      </c>
      <c r="E1947">
        <v>62.157400000000003</v>
      </c>
    </row>
    <row r="1948" spans="3:5" x14ac:dyDescent="0.35">
      <c r="C1948">
        <f t="shared" si="31"/>
        <v>1905</v>
      </c>
      <c r="D1948" s="7">
        <v>1947</v>
      </c>
      <c r="E1948">
        <v>61.3063</v>
      </c>
    </row>
    <row r="1949" spans="3:5" x14ac:dyDescent="0.35">
      <c r="C1949">
        <f t="shared" si="31"/>
        <v>1905</v>
      </c>
      <c r="D1949" s="7">
        <v>1948</v>
      </c>
      <c r="E1949">
        <v>62.7288</v>
      </c>
    </row>
    <row r="1950" spans="3:5" x14ac:dyDescent="0.35">
      <c r="C1950">
        <f t="shared" si="31"/>
        <v>1905</v>
      </c>
      <c r="D1950" s="7">
        <v>1949</v>
      </c>
      <c r="E1950">
        <v>62.649299999999997</v>
      </c>
    </row>
    <row r="1951" spans="3:5" x14ac:dyDescent="0.35">
      <c r="C1951">
        <f t="shared" si="31"/>
        <v>1905</v>
      </c>
      <c r="D1951" s="7">
        <v>1950</v>
      </c>
      <c r="E1951">
        <v>63.351300000000002</v>
      </c>
    </row>
    <row r="1952" spans="3:5" x14ac:dyDescent="0.35">
      <c r="C1952">
        <f t="shared" si="31"/>
        <v>1905</v>
      </c>
      <c r="D1952" s="7">
        <v>1951</v>
      </c>
      <c r="E1952">
        <v>55.186</v>
      </c>
    </row>
    <row r="1953" spans="3:5" x14ac:dyDescent="0.35">
      <c r="C1953">
        <f t="shared" si="31"/>
        <v>1905</v>
      </c>
      <c r="D1953" s="7">
        <v>1952</v>
      </c>
      <c r="E1953">
        <v>56.314300000000003</v>
      </c>
    </row>
    <row r="1954" spans="3:5" x14ac:dyDescent="0.35">
      <c r="C1954">
        <f t="shared" si="31"/>
        <v>1905</v>
      </c>
      <c r="D1954" s="7">
        <v>1953</v>
      </c>
      <c r="E1954">
        <v>57.753399999999999</v>
      </c>
    </row>
    <row r="1955" spans="3:5" x14ac:dyDescent="0.35">
      <c r="C1955">
        <f t="shared" si="31"/>
        <v>1905</v>
      </c>
      <c r="D1955" s="7">
        <v>1954</v>
      </c>
      <c r="E1955">
        <v>60.247900000000001</v>
      </c>
    </row>
    <row r="1956" spans="3:5" x14ac:dyDescent="0.35">
      <c r="C1956">
        <f t="shared" si="31"/>
        <v>1905</v>
      </c>
      <c r="D1956" s="7">
        <v>1955</v>
      </c>
      <c r="E1956">
        <v>59.797800000000002</v>
      </c>
    </row>
    <row r="1957" spans="3:5" x14ac:dyDescent="0.35">
      <c r="C1957">
        <f t="shared" si="31"/>
        <v>1905</v>
      </c>
      <c r="D1957" s="7">
        <v>1956</v>
      </c>
      <c r="E1957">
        <v>61.499600000000001</v>
      </c>
    </row>
    <row r="1958" spans="3:5" x14ac:dyDescent="0.35">
      <c r="C1958">
        <f t="shared" si="31"/>
        <v>1905</v>
      </c>
      <c r="D1958" s="7">
        <v>1957</v>
      </c>
      <c r="E1958">
        <v>63.109099999999998</v>
      </c>
    </row>
    <row r="1959" spans="3:5" x14ac:dyDescent="0.35">
      <c r="C1959">
        <f t="shared" si="31"/>
        <v>1905</v>
      </c>
      <c r="D1959" s="7">
        <v>1958</v>
      </c>
      <c r="E1959">
        <v>63.649500000000003</v>
      </c>
    </row>
    <row r="1960" spans="3:5" x14ac:dyDescent="0.35">
      <c r="C1960">
        <f t="shared" si="31"/>
        <v>1905</v>
      </c>
      <c r="D1960" s="7">
        <v>1959</v>
      </c>
      <c r="E1960">
        <v>65.404499999999999</v>
      </c>
    </row>
    <row r="1961" spans="3:5" x14ac:dyDescent="0.35">
      <c r="C1961">
        <f t="shared" si="31"/>
        <v>1905</v>
      </c>
      <c r="D1961" s="7">
        <v>1960</v>
      </c>
      <c r="E1961">
        <v>65.865899999999996</v>
      </c>
    </row>
    <row r="1962" spans="3:5" x14ac:dyDescent="0.35">
      <c r="C1962">
        <f t="shared" si="31"/>
        <v>1905</v>
      </c>
      <c r="D1962" s="7">
        <v>1961</v>
      </c>
      <c r="E1962">
        <v>65.207899999999995</v>
      </c>
    </row>
    <row r="1963" spans="3:5" x14ac:dyDescent="0.35">
      <c r="C1963">
        <f t="shared" si="31"/>
        <v>1905</v>
      </c>
      <c r="D1963" s="7">
        <v>1962</v>
      </c>
      <c r="E1963">
        <v>64.912899999999993</v>
      </c>
    </row>
    <row r="1964" spans="3:5" x14ac:dyDescent="0.35">
      <c r="C1964">
        <f t="shared" si="31"/>
        <v>1905</v>
      </c>
      <c r="D1964" s="7">
        <v>1963</v>
      </c>
      <c r="E1964">
        <v>65.513400000000004</v>
      </c>
    </row>
    <row r="1965" spans="3:5" x14ac:dyDescent="0.35">
      <c r="C1965">
        <f t="shared" si="31"/>
        <v>1905</v>
      </c>
      <c r="D1965" s="7">
        <v>1964</v>
      </c>
      <c r="E1965">
        <v>64.500100000000003</v>
      </c>
    </row>
    <row r="1966" spans="3:5" x14ac:dyDescent="0.35">
      <c r="C1966">
        <f t="shared" si="31"/>
        <v>1905</v>
      </c>
      <c r="D1966" s="7">
        <v>1965</v>
      </c>
      <c r="E1966">
        <v>64.857299999999995</v>
      </c>
    </row>
    <row r="1967" spans="3:5" x14ac:dyDescent="0.35">
      <c r="C1967">
        <f t="shared" si="31"/>
        <v>1905</v>
      </c>
      <c r="D1967" s="7">
        <v>1966</v>
      </c>
      <c r="E1967">
        <v>65.814999999999998</v>
      </c>
    </row>
    <row r="1968" spans="3:5" x14ac:dyDescent="0.35">
      <c r="C1968">
        <f t="shared" si="31"/>
        <v>1905</v>
      </c>
      <c r="D1968" s="7">
        <v>1967</v>
      </c>
      <c r="E1968">
        <v>67.461200000000005</v>
      </c>
    </row>
    <row r="1969" spans="3:5" x14ac:dyDescent="0.35">
      <c r="C1969">
        <f t="shared" si="31"/>
        <v>1905</v>
      </c>
      <c r="D1969" s="7">
        <v>1968</v>
      </c>
      <c r="E1969">
        <v>67.745199999999997</v>
      </c>
    </row>
    <row r="1970" spans="3:5" x14ac:dyDescent="0.35">
      <c r="C1970">
        <f t="shared" si="31"/>
        <v>1905</v>
      </c>
      <c r="D1970" s="7">
        <v>1969</v>
      </c>
      <c r="E1970">
        <v>66.958399999999997</v>
      </c>
    </row>
    <row r="1971" spans="3:5" x14ac:dyDescent="0.35">
      <c r="C1971">
        <f t="shared" si="31"/>
        <v>1905</v>
      </c>
      <c r="D1971" s="7">
        <v>1970</v>
      </c>
      <c r="E1971">
        <v>67.421199999999999</v>
      </c>
    </row>
    <row r="1972" spans="3:5" x14ac:dyDescent="0.35">
      <c r="C1972">
        <f t="shared" si="31"/>
        <v>1905</v>
      </c>
      <c r="D1972" s="7">
        <v>1971</v>
      </c>
      <c r="E1972">
        <v>69.214799999999997</v>
      </c>
    </row>
    <row r="1973" spans="3:5" x14ac:dyDescent="0.35">
      <c r="C1973">
        <f t="shared" si="31"/>
        <v>1905</v>
      </c>
      <c r="D1973" s="7">
        <v>1972</v>
      </c>
      <c r="E1973">
        <v>67.525199999999998</v>
      </c>
    </row>
    <row r="1974" spans="3:5" x14ac:dyDescent="0.35">
      <c r="C1974">
        <f t="shared" si="31"/>
        <v>1905</v>
      </c>
      <c r="D1974" s="7">
        <v>1973</v>
      </c>
      <c r="E1974">
        <v>65.940100000000001</v>
      </c>
    </row>
    <row r="1975" spans="3:5" x14ac:dyDescent="0.35">
      <c r="C1975">
        <f t="shared" si="31"/>
        <v>1905</v>
      </c>
      <c r="D1975" s="7">
        <v>1974</v>
      </c>
      <c r="E1975">
        <v>65.781000000000006</v>
      </c>
    </row>
    <row r="1976" spans="3:5" x14ac:dyDescent="0.35">
      <c r="C1976">
        <f t="shared" si="31"/>
        <v>1905</v>
      </c>
      <c r="D1976" s="7">
        <v>1975</v>
      </c>
      <c r="E1976">
        <v>63.374499999999998</v>
      </c>
    </row>
    <row r="1977" spans="3:5" x14ac:dyDescent="0.35">
      <c r="C1977">
        <f t="shared" si="31"/>
        <v>1905</v>
      </c>
      <c r="D1977" s="7">
        <v>1976</v>
      </c>
      <c r="E1977">
        <v>61.790900000000001</v>
      </c>
    </row>
    <row r="1978" spans="3:5" x14ac:dyDescent="0.35">
      <c r="C1978">
        <f t="shared" si="31"/>
        <v>1905</v>
      </c>
      <c r="D1978" s="7">
        <v>1977</v>
      </c>
      <c r="E1978">
        <v>65.501099999999994</v>
      </c>
    </row>
    <row r="1979" spans="3:5" x14ac:dyDescent="0.35">
      <c r="C1979">
        <f t="shared" si="31"/>
        <v>1905</v>
      </c>
      <c r="D1979" s="7">
        <v>1978</v>
      </c>
      <c r="E1979">
        <v>63.323799999999999</v>
      </c>
    </row>
    <row r="1980" spans="3:5" x14ac:dyDescent="0.35">
      <c r="C1980">
        <f t="shared" si="31"/>
        <v>1905</v>
      </c>
      <c r="D1980" s="7">
        <v>1979</v>
      </c>
      <c r="E1980">
        <v>64.992099999999994</v>
      </c>
    </row>
    <row r="1981" spans="3:5" x14ac:dyDescent="0.35">
      <c r="C1981">
        <f t="shared" si="31"/>
        <v>1905</v>
      </c>
      <c r="D1981" s="7">
        <v>1980</v>
      </c>
      <c r="E1981">
        <v>64.786199999999994</v>
      </c>
    </row>
    <row r="1982" spans="3:5" x14ac:dyDescent="0.35">
      <c r="C1982">
        <f t="shared" si="31"/>
        <v>1905</v>
      </c>
      <c r="D1982" s="7">
        <v>1981</v>
      </c>
      <c r="E1982">
        <v>66.778000000000006</v>
      </c>
    </row>
    <row r="1983" spans="3:5" x14ac:dyDescent="0.35">
      <c r="C1983">
        <f t="shared" si="31"/>
        <v>1905</v>
      </c>
      <c r="D1983" s="7">
        <v>1982</v>
      </c>
      <c r="E1983">
        <v>67.494</v>
      </c>
    </row>
    <row r="1984" spans="3:5" x14ac:dyDescent="0.35">
      <c r="C1984">
        <f t="shared" si="31"/>
        <v>1905</v>
      </c>
      <c r="D1984" s="7">
        <v>1983</v>
      </c>
      <c r="E1984">
        <v>70.214299999999994</v>
      </c>
    </row>
    <row r="1985" spans="3:5" x14ac:dyDescent="0.35">
      <c r="C1985">
        <f t="shared" si="31"/>
        <v>1905</v>
      </c>
      <c r="D1985" s="7">
        <v>1984</v>
      </c>
      <c r="E1985">
        <v>72.047600000000003</v>
      </c>
    </row>
    <row r="1986" spans="3:5" x14ac:dyDescent="0.35">
      <c r="C1986">
        <f t="shared" si="31"/>
        <v>1905</v>
      </c>
      <c r="D1986" s="7">
        <v>1985</v>
      </c>
      <c r="E1986">
        <v>68.778000000000006</v>
      </c>
    </row>
    <row r="1987" spans="3:5" x14ac:dyDescent="0.35">
      <c r="C1987">
        <f t="shared" ref="C1987:C2050" si="32">YEAR(D1987)</f>
        <v>1905</v>
      </c>
      <c r="D1987" s="7">
        <v>1986</v>
      </c>
      <c r="E1987">
        <v>72.819199999999995</v>
      </c>
    </row>
    <row r="1988" spans="3:5" x14ac:dyDescent="0.35">
      <c r="C1988">
        <f t="shared" si="32"/>
        <v>1905</v>
      </c>
      <c r="D1988" s="7">
        <v>1987</v>
      </c>
      <c r="E1988">
        <v>75.707899999999995</v>
      </c>
    </row>
    <row r="1989" spans="3:5" x14ac:dyDescent="0.35">
      <c r="C1989">
        <f t="shared" si="32"/>
        <v>1905</v>
      </c>
      <c r="D1989" s="7">
        <v>1988</v>
      </c>
      <c r="E1989">
        <v>77.629199999999997</v>
      </c>
    </row>
    <row r="1990" spans="3:5" x14ac:dyDescent="0.35">
      <c r="C1990">
        <f t="shared" si="32"/>
        <v>1905</v>
      </c>
      <c r="D1990" s="7">
        <v>1989</v>
      </c>
      <c r="E1990">
        <v>79.113600000000005</v>
      </c>
    </row>
    <row r="1991" spans="3:5" x14ac:dyDescent="0.35">
      <c r="C1991">
        <f t="shared" si="32"/>
        <v>1905</v>
      </c>
      <c r="D1991" s="7">
        <v>1990</v>
      </c>
      <c r="E1991">
        <v>81.439899999999994</v>
      </c>
    </row>
    <row r="1992" spans="3:5" x14ac:dyDescent="0.35">
      <c r="C1992">
        <f t="shared" si="32"/>
        <v>1905</v>
      </c>
      <c r="D1992" s="7">
        <v>1991</v>
      </c>
      <c r="E1992">
        <v>81.621099999999998</v>
      </c>
    </row>
    <row r="1993" spans="3:5" x14ac:dyDescent="0.35">
      <c r="C1993">
        <f t="shared" si="32"/>
        <v>1905</v>
      </c>
      <c r="D1993" s="7">
        <v>1992</v>
      </c>
      <c r="E1993">
        <v>86.034899999999993</v>
      </c>
    </row>
    <row r="1994" spans="3:5" x14ac:dyDescent="0.35">
      <c r="C1994">
        <f t="shared" si="32"/>
        <v>1905</v>
      </c>
      <c r="D1994" s="7">
        <v>1993</v>
      </c>
      <c r="E1994">
        <v>87.828299999999999</v>
      </c>
    </row>
    <row r="1995" spans="3:5" x14ac:dyDescent="0.35">
      <c r="C1995">
        <f t="shared" si="32"/>
        <v>1905</v>
      </c>
      <c r="D1995" s="7">
        <v>1994</v>
      </c>
      <c r="E1995">
        <v>87.466800000000006</v>
      </c>
    </row>
    <row r="1996" spans="3:5" x14ac:dyDescent="0.35">
      <c r="C1996">
        <f t="shared" si="32"/>
        <v>1905</v>
      </c>
      <c r="D1996" s="7">
        <v>1995</v>
      </c>
      <c r="E1996">
        <v>91.118799999999993</v>
      </c>
    </row>
    <row r="1997" spans="3:5" x14ac:dyDescent="0.35">
      <c r="C1997">
        <f t="shared" si="32"/>
        <v>1905</v>
      </c>
      <c r="D1997" s="7">
        <v>1996</v>
      </c>
      <c r="E1997">
        <v>88.6434</v>
      </c>
    </row>
    <row r="1998" spans="3:5" x14ac:dyDescent="0.35">
      <c r="C1998">
        <f t="shared" si="32"/>
        <v>1905</v>
      </c>
      <c r="D1998" s="7">
        <v>1997</v>
      </c>
      <c r="E1998">
        <v>93.753900000000002</v>
      </c>
    </row>
    <row r="1999" spans="3:5" x14ac:dyDescent="0.35">
      <c r="C1999">
        <f t="shared" si="32"/>
        <v>1905</v>
      </c>
      <c r="D1999" s="7">
        <v>1998</v>
      </c>
      <c r="E1999">
        <v>91.038600000000002</v>
      </c>
    </row>
    <row r="2000" spans="3:5" x14ac:dyDescent="0.35">
      <c r="C2000">
        <f t="shared" si="32"/>
        <v>1905</v>
      </c>
      <c r="D2000" s="7">
        <v>1999</v>
      </c>
      <c r="E2000">
        <v>93.497399999999999</v>
      </c>
    </row>
    <row r="2001" spans="3:5" x14ac:dyDescent="0.35">
      <c r="C2001">
        <f t="shared" si="32"/>
        <v>1905</v>
      </c>
      <c r="D2001" s="7">
        <v>2000</v>
      </c>
      <c r="E2001">
        <v>95.947599999999994</v>
      </c>
    </row>
    <row r="2002" spans="3:5" x14ac:dyDescent="0.35">
      <c r="C2002">
        <f t="shared" si="32"/>
        <v>1905</v>
      </c>
      <c r="D2002" s="7">
        <v>2001</v>
      </c>
      <c r="E2002">
        <v>97.134500000000003</v>
      </c>
    </row>
    <row r="2003" spans="3:5" x14ac:dyDescent="0.35">
      <c r="C2003">
        <f t="shared" si="32"/>
        <v>1905</v>
      </c>
      <c r="D2003" s="7">
        <v>2002</v>
      </c>
      <c r="E2003">
        <v>99.157600000000002</v>
      </c>
    </row>
    <row r="2004" spans="3:5" x14ac:dyDescent="0.35">
      <c r="C2004">
        <f t="shared" si="32"/>
        <v>1905</v>
      </c>
      <c r="D2004" s="7">
        <v>2003</v>
      </c>
      <c r="E2004">
        <v>96.779899999999998</v>
      </c>
    </row>
    <row r="2005" spans="3:5" x14ac:dyDescent="0.35">
      <c r="C2005">
        <f t="shared" si="32"/>
        <v>1905</v>
      </c>
      <c r="D2005" s="7">
        <v>2004</v>
      </c>
      <c r="E2005">
        <v>96.216099999999997</v>
      </c>
    </row>
    <row r="2006" spans="3:5" x14ac:dyDescent="0.35">
      <c r="C2006">
        <f t="shared" si="32"/>
        <v>1905</v>
      </c>
      <c r="D2006" s="7">
        <v>2005</v>
      </c>
      <c r="E2006">
        <v>97.634200000000007</v>
      </c>
    </row>
    <row r="2007" spans="3:5" x14ac:dyDescent="0.35">
      <c r="C2007">
        <f t="shared" si="32"/>
        <v>1905</v>
      </c>
      <c r="D2007" s="7">
        <v>2006</v>
      </c>
      <c r="E2007">
        <v>99.04</v>
      </c>
    </row>
    <row r="2008" spans="3:5" x14ac:dyDescent="0.35">
      <c r="C2008">
        <f t="shared" si="32"/>
        <v>1905</v>
      </c>
      <c r="D2008" s="7">
        <v>2007</v>
      </c>
      <c r="E2008">
        <v>98.914100000000005</v>
      </c>
    </row>
    <row r="2009" spans="3:5" x14ac:dyDescent="0.35">
      <c r="C2009">
        <f t="shared" si="32"/>
        <v>1905</v>
      </c>
      <c r="D2009" s="7">
        <v>2008</v>
      </c>
      <c r="E2009">
        <v>100.42319999999999</v>
      </c>
    </row>
    <row r="2010" spans="3:5" x14ac:dyDescent="0.35">
      <c r="C2010">
        <f t="shared" si="32"/>
        <v>1905</v>
      </c>
      <c r="D2010" s="7">
        <v>2009</v>
      </c>
      <c r="E2010">
        <v>101.66419999999999</v>
      </c>
    </row>
    <row r="2011" spans="3:5" x14ac:dyDescent="0.35">
      <c r="C2011">
        <f t="shared" si="32"/>
        <v>1905</v>
      </c>
      <c r="D2011" s="7">
        <v>2010</v>
      </c>
      <c r="E2011">
        <v>101.5765</v>
      </c>
    </row>
    <row r="2012" spans="3:5" x14ac:dyDescent="0.35">
      <c r="C2012">
        <f t="shared" si="32"/>
        <v>1905</v>
      </c>
      <c r="D2012" s="7">
        <v>2011</v>
      </c>
      <c r="E2012">
        <v>102.57940000000001</v>
      </c>
    </row>
    <row r="2013" spans="3:5" x14ac:dyDescent="0.35">
      <c r="C2013">
        <f t="shared" si="32"/>
        <v>1905</v>
      </c>
      <c r="D2013" s="7">
        <v>2012</v>
      </c>
      <c r="E2013">
        <v>102.952</v>
      </c>
    </row>
    <row r="2014" spans="3:5" x14ac:dyDescent="0.35">
      <c r="C2014">
        <f t="shared" si="32"/>
        <v>1905</v>
      </c>
      <c r="D2014" s="7">
        <v>2013</v>
      </c>
      <c r="E2014">
        <v>101.9709</v>
      </c>
    </row>
    <row r="2015" spans="3:5" x14ac:dyDescent="0.35">
      <c r="C2015">
        <f t="shared" si="32"/>
        <v>1905</v>
      </c>
      <c r="D2015" s="7">
        <v>2014</v>
      </c>
      <c r="E2015">
        <v>95.543700000000001</v>
      </c>
    </row>
    <row r="2016" spans="3:5" x14ac:dyDescent="0.35">
      <c r="C2016">
        <f t="shared" si="32"/>
        <v>1905</v>
      </c>
      <c r="D2016" s="7">
        <v>2015</v>
      </c>
      <c r="E2016">
        <v>97.094499999999996</v>
      </c>
    </row>
    <row r="2017" spans="3:5" x14ac:dyDescent="0.35">
      <c r="C2017">
        <f t="shared" si="32"/>
        <v>1905</v>
      </c>
      <c r="D2017" s="7">
        <v>2016</v>
      </c>
      <c r="E2017">
        <v>95.814300000000003</v>
      </c>
    </row>
    <row r="2018" spans="3:5" x14ac:dyDescent="0.35">
      <c r="C2018">
        <f t="shared" si="32"/>
        <v>1905</v>
      </c>
      <c r="D2018" s="7">
        <v>2017</v>
      </c>
      <c r="E2018">
        <v>95.005600000000001</v>
      </c>
    </row>
    <row r="2019" spans="3:5" x14ac:dyDescent="0.35">
      <c r="C2019">
        <f t="shared" si="32"/>
        <v>1905</v>
      </c>
      <c r="D2019" s="7">
        <v>2018</v>
      </c>
      <c r="E2019">
        <v>94.547499999999999</v>
      </c>
    </row>
    <row r="2020" spans="3:5" x14ac:dyDescent="0.35">
      <c r="C2020">
        <f t="shared" si="32"/>
        <v>1905</v>
      </c>
      <c r="D2020" s="7">
        <v>2019</v>
      </c>
      <c r="E2020">
        <v>94.437200000000004</v>
      </c>
    </row>
    <row r="2021" spans="3:5" x14ac:dyDescent="0.35">
      <c r="C2021">
        <f t="shared" si="32"/>
        <v>1905</v>
      </c>
      <c r="D2021" s="7">
        <v>2020</v>
      </c>
      <c r="E2021">
        <v>92.9649</v>
      </c>
    </row>
    <row r="2022" spans="3:5" x14ac:dyDescent="0.35">
      <c r="C2022">
        <f t="shared" si="32"/>
        <v>1905</v>
      </c>
      <c r="D2022" s="7">
        <v>2021</v>
      </c>
      <c r="E2022">
        <v>94.196799999999996</v>
      </c>
    </row>
    <row r="2023" spans="3:5" x14ac:dyDescent="0.35">
      <c r="C2023">
        <f t="shared" si="32"/>
        <v>1905</v>
      </c>
      <c r="D2023" s="7">
        <v>2022</v>
      </c>
      <c r="E2023">
        <v>96.314499999999995</v>
      </c>
    </row>
    <row r="2024" spans="3:5" x14ac:dyDescent="0.35">
      <c r="C2024">
        <f t="shared" si="32"/>
        <v>1905</v>
      </c>
      <c r="D2024" s="7">
        <v>2023</v>
      </c>
      <c r="E2024">
        <v>94.418999999999997</v>
      </c>
    </row>
    <row r="2025" spans="3:5" x14ac:dyDescent="0.35">
      <c r="C2025">
        <f t="shared" si="32"/>
        <v>1905</v>
      </c>
      <c r="D2025" s="7">
        <v>2024</v>
      </c>
      <c r="E2025">
        <v>92.491200000000006</v>
      </c>
    </row>
    <row r="2026" spans="3:5" x14ac:dyDescent="0.35">
      <c r="C2026">
        <f t="shared" si="32"/>
        <v>1905</v>
      </c>
      <c r="D2026" s="7">
        <v>2025</v>
      </c>
      <c r="E2026">
        <v>94.322000000000003</v>
      </c>
    </row>
    <row r="2027" spans="3:5" x14ac:dyDescent="0.35">
      <c r="C2027">
        <f t="shared" si="32"/>
        <v>1905</v>
      </c>
      <c r="D2027" s="7">
        <v>2026</v>
      </c>
      <c r="E2027">
        <v>96.576400000000007</v>
      </c>
    </row>
    <row r="2028" spans="3:5" x14ac:dyDescent="0.35">
      <c r="C2028">
        <f t="shared" si="32"/>
        <v>1905</v>
      </c>
      <c r="D2028" s="7">
        <v>2027</v>
      </c>
      <c r="E2028">
        <v>101.3879</v>
      </c>
    </row>
    <row r="2029" spans="3:5" x14ac:dyDescent="0.35">
      <c r="C2029">
        <f t="shared" si="32"/>
        <v>1905</v>
      </c>
      <c r="D2029" s="7">
        <v>2028</v>
      </c>
      <c r="E2029">
        <v>103.3582</v>
      </c>
    </row>
    <row r="2030" spans="3:5" x14ac:dyDescent="0.35">
      <c r="C2030">
        <f t="shared" si="32"/>
        <v>1905</v>
      </c>
      <c r="D2030" s="7">
        <v>2029</v>
      </c>
      <c r="E2030">
        <v>103.8733</v>
      </c>
    </row>
    <row r="2031" spans="3:5" x14ac:dyDescent="0.35">
      <c r="C2031">
        <f t="shared" si="32"/>
        <v>1905</v>
      </c>
      <c r="D2031" s="7">
        <v>2030</v>
      </c>
      <c r="E2031">
        <v>107.0819</v>
      </c>
    </row>
    <row r="2032" spans="3:5" x14ac:dyDescent="0.35">
      <c r="C2032">
        <f t="shared" si="32"/>
        <v>1905</v>
      </c>
      <c r="D2032" s="7">
        <v>2031</v>
      </c>
      <c r="E2032">
        <v>106.10339999999999</v>
      </c>
    </row>
    <row r="2033" spans="3:5" x14ac:dyDescent="0.35">
      <c r="C2033">
        <f t="shared" si="32"/>
        <v>1905</v>
      </c>
      <c r="D2033" s="7">
        <v>2032</v>
      </c>
      <c r="E2033">
        <v>104.9425</v>
      </c>
    </row>
    <row r="2034" spans="3:5" x14ac:dyDescent="0.35">
      <c r="C2034">
        <f t="shared" si="32"/>
        <v>1905</v>
      </c>
      <c r="D2034" s="7">
        <v>2033</v>
      </c>
      <c r="E2034">
        <v>100.31359999999999</v>
      </c>
    </row>
    <row r="2035" spans="3:5" x14ac:dyDescent="0.35">
      <c r="C2035">
        <f t="shared" si="32"/>
        <v>1905</v>
      </c>
      <c r="D2035" s="7">
        <v>2034</v>
      </c>
      <c r="E2035">
        <v>104.7838</v>
      </c>
    </row>
    <row r="2036" spans="3:5" x14ac:dyDescent="0.35">
      <c r="C2036">
        <f t="shared" si="32"/>
        <v>1905</v>
      </c>
      <c r="D2036" s="7">
        <v>2035</v>
      </c>
      <c r="E2036">
        <v>105.7268</v>
      </c>
    </row>
    <row r="2037" spans="3:5" x14ac:dyDescent="0.35">
      <c r="C2037">
        <f t="shared" si="32"/>
        <v>1905</v>
      </c>
      <c r="D2037" s="7">
        <v>2036</v>
      </c>
      <c r="E2037">
        <v>104.2195</v>
      </c>
    </row>
    <row r="2038" spans="3:5" x14ac:dyDescent="0.35">
      <c r="C2038">
        <f t="shared" si="32"/>
        <v>1905</v>
      </c>
      <c r="D2038" s="7">
        <v>2037</v>
      </c>
      <c r="E2038">
        <v>99.569199999999995</v>
      </c>
    </row>
    <row r="2039" spans="3:5" x14ac:dyDescent="0.35">
      <c r="C2039">
        <f t="shared" si="32"/>
        <v>1905</v>
      </c>
      <c r="D2039" s="7">
        <v>2038</v>
      </c>
      <c r="E2039">
        <v>104.8028</v>
      </c>
    </row>
    <row r="2040" spans="3:5" x14ac:dyDescent="0.35">
      <c r="C2040">
        <f t="shared" si="32"/>
        <v>1905</v>
      </c>
      <c r="D2040" s="7">
        <v>2039</v>
      </c>
      <c r="E2040">
        <v>105.688</v>
      </c>
    </row>
    <row r="2041" spans="3:5" x14ac:dyDescent="0.35">
      <c r="C2041">
        <f t="shared" si="32"/>
        <v>1905</v>
      </c>
      <c r="D2041" s="7">
        <v>2040</v>
      </c>
      <c r="E2041">
        <v>104.0129</v>
      </c>
    </row>
    <row r="2042" spans="3:5" x14ac:dyDescent="0.35">
      <c r="C2042">
        <f t="shared" si="32"/>
        <v>1905</v>
      </c>
      <c r="D2042" s="7">
        <v>2041</v>
      </c>
      <c r="E2042">
        <v>108.68519999999999</v>
      </c>
    </row>
    <row r="2043" spans="3:5" x14ac:dyDescent="0.35">
      <c r="C2043">
        <f t="shared" si="32"/>
        <v>1905</v>
      </c>
      <c r="D2043" s="7">
        <v>2042</v>
      </c>
      <c r="E2043">
        <v>109.05289999999999</v>
      </c>
    </row>
    <row r="2044" spans="3:5" x14ac:dyDescent="0.35">
      <c r="C2044">
        <f t="shared" si="32"/>
        <v>1905</v>
      </c>
      <c r="D2044" s="7">
        <v>2043</v>
      </c>
      <c r="E2044">
        <v>113.11409999999999</v>
      </c>
    </row>
    <row r="2045" spans="3:5" x14ac:dyDescent="0.35">
      <c r="C2045">
        <f t="shared" si="32"/>
        <v>1905</v>
      </c>
      <c r="D2045" s="7">
        <v>2044</v>
      </c>
      <c r="E2045">
        <v>116.7505</v>
      </c>
    </row>
    <row r="2046" spans="3:5" x14ac:dyDescent="0.35">
      <c r="C2046">
        <f t="shared" si="32"/>
        <v>1905</v>
      </c>
      <c r="D2046" s="7">
        <v>2045</v>
      </c>
      <c r="E2046">
        <v>116.4362</v>
      </c>
    </row>
    <row r="2047" spans="3:5" x14ac:dyDescent="0.35">
      <c r="C2047">
        <f t="shared" si="32"/>
        <v>1905</v>
      </c>
      <c r="D2047" s="7">
        <v>2046</v>
      </c>
      <c r="E2047">
        <v>117.8103</v>
      </c>
    </row>
    <row r="2048" spans="3:5" x14ac:dyDescent="0.35">
      <c r="C2048">
        <f t="shared" si="32"/>
        <v>1905</v>
      </c>
      <c r="D2048" s="7">
        <v>2047</v>
      </c>
      <c r="E2048">
        <v>122.5986</v>
      </c>
    </row>
    <row r="2049" spans="3:5" x14ac:dyDescent="0.35">
      <c r="C2049">
        <f t="shared" si="32"/>
        <v>1905</v>
      </c>
      <c r="D2049" s="7">
        <v>2048</v>
      </c>
      <c r="E2049">
        <v>115.4397</v>
      </c>
    </row>
    <row r="2050" spans="3:5" x14ac:dyDescent="0.35">
      <c r="C2050">
        <f t="shared" si="32"/>
        <v>1905</v>
      </c>
      <c r="D2050" s="7">
        <v>2049</v>
      </c>
      <c r="E2050">
        <v>116.00109999999999</v>
      </c>
    </row>
    <row r="2051" spans="3:5" x14ac:dyDescent="0.35">
      <c r="C2051">
        <f t="shared" ref="C2051:C2114" si="33">YEAR(D2051)</f>
        <v>1905</v>
      </c>
      <c r="D2051" s="7">
        <v>2050</v>
      </c>
      <c r="E2051">
        <v>105.6407</v>
      </c>
    </row>
    <row r="2052" spans="3:5" x14ac:dyDescent="0.35">
      <c r="C2052">
        <f t="shared" si="33"/>
        <v>1905</v>
      </c>
      <c r="D2052" s="7">
        <v>2051</v>
      </c>
      <c r="E2052">
        <v>107.25539999999999</v>
      </c>
    </row>
    <row r="2053" spans="3:5" x14ac:dyDescent="0.35">
      <c r="C2053">
        <f t="shared" si="33"/>
        <v>1905</v>
      </c>
      <c r="D2053" s="7">
        <v>2052</v>
      </c>
      <c r="E2053">
        <v>104.7531</v>
      </c>
    </row>
    <row r="2054" spans="3:5" x14ac:dyDescent="0.35">
      <c r="C2054">
        <f t="shared" si="33"/>
        <v>1905</v>
      </c>
      <c r="D2054" s="7">
        <v>2053</v>
      </c>
      <c r="E2054">
        <v>102.9156</v>
      </c>
    </row>
    <row r="2055" spans="3:5" x14ac:dyDescent="0.35">
      <c r="C2055">
        <f t="shared" si="33"/>
        <v>1905</v>
      </c>
      <c r="D2055" s="7">
        <v>2054</v>
      </c>
      <c r="E2055">
        <v>108.4081</v>
      </c>
    </row>
    <row r="2056" spans="3:5" x14ac:dyDescent="0.35">
      <c r="C2056">
        <f t="shared" si="33"/>
        <v>1905</v>
      </c>
      <c r="D2056" s="7">
        <v>2055</v>
      </c>
      <c r="E2056">
        <v>109.7619</v>
      </c>
    </row>
    <row r="2057" spans="3:5" x14ac:dyDescent="0.35">
      <c r="C2057">
        <f t="shared" si="33"/>
        <v>1905</v>
      </c>
      <c r="D2057" s="7">
        <v>2056</v>
      </c>
      <c r="E2057">
        <v>111.7841</v>
      </c>
    </row>
    <row r="2058" spans="3:5" x14ac:dyDescent="0.35">
      <c r="C2058">
        <f t="shared" si="33"/>
        <v>1905</v>
      </c>
      <c r="D2058" s="7">
        <v>2057</v>
      </c>
      <c r="E2058">
        <v>110.3626</v>
      </c>
    </row>
    <row r="2059" spans="3:5" x14ac:dyDescent="0.35">
      <c r="C2059">
        <f t="shared" si="33"/>
        <v>1905</v>
      </c>
      <c r="D2059" s="7">
        <v>2058</v>
      </c>
      <c r="E2059">
        <v>111.4843</v>
      </c>
    </row>
    <row r="2060" spans="3:5" x14ac:dyDescent="0.35">
      <c r="C2060">
        <f t="shared" si="33"/>
        <v>1905</v>
      </c>
      <c r="D2060" s="7">
        <v>2059</v>
      </c>
      <c r="E2060">
        <v>107.9058</v>
      </c>
    </row>
    <row r="2061" spans="3:5" x14ac:dyDescent="0.35">
      <c r="C2061">
        <f t="shared" si="33"/>
        <v>1905</v>
      </c>
      <c r="D2061" s="7">
        <v>2060</v>
      </c>
      <c r="E2061">
        <v>113.4636</v>
      </c>
    </row>
    <row r="2062" spans="3:5" x14ac:dyDescent="0.35">
      <c r="C2062">
        <f t="shared" si="33"/>
        <v>1905</v>
      </c>
      <c r="D2062" s="7">
        <v>2061</v>
      </c>
      <c r="E2062">
        <v>113.3772</v>
      </c>
    </row>
    <row r="2063" spans="3:5" x14ac:dyDescent="0.35">
      <c r="C2063">
        <f t="shared" si="33"/>
        <v>1905</v>
      </c>
      <c r="D2063" s="7">
        <v>2062</v>
      </c>
      <c r="E2063">
        <v>112.8883</v>
      </c>
    </row>
    <row r="2064" spans="3:5" x14ac:dyDescent="0.35">
      <c r="C2064">
        <f t="shared" si="33"/>
        <v>1905</v>
      </c>
      <c r="D2064" s="7">
        <v>2063</v>
      </c>
      <c r="E2064">
        <v>109.05459999999999</v>
      </c>
    </row>
    <row r="2065" spans="3:5" x14ac:dyDescent="0.35">
      <c r="C2065">
        <f t="shared" si="33"/>
        <v>1905</v>
      </c>
      <c r="D2065" s="7">
        <v>2064</v>
      </c>
      <c r="E2065">
        <v>110.8036</v>
      </c>
    </row>
    <row r="2066" spans="3:5" x14ac:dyDescent="0.35">
      <c r="C2066">
        <f t="shared" si="33"/>
        <v>1905</v>
      </c>
      <c r="D2066" s="7">
        <v>2065</v>
      </c>
      <c r="E2066">
        <v>111.0479</v>
      </c>
    </row>
    <row r="2067" spans="3:5" x14ac:dyDescent="0.35">
      <c r="C2067">
        <f t="shared" si="33"/>
        <v>1905</v>
      </c>
      <c r="D2067" s="7">
        <v>2066</v>
      </c>
      <c r="E2067">
        <v>109.32089999999999</v>
      </c>
    </row>
    <row r="2068" spans="3:5" x14ac:dyDescent="0.35">
      <c r="C2068">
        <f t="shared" si="33"/>
        <v>1905</v>
      </c>
      <c r="D2068" s="7">
        <v>2067</v>
      </c>
      <c r="E2068">
        <v>113.66200000000001</v>
      </c>
    </row>
    <row r="2069" spans="3:5" x14ac:dyDescent="0.35">
      <c r="C2069">
        <f t="shared" si="33"/>
        <v>1905</v>
      </c>
      <c r="D2069" s="7">
        <v>2068</v>
      </c>
      <c r="E2069">
        <v>111.71720000000001</v>
      </c>
    </row>
    <row r="2070" spans="3:5" x14ac:dyDescent="0.35">
      <c r="C2070">
        <f t="shared" si="33"/>
        <v>1905</v>
      </c>
      <c r="D2070" s="7">
        <v>2069</v>
      </c>
      <c r="E2070">
        <v>113.9533</v>
      </c>
    </row>
    <row r="2071" spans="3:5" x14ac:dyDescent="0.35">
      <c r="C2071">
        <f t="shared" si="33"/>
        <v>1905</v>
      </c>
      <c r="D2071" s="7">
        <v>2070</v>
      </c>
      <c r="E2071">
        <v>112.9397</v>
      </c>
    </row>
    <row r="2072" spans="3:5" x14ac:dyDescent="0.35">
      <c r="C2072">
        <f t="shared" si="33"/>
        <v>1905</v>
      </c>
      <c r="D2072" s="7">
        <v>2071</v>
      </c>
      <c r="E2072">
        <v>114.3472</v>
      </c>
    </row>
    <row r="2073" spans="3:5" x14ac:dyDescent="0.35">
      <c r="C2073">
        <f t="shared" si="33"/>
        <v>1905</v>
      </c>
      <c r="D2073" s="7">
        <v>2072</v>
      </c>
      <c r="E2073">
        <v>113.6588</v>
      </c>
    </row>
    <row r="2074" spans="3:5" x14ac:dyDescent="0.35">
      <c r="C2074">
        <f t="shared" si="33"/>
        <v>1905</v>
      </c>
      <c r="D2074" s="7">
        <v>2073</v>
      </c>
      <c r="E2074">
        <v>113.2419</v>
      </c>
    </row>
    <row r="2075" spans="3:5" x14ac:dyDescent="0.35">
      <c r="C2075">
        <f t="shared" si="33"/>
        <v>1905</v>
      </c>
      <c r="D2075" s="7">
        <v>2074</v>
      </c>
      <c r="E2075">
        <v>109.416</v>
      </c>
    </row>
    <row r="2076" spans="3:5" x14ac:dyDescent="0.35">
      <c r="C2076">
        <f t="shared" si="33"/>
        <v>1905</v>
      </c>
      <c r="D2076" s="7">
        <v>2075</v>
      </c>
      <c r="E2076">
        <v>104.00190000000001</v>
      </c>
    </row>
    <row r="2077" spans="3:5" x14ac:dyDescent="0.35">
      <c r="C2077">
        <f t="shared" si="33"/>
        <v>1905</v>
      </c>
      <c r="D2077" s="7">
        <v>2076</v>
      </c>
      <c r="E2077">
        <v>104.3883</v>
      </c>
    </row>
    <row r="2078" spans="3:5" x14ac:dyDescent="0.35">
      <c r="C2078">
        <f t="shared" si="33"/>
        <v>1905</v>
      </c>
      <c r="D2078" s="7">
        <v>2077</v>
      </c>
      <c r="E2078">
        <v>103.1061</v>
      </c>
    </row>
    <row r="2079" spans="3:5" x14ac:dyDescent="0.35">
      <c r="C2079">
        <f t="shared" si="33"/>
        <v>1905</v>
      </c>
      <c r="D2079" s="7">
        <v>2078</v>
      </c>
      <c r="E2079">
        <v>108.0543</v>
      </c>
    </row>
    <row r="2080" spans="3:5" x14ac:dyDescent="0.35">
      <c r="C2080">
        <f t="shared" si="33"/>
        <v>1905</v>
      </c>
      <c r="D2080" s="7">
        <v>2079</v>
      </c>
      <c r="E2080">
        <v>102.7741</v>
      </c>
    </row>
    <row r="2081" spans="3:5" x14ac:dyDescent="0.35">
      <c r="C2081">
        <f t="shared" si="33"/>
        <v>1905</v>
      </c>
      <c r="D2081" s="7">
        <v>2080</v>
      </c>
      <c r="E2081">
        <v>107.023</v>
      </c>
    </row>
    <row r="2082" spans="3:5" x14ac:dyDescent="0.35">
      <c r="C2082">
        <f t="shared" si="33"/>
        <v>1905</v>
      </c>
      <c r="D2082" s="7">
        <v>2081</v>
      </c>
      <c r="E2082">
        <v>108.6016</v>
      </c>
    </row>
    <row r="2083" spans="3:5" x14ac:dyDescent="0.35">
      <c r="C2083">
        <f t="shared" si="33"/>
        <v>1905</v>
      </c>
      <c r="D2083" s="7">
        <v>2082</v>
      </c>
      <c r="E2083">
        <v>104.9044</v>
      </c>
    </row>
    <row r="2084" spans="3:5" x14ac:dyDescent="0.35">
      <c r="C2084">
        <f t="shared" si="33"/>
        <v>1905</v>
      </c>
      <c r="D2084" s="7">
        <v>2083</v>
      </c>
      <c r="E2084">
        <v>105.1812</v>
      </c>
    </row>
    <row r="2085" spans="3:5" x14ac:dyDescent="0.35">
      <c r="C2085">
        <f t="shared" si="33"/>
        <v>1905</v>
      </c>
      <c r="D2085" s="7">
        <v>2084</v>
      </c>
      <c r="E2085">
        <v>99.867999999999995</v>
      </c>
    </row>
    <row r="2086" spans="3:5" x14ac:dyDescent="0.35">
      <c r="C2086">
        <f t="shared" si="33"/>
        <v>1905</v>
      </c>
      <c r="D2086" s="7">
        <v>2085</v>
      </c>
      <c r="E2086">
        <v>99.318100000000001</v>
      </c>
    </row>
    <row r="2087" spans="3:5" x14ac:dyDescent="0.35">
      <c r="C2087">
        <f t="shared" si="33"/>
        <v>1905</v>
      </c>
      <c r="D2087" s="7">
        <v>2086</v>
      </c>
      <c r="E2087">
        <v>98.950800000000001</v>
      </c>
    </row>
    <row r="2088" spans="3:5" x14ac:dyDescent="0.35">
      <c r="C2088">
        <f t="shared" si="33"/>
        <v>1905</v>
      </c>
      <c r="D2088" s="7">
        <v>2087</v>
      </c>
      <c r="E2088">
        <v>100.8167</v>
      </c>
    </row>
    <row r="2089" spans="3:5" x14ac:dyDescent="0.35">
      <c r="C2089">
        <f t="shared" si="33"/>
        <v>1905</v>
      </c>
      <c r="D2089" s="7">
        <v>2088</v>
      </c>
      <c r="E2089">
        <v>97.402699999999996</v>
      </c>
    </row>
    <row r="2090" spans="3:5" x14ac:dyDescent="0.35">
      <c r="C2090">
        <f t="shared" si="33"/>
        <v>1905</v>
      </c>
      <c r="D2090" s="7">
        <v>2089</v>
      </c>
      <c r="E2090">
        <v>98.208100000000002</v>
      </c>
    </row>
    <row r="2091" spans="3:5" x14ac:dyDescent="0.35">
      <c r="C2091">
        <f t="shared" si="33"/>
        <v>1905</v>
      </c>
      <c r="D2091" s="7">
        <v>2090</v>
      </c>
      <c r="E2091">
        <v>99.138199999999998</v>
      </c>
    </row>
    <row r="2092" spans="3:5" x14ac:dyDescent="0.35">
      <c r="C2092">
        <f t="shared" si="33"/>
        <v>1905</v>
      </c>
      <c r="D2092" s="7">
        <v>2091</v>
      </c>
      <c r="E2092">
        <v>95.030299999999997</v>
      </c>
    </row>
    <row r="2093" spans="3:5" x14ac:dyDescent="0.35">
      <c r="C2093">
        <f t="shared" si="33"/>
        <v>1905</v>
      </c>
      <c r="D2093" s="7">
        <v>2092</v>
      </c>
      <c r="E2093">
        <v>92.6297</v>
      </c>
    </row>
    <row r="2094" spans="3:5" x14ac:dyDescent="0.35">
      <c r="C2094">
        <f t="shared" si="33"/>
        <v>1905</v>
      </c>
      <c r="D2094" s="7">
        <v>2093</v>
      </c>
      <c r="E2094">
        <v>92.763999999999996</v>
      </c>
    </row>
    <row r="2095" spans="3:5" x14ac:dyDescent="0.35">
      <c r="C2095">
        <f t="shared" si="33"/>
        <v>1905</v>
      </c>
      <c r="D2095" s="7">
        <v>2094</v>
      </c>
      <c r="E2095">
        <v>89.073300000000003</v>
      </c>
    </row>
    <row r="2096" spans="3:5" x14ac:dyDescent="0.35">
      <c r="C2096">
        <f t="shared" si="33"/>
        <v>1905</v>
      </c>
      <c r="D2096" s="7">
        <v>2095</v>
      </c>
      <c r="E2096">
        <v>89.924599999999998</v>
      </c>
    </row>
    <row r="2097" spans="3:5" x14ac:dyDescent="0.35">
      <c r="C2097">
        <f t="shared" si="33"/>
        <v>1905</v>
      </c>
      <c r="D2097" s="7">
        <v>2096</v>
      </c>
      <c r="E2097">
        <v>90.746399999999994</v>
      </c>
    </row>
    <row r="2098" spans="3:5" x14ac:dyDescent="0.35">
      <c r="C2098">
        <f t="shared" si="33"/>
        <v>1905</v>
      </c>
      <c r="D2098" s="7">
        <v>2097</v>
      </c>
      <c r="E2098">
        <v>90.860500000000002</v>
      </c>
    </row>
    <row r="2099" spans="3:5" x14ac:dyDescent="0.35">
      <c r="C2099">
        <f t="shared" si="33"/>
        <v>1905</v>
      </c>
      <c r="D2099" s="7">
        <v>2098</v>
      </c>
      <c r="E2099">
        <v>91.837699999999998</v>
      </c>
    </row>
    <row r="2100" spans="3:5" x14ac:dyDescent="0.35">
      <c r="C2100">
        <f t="shared" si="33"/>
        <v>1905</v>
      </c>
      <c r="D2100" s="7">
        <v>2099</v>
      </c>
      <c r="E2100">
        <v>92.626999999999995</v>
      </c>
    </row>
    <row r="2101" spans="3:5" x14ac:dyDescent="0.35">
      <c r="C2101">
        <f t="shared" si="33"/>
        <v>1905</v>
      </c>
      <c r="D2101" s="7">
        <v>2100</v>
      </c>
      <c r="E2101">
        <v>89.473500000000001</v>
      </c>
    </row>
    <row r="2102" spans="3:5" x14ac:dyDescent="0.35">
      <c r="C2102">
        <f t="shared" si="33"/>
        <v>1905</v>
      </c>
      <c r="D2102" s="7">
        <v>2101</v>
      </c>
      <c r="E2102">
        <v>88.535200000000003</v>
      </c>
    </row>
    <row r="2103" spans="3:5" x14ac:dyDescent="0.35">
      <c r="C2103">
        <f t="shared" si="33"/>
        <v>1905</v>
      </c>
      <c r="D2103" s="7">
        <v>2102</v>
      </c>
      <c r="E2103">
        <v>88.080200000000005</v>
      </c>
    </row>
    <row r="2104" spans="3:5" x14ac:dyDescent="0.35">
      <c r="C2104">
        <f t="shared" si="33"/>
        <v>1905</v>
      </c>
      <c r="D2104" s="7">
        <v>2103</v>
      </c>
      <c r="E2104">
        <v>90.619600000000005</v>
      </c>
    </row>
    <row r="2105" spans="3:5" x14ac:dyDescent="0.35">
      <c r="C2105">
        <f t="shared" si="33"/>
        <v>1905</v>
      </c>
      <c r="D2105" s="7">
        <v>2104</v>
      </c>
      <c r="E2105">
        <v>88.050200000000004</v>
      </c>
    </row>
    <row r="2106" spans="3:5" x14ac:dyDescent="0.35">
      <c r="C2106">
        <f t="shared" si="33"/>
        <v>1905</v>
      </c>
      <c r="D2106" s="7">
        <v>2105</v>
      </c>
      <c r="E2106">
        <v>84.686099999999996</v>
      </c>
    </row>
    <row r="2107" spans="3:5" x14ac:dyDescent="0.35">
      <c r="C2107">
        <f t="shared" si="33"/>
        <v>1905</v>
      </c>
      <c r="D2107" s="7">
        <v>2106</v>
      </c>
      <c r="E2107">
        <v>81.714299999999994</v>
      </c>
    </row>
    <row r="2108" spans="3:5" x14ac:dyDescent="0.35">
      <c r="C2108">
        <f t="shared" si="33"/>
        <v>1905</v>
      </c>
      <c r="D2108" s="7">
        <v>2107</v>
      </c>
      <c r="E2108">
        <v>83.295599999999993</v>
      </c>
    </row>
    <row r="2109" spans="3:5" x14ac:dyDescent="0.35">
      <c r="C2109">
        <f t="shared" si="33"/>
        <v>1905</v>
      </c>
      <c r="D2109" s="7">
        <v>2108</v>
      </c>
      <c r="E2109">
        <v>91.412700000000001</v>
      </c>
    </row>
    <row r="2110" spans="3:5" x14ac:dyDescent="0.35">
      <c r="C2110">
        <f t="shared" si="33"/>
        <v>1905</v>
      </c>
      <c r="D2110" s="7">
        <v>2109</v>
      </c>
      <c r="E2110">
        <v>90.872600000000006</v>
      </c>
    </row>
    <row r="2111" spans="3:5" x14ac:dyDescent="0.35">
      <c r="C2111">
        <f t="shared" si="33"/>
        <v>1905</v>
      </c>
      <c r="D2111" s="7">
        <v>2110</v>
      </c>
      <c r="E2111">
        <v>89.087000000000003</v>
      </c>
    </row>
    <row r="2112" spans="3:5" x14ac:dyDescent="0.35">
      <c r="C2112">
        <f t="shared" si="33"/>
        <v>1905</v>
      </c>
      <c r="D2112" s="7">
        <v>2111</v>
      </c>
      <c r="E2112">
        <v>87.855500000000006</v>
      </c>
    </row>
    <row r="2113" spans="3:5" x14ac:dyDescent="0.35">
      <c r="C2113">
        <f t="shared" si="33"/>
        <v>1905</v>
      </c>
      <c r="D2113" s="7">
        <v>2112</v>
      </c>
      <c r="E2113">
        <v>84.431600000000003</v>
      </c>
    </row>
    <row r="2114" spans="3:5" x14ac:dyDescent="0.35">
      <c r="C2114">
        <f t="shared" si="33"/>
        <v>1905</v>
      </c>
      <c r="D2114" s="7">
        <v>2113</v>
      </c>
      <c r="E2114">
        <v>83.653199999999998</v>
      </c>
    </row>
    <row r="2115" spans="3:5" x14ac:dyDescent="0.35">
      <c r="C2115">
        <f t="shared" ref="C2115:C2178" si="34">YEAR(D2115)</f>
        <v>1905</v>
      </c>
      <c r="D2115" s="7">
        <v>2114</v>
      </c>
      <c r="E2115">
        <v>79.741299999999995</v>
      </c>
    </row>
    <row r="2116" spans="3:5" x14ac:dyDescent="0.35">
      <c r="C2116">
        <f t="shared" si="34"/>
        <v>1905</v>
      </c>
      <c r="D2116" s="7">
        <v>2115</v>
      </c>
      <c r="E2116">
        <v>79.622299999999996</v>
      </c>
    </row>
    <row r="2117" spans="3:5" x14ac:dyDescent="0.35">
      <c r="C2117">
        <f t="shared" si="34"/>
        <v>1905</v>
      </c>
      <c r="D2117" s="7">
        <v>2116</v>
      </c>
      <c r="E2117">
        <v>72.091499999999996</v>
      </c>
    </row>
    <row r="2118" spans="3:5" x14ac:dyDescent="0.35">
      <c r="C2118">
        <f t="shared" si="34"/>
        <v>1905</v>
      </c>
      <c r="D2118" s="7">
        <v>2117</v>
      </c>
      <c r="E2118">
        <v>75.438699999999997</v>
      </c>
    </row>
    <row r="2119" spans="3:5" x14ac:dyDescent="0.35">
      <c r="C2119">
        <f t="shared" si="34"/>
        <v>1905</v>
      </c>
      <c r="D2119" s="7">
        <v>2118</v>
      </c>
      <c r="E2119">
        <v>70.332999999999998</v>
      </c>
    </row>
    <row r="2120" spans="3:5" x14ac:dyDescent="0.35">
      <c r="C2120">
        <f t="shared" si="34"/>
        <v>1905</v>
      </c>
      <c r="D2120" s="7">
        <v>2119</v>
      </c>
      <c r="E2120">
        <v>67.030299999999997</v>
      </c>
    </row>
    <row r="2121" spans="3:5" x14ac:dyDescent="0.35">
      <c r="C2121">
        <f t="shared" si="34"/>
        <v>1905</v>
      </c>
      <c r="D2121" s="7">
        <v>2120</v>
      </c>
      <c r="E2121">
        <v>65.784800000000004</v>
      </c>
    </row>
    <row r="2122" spans="3:5" x14ac:dyDescent="0.35">
      <c r="C2122">
        <f t="shared" si="34"/>
        <v>1905</v>
      </c>
      <c r="D2122" s="7">
        <v>2121</v>
      </c>
      <c r="E2122">
        <v>66.211799999999997</v>
      </c>
    </row>
    <row r="2123" spans="3:5" x14ac:dyDescent="0.35">
      <c r="C2123">
        <f t="shared" si="34"/>
        <v>1905</v>
      </c>
      <c r="D2123" s="7">
        <v>2122</v>
      </c>
      <c r="E2123">
        <v>64.4709</v>
      </c>
    </row>
    <row r="2124" spans="3:5" x14ac:dyDescent="0.35">
      <c r="C2124">
        <f t="shared" si="34"/>
        <v>1905</v>
      </c>
      <c r="D2124" s="7">
        <v>2123</v>
      </c>
      <c r="E2124">
        <v>66.358999999999995</v>
      </c>
    </row>
    <row r="2125" spans="3:5" x14ac:dyDescent="0.35">
      <c r="C2125">
        <f t="shared" si="34"/>
        <v>1905</v>
      </c>
      <c r="D2125" s="7">
        <v>2124</v>
      </c>
      <c r="E2125">
        <v>65.249600000000001</v>
      </c>
    </row>
    <row r="2126" spans="3:5" x14ac:dyDescent="0.35">
      <c r="C2126">
        <f t="shared" si="34"/>
        <v>1905</v>
      </c>
      <c r="D2126" s="7">
        <v>2125</v>
      </c>
      <c r="E2126">
        <v>67.066699999999997</v>
      </c>
    </row>
    <row r="2127" spans="3:5" x14ac:dyDescent="0.35">
      <c r="C2127">
        <f t="shared" si="34"/>
        <v>1905</v>
      </c>
      <c r="D2127" s="7">
        <v>2126</v>
      </c>
      <c r="E2127">
        <v>66.599299999999999</v>
      </c>
    </row>
    <row r="2128" spans="3:5" x14ac:dyDescent="0.35">
      <c r="C2128">
        <f t="shared" si="34"/>
        <v>1905</v>
      </c>
      <c r="D2128" s="7">
        <v>2127</v>
      </c>
      <c r="E2128">
        <v>67.001900000000006</v>
      </c>
    </row>
    <row r="2129" spans="3:5" x14ac:dyDescent="0.35">
      <c r="C2129">
        <f t="shared" si="34"/>
        <v>1905</v>
      </c>
      <c r="D2129" s="7">
        <v>2128</v>
      </c>
      <c r="E2129">
        <v>68.547600000000003</v>
      </c>
    </row>
    <row r="2130" spans="3:5" x14ac:dyDescent="0.35">
      <c r="C2130">
        <f t="shared" si="34"/>
        <v>1905</v>
      </c>
      <c r="D2130" s="7">
        <v>2129</v>
      </c>
      <c r="E2130">
        <v>74.094099999999997</v>
      </c>
    </row>
    <row r="2131" spans="3:5" x14ac:dyDescent="0.35">
      <c r="C2131">
        <f t="shared" si="34"/>
        <v>1905</v>
      </c>
      <c r="D2131" s="7">
        <v>2130</v>
      </c>
      <c r="E2131">
        <v>73.7881</v>
      </c>
    </row>
    <row r="2132" spans="3:5" x14ac:dyDescent="0.35">
      <c r="C2132">
        <f t="shared" si="34"/>
        <v>1905</v>
      </c>
      <c r="D2132" s="7">
        <v>2131</v>
      </c>
      <c r="E2132">
        <v>73.046599999999998</v>
      </c>
    </row>
    <row r="2133" spans="3:5" x14ac:dyDescent="0.35">
      <c r="C2133">
        <f t="shared" si="34"/>
        <v>1905</v>
      </c>
      <c r="D2133" s="7">
        <v>2132</v>
      </c>
      <c r="E2133">
        <v>76.357500000000002</v>
      </c>
    </row>
    <row r="2134" spans="3:5" x14ac:dyDescent="0.35">
      <c r="C2134">
        <f t="shared" si="34"/>
        <v>1905</v>
      </c>
      <c r="D2134" s="7">
        <v>2133</v>
      </c>
      <c r="E2134">
        <v>74.400599999999997</v>
      </c>
    </row>
    <row r="2135" spans="3:5" x14ac:dyDescent="0.35">
      <c r="C2135">
        <f t="shared" si="34"/>
        <v>1905</v>
      </c>
      <c r="D2135" s="7">
        <v>2134</v>
      </c>
      <c r="E2135">
        <v>76.0227</v>
      </c>
    </row>
    <row r="2136" spans="3:5" x14ac:dyDescent="0.35">
      <c r="C2136">
        <f t="shared" si="34"/>
        <v>1905</v>
      </c>
      <c r="D2136" s="7">
        <v>2135</v>
      </c>
      <c r="E2136">
        <v>77.501099999999994</v>
      </c>
    </row>
    <row r="2137" spans="3:5" x14ac:dyDescent="0.35">
      <c r="C2137">
        <f t="shared" si="34"/>
        <v>1905</v>
      </c>
      <c r="D2137" s="7">
        <v>2136</v>
      </c>
      <c r="E2137">
        <v>81.1524</v>
      </c>
    </row>
    <row r="2138" spans="3:5" x14ac:dyDescent="0.35">
      <c r="C2138">
        <f t="shared" si="34"/>
        <v>1905</v>
      </c>
      <c r="D2138" s="7">
        <v>2137</v>
      </c>
      <c r="E2138">
        <v>75.278099999999995</v>
      </c>
    </row>
    <row r="2139" spans="3:5" x14ac:dyDescent="0.35">
      <c r="C2139">
        <f t="shared" si="34"/>
        <v>1905</v>
      </c>
      <c r="D2139" s="7">
        <v>2138</v>
      </c>
      <c r="E2139">
        <v>71.820999999999998</v>
      </c>
    </row>
    <row r="2140" spans="3:5" x14ac:dyDescent="0.35">
      <c r="C2140">
        <f t="shared" si="34"/>
        <v>1905</v>
      </c>
      <c r="D2140" s="7">
        <v>2139</v>
      </c>
      <c r="E2140">
        <v>72.853999999999999</v>
      </c>
    </row>
    <row r="2141" spans="3:5" x14ac:dyDescent="0.35">
      <c r="C2141">
        <f t="shared" si="34"/>
        <v>1905</v>
      </c>
      <c r="D2141" s="7">
        <v>2140</v>
      </c>
      <c r="E2141">
        <v>75.724199999999996</v>
      </c>
    </row>
    <row r="2142" spans="3:5" x14ac:dyDescent="0.35">
      <c r="C2142">
        <f t="shared" si="34"/>
        <v>1905</v>
      </c>
      <c r="D2142" s="7">
        <v>2141</v>
      </c>
      <c r="E2142">
        <v>78.135000000000005</v>
      </c>
    </row>
    <row r="2143" spans="3:5" x14ac:dyDescent="0.35">
      <c r="C2143">
        <f t="shared" si="34"/>
        <v>1905</v>
      </c>
      <c r="D2143" s="7">
        <v>2142</v>
      </c>
      <c r="E2143">
        <v>83.141900000000007</v>
      </c>
    </row>
    <row r="2144" spans="3:5" x14ac:dyDescent="0.35">
      <c r="C2144">
        <f t="shared" si="34"/>
        <v>1905</v>
      </c>
      <c r="D2144" s="7">
        <v>2143</v>
      </c>
      <c r="E2144">
        <v>85.068700000000007</v>
      </c>
    </row>
    <row r="2145" spans="3:5" x14ac:dyDescent="0.35">
      <c r="C2145">
        <f t="shared" si="34"/>
        <v>1905</v>
      </c>
      <c r="D2145" s="7">
        <v>2144</v>
      </c>
      <c r="E2145">
        <v>85.308999999999997</v>
      </c>
    </row>
    <row r="2146" spans="3:5" x14ac:dyDescent="0.35">
      <c r="C2146">
        <f t="shared" si="34"/>
        <v>1905</v>
      </c>
      <c r="D2146" s="7">
        <v>2145</v>
      </c>
      <c r="E2146">
        <v>84.676400000000001</v>
      </c>
    </row>
    <row r="2147" spans="3:5" x14ac:dyDescent="0.35">
      <c r="C2147">
        <f t="shared" si="34"/>
        <v>1905</v>
      </c>
      <c r="D2147" s="7">
        <v>2146</v>
      </c>
      <c r="E2147">
        <v>88.021299999999997</v>
      </c>
    </row>
    <row r="2148" spans="3:5" x14ac:dyDescent="0.35">
      <c r="C2148">
        <f t="shared" si="34"/>
        <v>1905</v>
      </c>
      <c r="D2148" s="7">
        <v>2147</v>
      </c>
      <c r="E2148">
        <v>85.625299999999996</v>
      </c>
    </row>
    <row r="2149" spans="3:5" x14ac:dyDescent="0.35">
      <c r="C2149">
        <f t="shared" si="34"/>
        <v>1905</v>
      </c>
      <c r="D2149" s="7">
        <v>2148</v>
      </c>
      <c r="E2149">
        <v>88.437100000000001</v>
      </c>
    </row>
    <row r="2150" spans="3:5" x14ac:dyDescent="0.35">
      <c r="C2150">
        <f t="shared" si="34"/>
        <v>1905</v>
      </c>
      <c r="D2150" s="7">
        <v>2149</v>
      </c>
      <c r="E2150">
        <v>87.003200000000007</v>
      </c>
    </row>
    <row r="2151" spans="3:5" x14ac:dyDescent="0.35">
      <c r="C2151">
        <f t="shared" si="34"/>
        <v>1905</v>
      </c>
      <c r="D2151" s="7">
        <v>2150</v>
      </c>
      <c r="E2151">
        <v>87.083699999999993</v>
      </c>
    </row>
    <row r="2152" spans="3:5" x14ac:dyDescent="0.35">
      <c r="C2152">
        <f t="shared" si="34"/>
        <v>1905</v>
      </c>
      <c r="D2152" s="7">
        <v>2151</v>
      </c>
      <c r="E2152">
        <v>88.245699999999999</v>
      </c>
    </row>
    <row r="2153" spans="3:5" x14ac:dyDescent="0.35">
      <c r="C2153">
        <f t="shared" si="34"/>
        <v>1905</v>
      </c>
      <c r="D2153" s="7">
        <v>2152</v>
      </c>
      <c r="E2153">
        <v>89.9</v>
      </c>
    </row>
    <row r="2154" spans="3:5" x14ac:dyDescent="0.35">
      <c r="C2154">
        <f t="shared" si="34"/>
        <v>1905</v>
      </c>
      <c r="D2154" s="7">
        <v>2153</v>
      </c>
      <c r="E2154">
        <v>88.9041</v>
      </c>
    </row>
    <row r="2155" spans="3:5" x14ac:dyDescent="0.35">
      <c r="C2155">
        <f t="shared" si="34"/>
        <v>1905</v>
      </c>
      <c r="D2155" s="7">
        <v>2154</v>
      </c>
      <c r="E2155">
        <v>87.2196</v>
      </c>
    </row>
    <row r="2156" spans="3:5" x14ac:dyDescent="0.35">
      <c r="C2156">
        <f t="shared" si="34"/>
        <v>1905</v>
      </c>
      <c r="D2156" s="7">
        <v>2155</v>
      </c>
      <c r="E2156">
        <v>87.491200000000006</v>
      </c>
    </row>
    <row r="2157" spans="3:5" x14ac:dyDescent="0.35">
      <c r="C2157">
        <f t="shared" si="34"/>
        <v>1905</v>
      </c>
      <c r="D2157" s="7">
        <v>2156</v>
      </c>
      <c r="E2157">
        <v>85.766999999999996</v>
      </c>
    </row>
    <row r="2158" spans="3:5" x14ac:dyDescent="0.35">
      <c r="C2158">
        <f t="shared" si="34"/>
        <v>1905</v>
      </c>
      <c r="D2158" s="7">
        <v>2157</v>
      </c>
      <c r="E2158">
        <v>84.450400000000002</v>
      </c>
    </row>
    <row r="2159" spans="3:5" x14ac:dyDescent="0.35">
      <c r="C2159">
        <f t="shared" si="34"/>
        <v>1905</v>
      </c>
      <c r="D2159" s="7">
        <v>2158</v>
      </c>
      <c r="E2159">
        <v>84.571899999999999</v>
      </c>
    </row>
    <row r="2160" spans="3:5" x14ac:dyDescent="0.35">
      <c r="C2160">
        <f t="shared" si="34"/>
        <v>1905</v>
      </c>
      <c r="D2160" s="7">
        <v>2159</v>
      </c>
      <c r="E2160">
        <v>84.021000000000001</v>
      </c>
    </row>
    <row r="2161" spans="3:5" x14ac:dyDescent="0.35">
      <c r="C2161">
        <f t="shared" si="34"/>
        <v>1905</v>
      </c>
      <c r="D2161" s="7">
        <v>2160</v>
      </c>
      <c r="E2161">
        <v>78.914900000000003</v>
      </c>
    </row>
    <row r="2162" spans="3:5" x14ac:dyDescent="0.35">
      <c r="C2162">
        <f t="shared" si="34"/>
        <v>1905</v>
      </c>
      <c r="D2162" s="7">
        <v>2161</v>
      </c>
      <c r="E2162">
        <v>63.378500000000003</v>
      </c>
    </row>
    <row r="2163" spans="3:5" x14ac:dyDescent="0.35">
      <c r="C2163">
        <f t="shared" si="34"/>
        <v>1905</v>
      </c>
      <c r="D2163" s="7">
        <v>2162</v>
      </c>
      <c r="E2163">
        <v>64.379599999999996</v>
      </c>
    </row>
    <row r="2164" spans="3:5" x14ac:dyDescent="0.35">
      <c r="C2164">
        <f t="shared" si="34"/>
        <v>1905</v>
      </c>
      <c r="D2164" s="7">
        <v>2163</v>
      </c>
      <c r="E2164">
        <v>65.924199999999999</v>
      </c>
    </row>
    <row r="2165" spans="3:5" x14ac:dyDescent="0.35">
      <c r="C2165">
        <f t="shared" si="34"/>
        <v>1905</v>
      </c>
      <c r="D2165" s="7">
        <v>2164</v>
      </c>
      <c r="E2165">
        <v>69.339799999999997</v>
      </c>
    </row>
    <row r="2166" spans="3:5" x14ac:dyDescent="0.35">
      <c r="C2166">
        <f t="shared" si="34"/>
        <v>1905</v>
      </c>
      <c r="D2166" s="7">
        <v>2165</v>
      </c>
      <c r="E2166">
        <v>69.041600000000003</v>
      </c>
    </row>
    <row r="2167" spans="3:5" x14ac:dyDescent="0.35">
      <c r="C2167">
        <f t="shared" si="34"/>
        <v>1905</v>
      </c>
      <c r="D2167" s="7">
        <v>2166</v>
      </c>
      <c r="E2167">
        <v>69.794600000000003</v>
      </c>
    </row>
    <row r="2168" spans="3:5" x14ac:dyDescent="0.35">
      <c r="C2168">
        <f t="shared" si="34"/>
        <v>1905</v>
      </c>
      <c r="D2168" s="7">
        <v>2167</v>
      </c>
      <c r="E2168">
        <v>68.424499999999995</v>
      </c>
    </row>
    <row r="2169" spans="3:5" x14ac:dyDescent="0.35">
      <c r="C2169">
        <f t="shared" si="34"/>
        <v>1905</v>
      </c>
      <c r="D2169" s="7">
        <v>2168</v>
      </c>
      <c r="E2169">
        <v>68.4238</v>
      </c>
    </row>
    <row r="2170" spans="3:5" x14ac:dyDescent="0.35">
      <c r="C2170">
        <f t="shared" si="34"/>
        <v>1905</v>
      </c>
      <c r="D2170" s="7">
        <v>2169</v>
      </c>
      <c r="E2170">
        <v>69.551299999999998</v>
      </c>
    </row>
    <row r="2171" spans="3:5" x14ac:dyDescent="0.35">
      <c r="C2171">
        <f t="shared" si="34"/>
        <v>1905</v>
      </c>
      <c r="D2171" s="7">
        <v>2170</v>
      </c>
      <c r="E2171">
        <v>67.6995</v>
      </c>
    </row>
    <row r="2172" spans="3:5" x14ac:dyDescent="0.35">
      <c r="C2172">
        <f t="shared" si="34"/>
        <v>1905</v>
      </c>
      <c r="D2172" s="7">
        <v>2171</v>
      </c>
      <c r="E2172">
        <v>70.718199999999996</v>
      </c>
    </row>
    <row r="2173" spans="3:5" x14ac:dyDescent="0.35">
      <c r="C2173">
        <f t="shared" si="34"/>
        <v>1905</v>
      </c>
      <c r="D2173" s="7">
        <v>2172</v>
      </c>
      <c r="E2173">
        <v>70.2273</v>
      </c>
    </row>
    <row r="2174" spans="3:5" x14ac:dyDescent="0.35">
      <c r="C2174">
        <f t="shared" si="34"/>
        <v>1905</v>
      </c>
      <c r="D2174" s="7">
        <v>2173</v>
      </c>
      <c r="E2174">
        <v>68.367800000000003</v>
      </c>
    </row>
    <row r="2175" spans="3:5" x14ac:dyDescent="0.35">
      <c r="C2175">
        <f t="shared" si="34"/>
        <v>1905</v>
      </c>
      <c r="D2175" s="7">
        <v>2174</v>
      </c>
      <c r="E2175">
        <v>66.554199999999994</v>
      </c>
    </row>
    <row r="2176" spans="3:5" x14ac:dyDescent="0.35">
      <c r="C2176">
        <f t="shared" si="34"/>
        <v>1905</v>
      </c>
      <c r="D2176" s="7">
        <v>2175</v>
      </c>
      <c r="E2176">
        <v>62.646099999999997</v>
      </c>
    </row>
    <row r="2177" spans="3:5" x14ac:dyDescent="0.35">
      <c r="C2177">
        <f t="shared" si="34"/>
        <v>1905</v>
      </c>
      <c r="D2177" s="7">
        <v>2176</v>
      </c>
      <c r="E2177">
        <v>66.594099999999997</v>
      </c>
    </row>
    <row r="2178" spans="3:5" x14ac:dyDescent="0.35">
      <c r="C2178">
        <f t="shared" si="34"/>
        <v>1905</v>
      </c>
      <c r="D2178" s="7">
        <v>2177</v>
      </c>
      <c r="E2178">
        <v>67.357900000000001</v>
      </c>
    </row>
    <row r="2179" spans="3:5" x14ac:dyDescent="0.35">
      <c r="C2179">
        <f t="shared" ref="C2179:C2242" si="35">YEAR(D2179)</f>
        <v>1905</v>
      </c>
      <c r="D2179" s="7">
        <v>2178</v>
      </c>
      <c r="E2179">
        <v>67.706000000000003</v>
      </c>
    </row>
    <row r="2180" spans="3:5" x14ac:dyDescent="0.35">
      <c r="C2180">
        <f t="shared" si="35"/>
        <v>1905</v>
      </c>
      <c r="D2180" s="7">
        <v>2179</v>
      </c>
      <c r="E2180">
        <v>67.959599999999995</v>
      </c>
    </row>
    <row r="2181" spans="3:5" x14ac:dyDescent="0.35">
      <c r="C2181">
        <f t="shared" si="35"/>
        <v>1905</v>
      </c>
      <c r="D2181" s="7">
        <v>2180</v>
      </c>
      <c r="E2181">
        <v>69.140699999999995</v>
      </c>
    </row>
    <row r="2182" spans="3:5" x14ac:dyDescent="0.35">
      <c r="C2182">
        <f t="shared" si="35"/>
        <v>1905</v>
      </c>
      <c r="D2182" s="7">
        <v>2181</v>
      </c>
      <c r="E2182">
        <v>72.084800000000001</v>
      </c>
    </row>
    <row r="2183" spans="3:5" x14ac:dyDescent="0.35">
      <c r="C2183">
        <f t="shared" si="35"/>
        <v>1905</v>
      </c>
      <c r="D2183" s="7">
        <v>2182</v>
      </c>
      <c r="E2183">
        <v>72.226699999999994</v>
      </c>
    </row>
    <row r="2184" spans="3:5" x14ac:dyDescent="0.35">
      <c r="C2184">
        <f t="shared" si="35"/>
        <v>1905</v>
      </c>
      <c r="D2184" s="7">
        <v>2183</v>
      </c>
      <c r="E2184">
        <v>74.064300000000003</v>
      </c>
    </row>
    <row r="2185" spans="3:5" x14ac:dyDescent="0.35">
      <c r="C2185">
        <f t="shared" si="35"/>
        <v>1905</v>
      </c>
      <c r="D2185" s="7">
        <v>2184</v>
      </c>
      <c r="E2185">
        <v>75.4251</v>
      </c>
    </row>
    <row r="2186" spans="3:5" x14ac:dyDescent="0.35">
      <c r="C2186">
        <f t="shared" si="35"/>
        <v>1905</v>
      </c>
      <c r="D2186" s="7">
        <v>2185</v>
      </c>
      <c r="E2186">
        <v>74.646699999999996</v>
      </c>
    </row>
    <row r="2187" spans="3:5" x14ac:dyDescent="0.35">
      <c r="C2187">
        <f t="shared" si="35"/>
        <v>1905</v>
      </c>
      <c r="D2187" s="7">
        <v>2186</v>
      </c>
      <c r="E2187">
        <v>74.638000000000005</v>
      </c>
    </row>
    <row r="2188" spans="3:5" x14ac:dyDescent="0.35">
      <c r="C2188">
        <f t="shared" si="35"/>
        <v>1905</v>
      </c>
      <c r="D2188" s="7">
        <v>2187</v>
      </c>
      <c r="E2188">
        <v>74.438000000000002</v>
      </c>
    </row>
    <row r="2189" spans="3:5" x14ac:dyDescent="0.35">
      <c r="C2189">
        <f t="shared" si="35"/>
        <v>1905</v>
      </c>
      <c r="D2189" s="7">
        <v>2188</v>
      </c>
      <c r="E2189">
        <v>74.626099999999994</v>
      </c>
    </row>
    <row r="2190" spans="3:5" x14ac:dyDescent="0.35">
      <c r="C2190">
        <f t="shared" si="35"/>
        <v>1905</v>
      </c>
      <c r="D2190" s="7">
        <v>2189</v>
      </c>
      <c r="E2190">
        <v>77.3613</v>
      </c>
    </row>
    <row r="2191" spans="3:5" x14ac:dyDescent="0.35">
      <c r="C2191">
        <f t="shared" si="35"/>
        <v>1905</v>
      </c>
      <c r="D2191" s="7">
        <v>2190</v>
      </c>
      <c r="E2191">
        <v>79.2744</v>
      </c>
    </row>
    <row r="2192" spans="3:5" x14ac:dyDescent="0.35">
      <c r="C2192">
        <f t="shared" si="35"/>
        <v>1905</v>
      </c>
      <c r="D2192" s="7">
        <v>2191</v>
      </c>
      <c r="E2192">
        <v>79.444100000000006</v>
      </c>
    </row>
    <row r="2193" spans="3:5" x14ac:dyDescent="0.35">
      <c r="C2193">
        <f t="shared" si="35"/>
        <v>1905</v>
      </c>
      <c r="D2193" s="7">
        <v>2192</v>
      </c>
      <c r="E2193">
        <v>80.858800000000002</v>
      </c>
    </row>
    <row r="2194" spans="3:5" x14ac:dyDescent="0.35">
      <c r="C2194">
        <f t="shared" si="35"/>
        <v>1906</v>
      </c>
      <c r="D2194" s="7">
        <v>2193</v>
      </c>
      <c r="E2194">
        <v>82.444199999999995</v>
      </c>
    </row>
    <row r="2195" spans="3:5" x14ac:dyDescent="0.35">
      <c r="C2195">
        <f t="shared" si="35"/>
        <v>1906</v>
      </c>
      <c r="D2195" s="7">
        <v>2194</v>
      </c>
      <c r="E2195">
        <v>83.194299999999998</v>
      </c>
    </row>
    <row r="2196" spans="3:5" x14ac:dyDescent="0.35">
      <c r="C2196">
        <f t="shared" si="35"/>
        <v>1906</v>
      </c>
      <c r="D2196" s="7">
        <v>2195</v>
      </c>
      <c r="E2196">
        <v>80.805999999999997</v>
      </c>
    </row>
    <row r="2197" spans="3:5" x14ac:dyDescent="0.35">
      <c r="C2197">
        <f t="shared" si="35"/>
        <v>1906</v>
      </c>
      <c r="D2197" s="7">
        <v>2196</v>
      </c>
      <c r="E2197">
        <v>78.854799999999997</v>
      </c>
    </row>
    <row r="2198" spans="3:5" x14ac:dyDescent="0.35">
      <c r="C2198">
        <f t="shared" si="35"/>
        <v>1906</v>
      </c>
      <c r="D2198" s="7">
        <v>2197</v>
      </c>
      <c r="E2198">
        <v>76.987099999999998</v>
      </c>
    </row>
    <row r="2199" spans="3:5" x14ac:dyDescent="0.35">
      <c r="C2199">
        <f t="shared" si="35"/>
        <v>1906</v>
      </c>
      <c r="D2199" s="7">
        <v>2198</v>
      </c>
      <c r="E2199">
        <v>73.624700000000004</v>
      </c>
    </row>
    <row r="2200" spans="3:5" x14ac:dyDescent="0.35">
      <c r="C2200">
        <f t="shared" si="35"/>
        <v>1906</v>
      </c>
      <c r="D2200" s="7">
        <v>2199</v>
      </c>
      <c r="E2200">
        <v>73.551400000000001</v>
      </c>
    </row>
    <row r="2201" spans="3:5" x14ac:dyDescent="0.35">
      <c r="C2201">
        <f t="shared" si="35"/>
        <v>1906</v>
      </c>
      <c r="D2201" s="7">
        <v>2200</v>
      </c>
      <c r="E2201">
        <v>75.878600000000006</v>
      </c>
    </row>
    <row r="2202" spans="3:5" x14ac:dyDescent="0.35">
      <c r="C2202">
        <f t="shared" si="35"/>
        <v>1906</v>
      </c>
      <c r="D2202" s="7">
        <v>2201</v>
      </c>
      <c r="E2202">
        <v>75.583600000000004</v>
      </c>
    </row>
    <row r="2203" spans="3:5" x14ac:dyDescent="0.35">
      <c r="C2203">
        <f t="shared" si="35"/>
        <v>1906</v>
      </c>
      <c r="D2203" s="7">
        <v>2202</v>
      </c>
      <c r="E2203">
        <v>71.580399999999997</v>
      </c>
    </row>
    <row r="2204" spans="3:5" x14ac:dyDescent="0.35">
      <c r="C2204">
        <f t="shared" si="35"/>
        <v>1906</v>
      </c>
      <c r="D2204" s="7">
        <v>2203</v>
      </c>
      <c r="E2204">
        <v>68.693899999999999</v>
      </c>
    </row>
    <row r="2205" spans="3:5" x14ac:dyDescent="0.35">
      <c r="C2205">
        <f t="shared" si="35"/>
        <v>1906</v>
      </c>
      <c r="D2205" s="7">
        <v>2204</v>
      </c>
      <c r="E2205">
        <v>74.780500000000004</v>
      </c>
    </row>
    <row r="2206" spans="3:5" x14ac:dyDescent="0.35">
      <c r="C2206">
        <f t="shared" si="35"/>
        <v>1906</v>
      </c>
      <c r="D2206" s="7">
        <v>2205</v>
      </c>
      <c r="E2206">
        <v>77.940899999999999</v>
      </c>
    </row>
    <row r="2207" spans="3:5" x14ac:dyDescent="0.35">
      <c r="C2207">
        <f t="shared" si="35"/>
        <v>1906</v>
      </c>
      <c r="D2207" s="7">
        <v>2206</v>
      </c>
      <c r="E2207">
        <v>76.333399999999997</v>
      </c>
    </row>
    <row r="2208" spans="3:5" x14ac:dyDescent="0.35">
      <c r="C2208">
        <f t="shared" si="35"/>
        <v>1906</v>
      </c>
      <c r="D2208" s="7">
        <v>2207</v>
      </c>
      <c r="E2208">
        <v>73.909099999999995</v>
      </c>
    </row>
    <row r="2209" spans="3:5" x14ac:dyDescent="0.35">
      <c r="C2209">
        <f t="shared" si="35"/>
        <v>1906</v>
      </c>
      <c r="D2209" s="7">
        <v>2208</v>
      </c>
      <c r="E2209">
        <v>75.159700000000001</v>
      </c>
    </row>
    <row r="2210" spans="3:5" x14ac:dyDescent="0.35">
      <c r="C2210">
        <f t="shared" si="35"/>
        <v>1906</v>
      </c>
      <c r="D2210" s="7">
        <v>2209</v>
      </c>
      <c r="E2210">
        <v>72.744299999999996</v>
      </c>
    </row>
    <row r="2211" spans="3:5" x14ac:dyDescent="0.35">
      <c r="C2211">
        <f t="shared" si="35"/>
        <v>1906</v>
      </c>
      <c r="D2211" s="7">
        <v>2210</v>
      </c>
      <c r="E2211">
        <v>70.720100000000002</v>
      </c>
    </row>
    <row r="2212" spans="3:5" x14ac:dyDescent="0.35">
      <c r="C2212">
        <f t="shared" si="35"/>
        <v>1906</v>
      </c>
      <c r="D2212" s="7">
        <v>2211</v>
      </c>
      <c r="E2212">
        <v>68.987099999999998</v>
      </c>
    </row>
    <row r="2213" spans="3:5" x14ac:dyDescent="0.35">
      <c r="C2213">
        <f t="shared" si="35"/>
        <v>1906</v>
      </c>
      <c r="D2213" s="7">
        <v>2212</v>
      </c>
      <c r="E2213">
        <v>68.585700000000003</v>
      </c>
    </row>
    <row r="2214" spans="3:5" x14ac:dyDescent="0.35">
      <c r="C2214">
        <f t="shared" si="35"/>
        <v>1906</v>
      </c>
      <c r="D2214" s="7">
        <v>2213</v>
      </c>
      <c r="E2214">
        <v>70.669399999999996</v>
      </c>
    </row>
    <row r="2215" spans="3:5" x14ac:dyDescent="0.35">
      <c r="C2215">
        <f t="shared" si="35"/>
        <v>1906</v>
      </c>
      <c r="D2215" s="7">
        <v>2214</v>
      </c>
      <c r="E2215">
        <v>69.453500000000005</v>
      </c>
    </row>
    <row r="2216" spans="3:5" x14ac:dyDescent="0.35">
      <c r="C2216">
        <f t="shared" si="35"/>
        <v>1906</v>
      </c>
      <c r="D2216" s="7">
        <v>2215</v>
      </c>
      <c r="E2216">
        <v>70.485100000000003</v>
      </c>
    </row>
    <row r="2217" spans="3:5" x14ac:dyDescent="0.35">
      <c r="C2217">
        <f t="shared" si="35"/>
        <v>1906</v>
      </c>
      <c r="D2217" s="7">
        <v>2216</v>
      </c>
      <c r="E2217">
        <v>66.991699999999994</v>
      </c>
    </row>
    <row r="2218" spans="3:5" x14ac:dyDescent="0.35">
      <c r="C2218">
        <f t="shared" si="35"/>
        <v>1906</v>
      </c>
      <c r="D2218" s="7">
        <v>2217</v>
      </c>
      <c r="E2218">
        <v>65.582099999999997</v>
      </c>
    </row>
    <row r="2219" spans="3:5" x14ac:dyDescent="0.35">
      <c r="C2219">
        <f t="shared" si="35"/>
        <v>1906</v>
      </c>
      <c r="D2219" s="7">
        <v>2218</v>
      </c>
      <c r="E2219">
        <v>65.885900000000007</v>
      </c>
    </row>
    <row r="2220" spans="3:5" x14ac:dyDescent="0.35">
      <c r="C2220">
        <f t="shared" si="35"/>
        <v>1906</v>
      </c>
      <c r="D2220" s="7">
        <v>2219</v>
      </c>
      <c r="E2220">
        <v>69.246200000000002</v>
      </c>
    </row>
    <row r="2221" spans="3:5" x14ac:dyDescent="0.35">
      <c r="C2221">
        <f t="shared" si="35"/>
        <v>1906</v>
      </c>
      <c r="D2221" s="7">
        <v>2220</v>
      </c>
      <c r="E2221">
        <v>71.1571</v>
      </c>
    </row>
    <row r="2222" spans="3:5" x14ac:dyDescent="0.35">
      <c r="C2222">
        <f t="shared" si="35"/>
        <v>1906</v>
      </c>
      <c r="D2222" s="7">
        <v>2221</v>
      </c>
      <c r="E2222">
        <v>70.321299999999994</v>
      </c>
    </row>
    <row r="2223" spans="3:5" x14ac:dyDescent="0.35">
      <c r="C2223">
        <f t="shared" si="35"/>
        <v>1906</v>
      </c>
      <c r="D2223" s="7">
        <v>2222</v>
      </c>
      <c r="E2223">
        <v>73.761899999999997</v>
      </c>
    </row>
    <row r="2224" spans="3:5" x14ac:dyDescent="0.35">
      <c r="C2224">
        <f t="shared" si="35"/>
        <v>1906</v>
      </c>
      <c r="D2224" s="7">
        <v>2223</v>
      </c>
      <c r="E2224">
        <v>69.470399999999998</v>
      </c>
    </row>
    <row r="2225" spans="3:5" x14ac:dyDescent="0.35">
      <c r="C2225">
        <f t="shared" si="35"/>
        <v>1906</v>
      </c>
      <c r="D2225" s="7">
        <v>2224</v>
      </c>
      <c r="E2225">
        <v>71.671499999999995</v>
      </c>
    </row>
    <row r="2226" spans="3:5" x14ac:dyDescent="0.35">
      <c r="C2226">
        <f t="shared" si="35"/>
        <v>1906</v>
      </c>
      <c r="D2226" s="7">
        <v>2225</v>
      </c>
      <c r="E2226">
        <v>70.219099999999997</v>
      </c>
    </row>
    <row r="2227" spans="3:5" x14ac:dyDescent="0.35">
      <c r="C2227">
        <f t="shared" si="35"/>
        <v>1906</v>
      </c>
      <c r="D2227" s="7">
        <v>2226</v>
      </c>
      <c r="E2227">
        <v>73.518900000000002</v>
      </c>
    </row>
    <row r="2228" spans="3:5" x14ac:dyDescent="0.35">
      <c r="C2228">
        <f t="shared" si="35"/>
        <v>1906</v>
      </c>
      <c r="D2228" s="7">
        <v>2227</v>
      </c>
      <c r="E2228">
        <v>75.868200000000002</v>
      </c>
    </row>
    <row r="2229" spans="3:5" x14ac:dyDescent="0.35">
      <c r="C2229">
        <f t="shared" si="35"/>
        <v>1906</v>
      </c>
      <c r="D2229" s="7">
        <v>2228</v>
      </c>
      <c r="E2229">
        <v>76.134900000000002</v>
      </c>
    </row>
    <row r="2230" spans="3:5" x14ac:dyDescent="0.35">
      <c r="C2230">
        <f t="shared" si="35"/>
        <v>1906</v>
      </c>
      <c r="D2230" s="7">
        <v>2229</v>
      </c>
      <c r="E2230">
        <v>75.433899999999994</v>
      </c>
    </row>
    <row r="2231" spans="3:5" x14ac:dyDescent="0.35">
      <c r="C2231">
        <f t="shared" si="35"/>
        <v>1906</v>
      </c>
      <c r="D2231" s="7">
        <v>2230</v>
      </c>
      <c r="E2231">
        <v>77.942899999999995</v>
      </c>
    </row>
    <row r="2232" spans="3:5" x14ac:dyDescent="0.35">
      <c r="C2232">
        <f t="shared" si="35"/>
        <v>1906</v>
      </c>
      <c r="D2232" s="7">
        <v>2231</v>
      </c>
      <c r="E2232">
        <v>76.229699999999994</v>
      </c>
    </row>
    <row r="2233" spans="3:5" x14ac:dyDescent="0.35">
      <c r="C2233">
        <f t="shared" si="35"/>
        <v>1906</v>
      </c>
      <c r="D2233" s="7">
        <v>2232</v>
      </c>
      <c r="E2233">
        <v>77.312399999999997</v>
      </c>
    </row>
    <row r="2234" spans="3:5" x14ac:dyDescent="0.35">
      <c r="C2234">
        <f t="shared" si="35"/>
        <v>1906</v>
      </c>
      <c r="D2234" s="7">
        <v>2233</v>
      </c>
      <c r="E2234">
        <v>81.154600000000002</v>
      </c>
    </row>
    <row r="2235" spans="3:5" x14ac:dyDescent="0.35">
      <c r="C2235">
        <f t="shared" si="35"/>
        <v>1906</v>
      </c>
      <c r="D2235" s="7">
        <v>2234</v>
      </c>
      <c r="E2235">
        <v>82.038399999999996</v>
      </c>
    </row>
    <row r="2236" spans="3:5" x14ac:dyDescent="0.35">
      <c r="C2236">
        <f t="shared" si="35"/>
        <v>1906</v>
      </c>
      <c r="D2236" s="7">
        <v>2235</v>
      </c>
      <c r="E2236">
        <v>83.578500000000005</v>
      </c>
    </row>
    <row r="2237" spans="3:5" x14ac:dyDescent="0.35">
      <c r="C2237">
        <f t="shared" si="35"/>
        <v>1906</v>
      </c>
      <c r="D2237" s="7">
        <v>2236</v>
      </c>
      <c r="E2237">
        <v>83.384600000000006</v>
      </c>
    </row>
    <row r="2238" spans="3:5" x14ac:dyDescent="0.35">
      <c r="C2238">
        <f t="shared" si="35"/>
        <v>1906</v>
      </c>
      <c r="D2238" s="7">
        <v>2237</v>
      </c>
      <c r="E2238">
        <v>82.571600000000004</v>
      </c>
    </row>
    <row r="2239" spans="3:5" x14ac:dyDescent="0.35">
      <c r="C2239">
        <f t="shared" si="35"/>
        <v>1906</v>
      </c>
      <c r="D2239" s="7">
        <v>2238</v>
      </c>
      <c r="E2239">
        <v>84.061099999999996</v>
      </c>
    </row>
    <row r="2240" spans="3:5" x14ac:dyDescent="0.35">
      <c r="C2240">
        <f t="shared" si="35"/>
        <v>1906</v>
      </c>
      <c r="D2240" s="7">
        <v>2239</v>
      </c>
      <c r="E2240">
        <v>79.358999999999995</v>
      </c>
    </row>
    <row r="2241" spans="3:5" x14ac:dyDescent="0.35">
      <c r="C2241">
        <f t="shared" si="35"/>
        <v>1906</v>
      </c>
      <c r="D2241" s="7">
        <v>2240</v>
      </c>
      <c r="E2241">
        <v>76.174499999999995</v>
      </c>
    </row>
    <row r="2242" spans="3:5" x14ac:dyDescent="0.35">
      <c r="C2242">
        <f t="shared" si="35"/>
        <v>1906</v>
      </c>
      <c r="D2242" s="7">
        <v>2241</v>
      </c>
      <c r="E2242">
        <v>77.251900000000006</v>
      </c>
    </row>
    <row r="2243" spans="3:5" x14ac:dyDescent="0.35">
      <c r="C2243">
        <f t="shared" ref="C2243:C2306" si="36">YEAR(D2243)</f>
        <v>1906</v>
      </c>
      <c r="D2243" s="7">
        <v>2242</v>
      </c>
      <c r="E2243">
        <v>75.522300000000001</v>
      </c>
    </row>
    <row r="2244" spans="3:5" x14ac:dyDescent="0.35">
      <c r="C2244">
        <f t="shared" si="36"/>
        <v>1906</v>
      </c>
      <c r="D2244" s="7">
        <v>2243</v>
      </c>
      <c r="E2244">
        <v>75.744500000000002</v>
      </c>
    </row>
    <row r="2245" spans="3:5" x14ac:dyDescent="0.35">
      <c r="C2245">
        <f t="shared" si="36"/>
        <v>1906</v>
      </c>
      <c r="D2245" s="7">
        <v>2244</v>
      </c>
      <c r="E2245">
        <v>75.253299999999996</v>
      </c>
    </row>
    <row r="2246" spans="3:5" x14ac:dyDescent="0.35">
      <c r="C2246">
        <f t="shared" si="36"/>
        <v>1906</v>
      </c>
      <c r="D2246" s="7">
        <v>2245</v>
      </c>
      <c r="E2246">
        <v>71.111199999999997</v>
      </c>
    </row>
    <row r="2247" spans="3:5" x14ac:dyDescent="0.35">
      <c r="C2247">
        <f t="shared" si="36"/>
        <v>1906</v>
      </c>
      <c r="D2247" s="7">
        <v>2246</v>
      </c>
      <c r="E2247">
        <v>71.760099999999994</v>
      </c>
    </row>
    <row r="2248" spans="3:5" x14ac:dyDescent="0.35">
      <c r="C2248">
        <f t="shared" si="36"/>
        <v>1906</v>
      </c>
      <c r="D2248" s="7">
        <v>2247</v>
      </c>
      <c r="E2248">
        <v>70.137299999999996</v>
      </c>
    </row>
    <row r="2249" spans="3:5" x14ac:dyDescent="0.35">
      <c r="C2249">
        <f t="shared" si="36"/>
        <v>1906</v>
      </c>
      <c r="D2249" s="7">
        <v>2248</v>
      </c>
      <c r="E2249">
        <v>68.5184</v>
      </c>
    </row>
    <row r="2250" spans="3:5" x14ac:dyDescent="0.35">
      <c r="C2250">
        <f t="shared" si="36"/>
        <v>1906</v>
      </c>
      <c r="D2250" s="7">
        <v>2249</v>
      </c>
      <c r="E2250">
        <v>71.503299999999996</v>
      </c>
    </row>
    <row r="2251" spans="3:5" x14ac:dyDescent="0.35">
      <c r="C2251">
        <f t="shared" si="36"/>
        <v>1906</v>
      </c>
      <c r="D2251" s="7">
        <v>2250</v>
      </c>
      <c r="E2251">
        <v>75.415899999999993</v>
      </c>
    </row>
    <row r="2252" spans="3:5" x14ac:dyDescent="0.35">
      <c r="C2252">
        <f t="shared" si="36"/>
        <v>1906</v>
      </c>
      <c r="D2252" s="7">
        <v>2251</v>
      </c>
      <c r="E2252">
        <v>75.921400000000006</v>
      </c>
    </row>
    <row r="2253" spans="3:5" x14ac:dyDescent="0.35">
      <c r="C2253">
        <f t="shared" si="36"/>
        <v>1906</v>
      </c>
      <c r="D2253" s="7">
        <v>2252</v>
      </c>
      <c r="E2253">
        <v>77.190299999999993</v>
      </c>
    </row>
    <row r="2254" spans="3:5" x14ac:dyDescent="0.35">
      <c r="C2254">
        <f t="shared" si="36"/>
        <v>1906</v>
      </c>
      <c r="D2254" s="7">
        <v>2253</v>
      </c>
      <c r="E2254">
        <v>74.712900000000005</v>
      </c>
    </row>
    <row r="2255" spans="3:5" x14ac:dyDescent="0.35">
      <c r="C2255">
        <f t="shared" si="36"/>
        <v>1906</v>
      </c>
      <c r="D2255" s="7">
        <v>2254</v>
      </c>
      <c r="E2255">
        <v>74.943399999999997</v>
      </c>
    </row>
    <row r="2256" spans="3:5" x14ac:dyDescent="0.35">
      <c r="C2256">
        <f t="shared" si="36"/>
        <v>1906</v>
      </c>
      <c r="D2256" s="7">
        <v>2255</v>
      </c>
      <c r="E2256">
        <v>74.934600000000003</v>
      </c>
    </row>
    <row r="2257" spans="3:5" x14ac:dyDescent="0.35">
      <c r="C2257">
        <f t="shared" si="36"/>
        <v>1906</v>
      </c>
      <c r="D2257" s="7">
        <v>2256</v>
      </c>
      <c r="E2257">
        <v>73.408900000000003</v>
      </c>
    </row>
    <row r="2258" spans="3:5" x14ac:dyDescent="0.35">
      <c r="C2258">
        <f t="shared" si="36"/>
        <v>1906</v>
      </c>
      <c r="D2258" s="7">
        <v>2257</v>
      </c>
      <c r="E2258">
        <v>74.2744</v>
      </c>
    </row>
    <row r="2259" spans="3:5" x14ac:dyDescent="0.35">
      <c r="C2259">
        <f t="shared" si="36"/>
        <v>1906</v>
      </c>
      <c r="D2259" s="7">
        <v>2258</v>
      </c>
      <c r="E2259">
        <v>71.987499999999997</v>
      </c>
    </row>
    <row r="2260" spans="3:5" x14ac:dyDescent="0.35">
      <c r="C2260">
        <f t="shared" si="36"/>
        <v>1906</v>
      </c>
      <c r="D2260" s="7">
        <v>2259</v>
      </c>
      <c r="E2260">
        <v>66.138999999999996</v>
      </c>
    </row>
    <row r="2261" spans="3:5" x14ac:dyDescent="0.35">
      <c r="C2261">
        <f t="shared" si="36"/>
        <v>1906</v>
      </c>
      <c r="D2261" s="7">
        <v>2260</v>
      </c>
      <c r="E2261">
        <v>66.866900000000001</v>
      </c>
    </row>
    <row r="2262" spans="3:5" x14ac:dyDescent="0.35">
      <c r="C2262">
        <f t="shared" si="36"/>
        <v>1906</v>
      </c>
      <c r="D2262" s="7">
        <v>2261</v>
      </c>
      <c r="E2262">
        <v>68.334599999999995</v>
      </c>
    </row>
    <row r="2263" spans="3:5" x14ac:dyDescent="0.35">
      <c r="C2263">
        <f t="shared" si="36"/>
        <v>1906</v>
      </c>
      <c r="D2263" s="7">
        <v>2262</v>
      </c>
      <c r="E2263">
        <v>67.938400000000001</v>
      </c>
    </row>
    <row r="2264" spans="3:5" x14ac:dyDescent="0.35">
      <c r="C2264">
        <f t="shared" si="36"/>
        <v>1906</v>
      </c>
      <c r="D2264" s="7">
        <v>2263</v>
      </c>
      <c r="E2264">
        <v>65.871600000000001</v>
      </c>
    </row>
    <row r="2265" spans="3:5" x14ac:dyDescent="0.35">
      <c r="C2265">
        <f t="shared" si="36"/>
        <v>1906</v>
      </c>
      <c r="D2265" s="7">
        <v>2264</v>
      </c>
      <c r="E2265">
        <v>66.146600000000007</v>
      </c>
    </row>
    <row r="2266" spans="3:5" x14ac:dyDescent="0.35">
      <c r="C2266">
        <f t="shared" si="36"/>
        <v>1906</v>
      </c>
      <c r="D2266" s="7">
        <v>2265</v>
      </c>
      <c r="E2266">
        <v>67.091700000000003</v>
      </c>
    </row>
    <row r="2267" spans="3:5" x14ac:dyDescent="0.35">
      <c r="C2267">
        <f t="shared" si="36"/>
        <v>1906</v>
      </c>
      <c r="D2267" s="7">
        <v>2266</v>
      </c>
      <c r="E2267">
        <v>66.122399999999999</v>
      </c>
    </row>
    <row r="2268" spans="3:5" x14ac:dyDescent="0.35">
      <c r="C2268">
        <f t="shared" si="36"/>
        <v>1906</v>
      </c>
      <c r="D2268" s="7">
        <v>2267</v>
      </c>
      <c r="E2268">
        <v>64.655500000000004</v>
      </c>
    </row>
    <row r="2269" spans="3:5" x14ac:dyDescent="0.35">
      <c r="C2269">
        <f t="shared" si="36"/>
        <v>1906</v>
      </c>
      <c r="D2269" s="7">
        <v>2268</v>
      </c>
      <c r="E2269">
        <v>63.711799999999997</v>
      </c>
    </row>
    <row r="2270" spans="3:5" x14ac:dyDescent="0.35">
      <c r="C2270">
        <f t="shared" si="36"/>
        <v>1906</v>
      </c>
      <c r="D2270" s="7">
        <v>2269</v>
      </c>
      <c r="E2270">
        <v>64.208699999999993</v>
      </c>
    </row>
    <row r="2271" spans="3:5" x14ac:dyDescent="0.35">
      <c r="C2271">
        <f t="shared" si="36"/>
        <v>1906</v>
      </c>
      <c r="D2271" s="7">
        <v>2270</v>
      </c>
      <c r="E2271">
        <v>65.441299999999998</v>
      </c>
    </row>
    <row r="2272" spans="3:5" x14ac:dyDescent="0.35">
      <c r="C2272">
        <f t="shared" si="36"/>
        <v>1906</v>
      </c>
      <c r="D2272" s="7">
        <v>2271</v>
      </c>
      <c r="E2272">
        <v>65.573700000000002</v>
      </c>
    </row>
    <row r="2273" spans="3:5" x14ac:dyDescent="0.35">
      <c r="C2273">
        <f t="shared" si="36"/>
        <v>1906</v>
      </c>
      <c r="D2273" s="7">
        <v>2272</v>
      </c>
      <c r="E2273">
        <v>66.555199999999999</v>
      </c>
    </row>
    <row r="2274" spans="3:5" x14ac:dyDescent="0.35">
      <c r="C2274">
        <f t="shared" si="36"/>
        <v>1906</v>
      </c>
      <c r="D2274" s="7">
        <v>2273</v>
      </c>
      <c r="E2274">
        <v>67.732900000000001</v>
      </c>
    </row>
    <row r="2275" spans="3:5" x14ac:dyDescent="0.35">
      <c r="C2275">
        <f t="shared" si="36"/>
        <v>1906</v>
      </c>
      <c r="D2275" s="7">
        <v>2274</v>
      </c>
      <c r="E2275">
        <v>66.840100000000007</v>
      </c>
    </row>
    <row r="2276" spans="3:5" x14ac:dyDescent="0.35">
      <c r="C2276">
        <f t="shared" si="36"/>
        <v>1906</v>
      </c>
      <c r="D2276" s="7">
        <v>2275</v>
      </c>
      <c r="E2276">
        <v>68.260599999999997</v>
      </c>
    </row>
    <row r="2277" spans="3:5" x14ac:dyDescent="0.35">
      <c r="C2277">
        <f t="shared" si="36"/>
        <v>1906</v>
      </c>
      <c r="D2277" s="7">
        <v>2276</v>
      </c>
      <c r="E2277">
        <v>67.849199999999996</v>
      </c>
    </row>
    <row r="2278" spans="3:5" x14ac:dyDescent="0.35">
      <c r="C2278">
        <f t="shared" si="36"/>
        <v>1906</v>
      </c>
      <c r="D2278" s="7">
        <v>2277</v>
      </c>
      <c r="E2278">
        <v>70.764300000000006</v>
      </c>
    </row>
    <row r="2279" spans="3:5" x14ac:dyDescent="0.35">
      <c r="C2279">
        <f t="shared" si="36"/>
        <v>1906</v>
      </c>
      <c r="D2279" s="7">
        <v>2278</v>
      </c>
      <c r="E2279">
        <v>69.613699999999994</v>
      </c>
    </row>
    <row r="2280" spans="3:5" x14ac:dyDescent="0.35">
      <c r="C2280">
        <f t="shared" si="36"/>
        <v>1906</v>
      </c>
      <c r="D2280" s="7">
        <v>2279</v>
      </c>
      <c r="E2280">
        <v>67.069100000000006</v>
      </c>
    </row>
    <row r="2281" spans="3:5" x14ac:dyDescent="0.35">
      <c r="C2281">
        <f t="shared" si="36"/>
        <v>1906</v>
      </c>
      <c r="D2281" s="7">
        <v>2280</v>
      </c>
      <c r="E2281">
        <v>67.8369</v>
      </c>
    </row>
    <row r="2282" spans="3:5" x14ac:dyDescent="0.35">
      <c r="C2282">
        <f t="shared" si="36"/>
        <v>1906</v>
      </c>
      <c r="D2282" s="7">
        <v>2281</v>
      </c>
      <c r="E2282">
        <v>65.857900000000001</v>
      </c>
    </row>
    <row r="2283" spans="3:5" x14ac:dyDescent="0.35">
      <c r="C2283">
        <f t="shared" si="36"/>
        <v>1906</v>
      </c>
      <c r="D2283" s="7">
        <v>2282</v>
      </c>
      <c r="E2283">
        <v>67.915899999999993</v>
      </c>
    </row>
    <row r="2284" spans="3:5" x14ac:dyDescent="0.35">
      <c r="C2284">
        <f t="shared" si="36"/>
        <v>1906</v>
      </c>
      <c r="D2284" s="7">
        <v>2283</v>
      </c>
      <c r="E2284">
        <v>66.815399999999997</v>
      </c>
    </row>
    <row r="2285" spans="3:5" x14ac:dyDescent="0.35">
      <c r="C2285">
        <f t="shared" si="36"/>
        <v>1906</v>
      </c>
      <c r="D2285" s="7">
        <v>2284</v>
      </c>
      <c r="E2285">
        <v>66.071899999999999</v>
      </c>
    </row>
    <row r="2286" spans="3:5" x14ac:dyDescent="0.35">
      <c r="C2286">
        <f t="shared" si="36"/>
        <v>1906</v>
      </c>
      <c r="D2286" s="7">
        <v>2285</v>
      </c>
      <c r="E2286">
        <v>68.979900000000001</v>
      </c>
    </row>
    <row r="2287" spans="3:5" x14ac:dyDescent="0.35">
      <c r="C2287">
        <f t="shared" si="36"/>
        <v>1906</v>
      </c>
      <c r="D2287" s="7">
        <v>2286</v>
      </c>
      <c r="E2287">
        <v>65.107299999999995</v>
      </c>
    </row>
    <row r="2288" spans="3:5" x14ac:dyDescent="0.35">
      <c r="C2288">
        <f t="shared" si="36"/>
        <v>1906</v>
      </c>
      <c r="D2288" s="7">
        <v>2287</v>
      </c>
      <c r="E2288">
        <v>62.308100000000003</v>
      </c>
    </row>
    <row r="2289" spans="3:5" x14ac:dyDescent="0.35">
      <c r="C2289">
        <f t="shared" si="36"/>
        <v>1906</v>
      </c>
      <c r="D2289" s="7">
        <v>2288</v>
      </c>
      <c r="E2289">
        <v>63.639099999999999</v>
      </c>
    </row>
    <row r="2290" spans="3:5" x14ac:dyDescent="0.35">
      <c r="C2290">
        <f t="shared" si="36"/>
        <v>1906</v>
      </c>
      <c r="D2290" s="7">
        <v>2289</v>
      </c>
      <c r="E2290">
        <v>61.364699999999999</v>
      </c>
    </row>
    <row r="2291" spans="3:5" x14ac:dyDescent="0.35">
      <c r="C2291">
        <f t="shared" si="36"/>
        <v>1906</v>
      </c>
      <c r="D2291" s="7">
        <v>2290</v>
      </c>
      <c r="E2291">
        <v>58.385899999999999</v>
      </c>
    </row>
    <row r="2292" spans="3:5" x14ac:dyDescent="0.35">
      <c r="C2292">
        <f t="shared" si="36"/>
        <v>1906</v>
      </c>
      <c r="D2292" s="7">
        <v>2291</v>
      </c>
      <c r="E2292">
        <v>58.866799999999998</v>
      </c>
    </row>
    <row r="2293" spans="3:5" x14ac:dyDescent="0.35">
      <c r="C2293">
        <f t="shared" si="36"/>
        <v>1906</v>
      </c>
      <c r="D2293" s="7">
        <v>2292</v>
      </c>
      <c r="E2293">
        <v>60.219799999999999</v>
      </c>
    </row>
    <row r="2294" spans="3:5" x14ac:dyDescent="0.35">
      <c r="C2294">
        <f t="shared" si="36"/>
        <v>1906</v>
      </c>
      <c r="D2294" s="7">
        <v>2293</v>
      </c>
      <c r="E2294">
        <v>62.209200000000003</v>
      </c>
    </row>
    <row r="2295" spans="3:5" x14ac:dyDescent="0.35">
      <c r="C2295">
        <f t="shared" si="36"/>
        <v>1906</v>
      </c>
      <c r="D2295" s="7">
        <v>2294</v>
      </c>
      <c r="E2295">
        <v>61.783700000000003</v>
      </c>
    </row>
    <row r="2296" spans="3:5" x14ac:dyDescent="0.35">
      <c r="C2296">
        <f t="shared" si="36"/>
        <v>1906</v>
      </c>
      <c r="D2296" s="7">
        <v>2295</v>
      </c>
      <c r="E2296">
        <v>63.6081</v>
      </c>
    </row>
    <row r="2297" spans="3:5" x14ac:dyDescent="0.35">
      <c r="C2297">
        <f t="shared" si="36"/>
        <v>1906</v>
      </c>
      <c r="D2297" s="7">
        <v>2296</v>
      </c>
      <c r="E2297">
        <v>62.217500000000001</v>
      </c>
    </row>
    <row r="2298" spans="3:5" x14ac:dyDescent="0.35">
      <c r="C2298">
        <f t="shared" si="36"/>
        <v>1906</v>
      </c>
      <c r="D2298" s="7">
        <v>2297</v>
      </c>
      <c r="E2298">
        <v>63.232100000000003</v>
      </c>
    </row>
    <row r="2299" spans="3:5" x14ac:dyDescent="0.35">
      <c r="C2299">
        <f t="shared" si="36"/>
        <v>1906</v>
      </c>
      <c r="D2299" s="7">
        <v>2298</v>
      </c>
      <c r="E2299">
        <v>62.88</v>
      </c>
    </row>
    <row r="2300" spans="3:5" x14ac:dyDescent="0.35">
      <c r="C2300">
        <f t="shared" si="36"/>
        <v>1906</v>
      </c>
      <c r="D2300" s="7">
        <v>2299</v>
      </c>
      <c r="E2300">
        <v>62.644799999999996</v>
      </c>
    </row>
    <row r="2301" spans="3:5" x14ac:dyDescent="0.35">
      <c r="C2301">
        <f t="shared" si="36"/>
        <v>1906</v>
      </c>
      <c r="D2301" s="7">
        <v>2300</v>
      </c>
      <c r="E2301">
        <v>64.334599999999995</v>
      </c>
    </row>
    <row r="2302" spans="3:5" x14ac:dyDescent="0.35">
      <c r="C2302">
        <f t="shared" si="36"/>
        <v>1906</v>
      </c>
      <c r="D2302" s="7">
        <v>2301</v>
      </c>
      <c r="E2302">
        <v>63.588900000000002</v>
      </c>
    </row>
    <row r="2303" spans="3:5" x14ac:dyDescent="0.35">
      <c r="C2303">
        <f t="shared" si="36"/>
        <v>1906</v>
      </c>
      <c r="D2303" s="7">
        <v>2302</v>
      </c>
      <c r="E2303">
        <v>61.1569</v>
      </c>
    </row>
    <row r="2304" spans="3:5" x14ac:dyDescent="0.35">
      <c r="C2304">
        <f t="shared" si="36"/>
        <v>1906</v>
      </c>
      <c r="D2304" s="7">
        <v>2303</v>
      </c>
      <c r="E2304">
        <v>57.846699999999998</v>
      </c>
    </row>
    <row r="2305" spans="3:5" x14ac:dyDescent="0.35">
      <c r="C2305">
        <f t="shared" si="36"/>
        <v>1906</v>
      </c>
      <c r="D2305" s="7">
        <v>2304</v>
      </c>
      <c r="E2305">
        <v>57.932499999999997</v>
      </c>
    </row>
    <row r="2306" spans="3:5" x14ac:dyDescent="0.35">
      <c r="C2306">
        <f t="shared" si="36"/>
        <v>1906</v>
      </c>
      <c r="D2306" s="7">
        <v>2305</v>
      </c>
      <c r="E2306">
        <v>57.473399999999998</v>
      </c>
    </row>
    <row r="2307" spans="3:5" x14ac:dyDescent="0.35">
      <c r="C2307">
        <f t="shared" ref="C2307:C2370" si="37">YEAR(D2307)</f>
        <v>1906</v>
      </c>
      <c r="D2307" s="7">
        <v>2306</v>
      </c>
      <c r="E2307">
        <v>55.937600000000003</v>
      </c>
    </row>
    <row r="2308" spans="3:5" x14ac:dyDescent="0.35">
      <c r="C2308">
        <f t="shared" si="37"/>
        <v>1906</v>
      </c>
      <c r="D2308" s="7">
        <v>2307</v>
      </c>
      <c r="E2308">
        <v>57.385899999999999</v>
      </c>
    </row>
    <row r="2309" spans="3:5" x14ac:dyDescent="0.35">
      <c r="C2309">
        <f t="shared" si="37"/>
        <v>1906</v>
      </c>
      <c r="D2309" s="7">
        <v>2308</v>
      </c>
      <c r="E2309">
        <v>56.736600000000003</v>
      </c>
    </row>
    <row r="2310" spans="3:5" x14ac:dyDescent="0.35">
      <c r="C2310">
        <f t="shared" si="37"/>
        <v>1906</v>
      </c>
      <c r="D2310" s="7">
        <v>2309</v>
      </c>
      <c r="E2310">
        <v>60.950200000000002</v>
      </c>
    </row>
    <row r="2311" spans="3:5" x14ac:dyDescent="0.35">
      <c r="C2311">
        <f t="shared" si="37"/>
        <v>1906</v>
      </c>
      <c r="D2311" s="7">
        <v>2310</v>
      </c>
      <c r="E2311">
        <v>62.068600000000004</v>
      </c>
    </row>
    <row r="2312" spans="3:5" x14ac:dyDescent="0.35">
      <c r="C2312">
        <f t="shared" si="37"/>
        <v>1906</v>
      </c>
      <c r="D2312" s="7">
        <v>2311</v>
      </c>
      <c r="E2312">
        <v>62.117600000000003</v>
      </c>
    </row>
    <row r="2313" spans="3:5" x14ac:dyDescent="0.35">
      <c r="C2313">
        <f t="shared" si="37"/>
        <v>1906</v>
      </c>
      <c r="D2313" s="7">
        <v>2312</v>
      </c>
      <c r="E2313">
        <v>61.642099999999999</v>
      </c>
    </row>
    <row r="2314" spans="3:5" x14ac:dyDescent="0.35">
      <c r="C2314">
        <f t="shared" si="37"/>
        <v>1906</v>
      </c>
      <c r="D2314" s="7">
        <v>2313</v>
      </c>
      <c r="E2314">
        <v>58.891800000000003</v>
      </c>
    </row>
    <row r="2315" spans="3:5" x14ac:dyDescent="0.35">
      <c r="C2315">
        <f t="shared" si="37"/>
        <v>1906</v>
      </c>
      <c r="D2315" s="7">
        <v>2314</v>
      </c>
      <c r="E2315">
        <v>57.985999999999997</v>
      </c>
    </row>
    <row r="2316" spans="3:5" x14ac:dyDescent="0.35">
      <c r="C2316">
        <f t="shared" si="37"/>
        <v>1906</v>
      </c>
      <c r="D2316" s="7">
        <v>2315</v>
      </c>
      <c r="E2316">
        <v>57.506999999999998</v>
      </c>
    </row>
    <row r="2317" spans="3:5" x14ac:dyDescent="0.35">
      <c r="C2317">
        <f t="shared" si="37"/>
        <v>1906</v>
      </c>
      <c r="D2317" s="7">
        <v>2316</v>
      </c>
      <c r="E2317">
        <v>56.381700000000002</v>
      </c>
    </row>
    <row r="2318" spans="3:5" x14ac:dyDescent="0.35">
      <c r="C2318">
        <f t="shared" si="37"/>
        <v>1906</v>
      </c>
      <c r="D2318" s="7">
        <v>2317</v>
      </c>
      <c r="E2318">
        <v>56.2789</v>
      </c>
    </row>
    <row r="2319" spans="3:5" x14ac:dyDescent="0.35">
      <c r="C2319">
        <f t="shared" si="37"/>
        <v>1906</v>
      </c>
      <c r="D2319" s="7">
        <v>2318</v>
      </c>
      <c r="E2319">
        <v>55.737699999999997</v>
      </c>
    </row>
    <row r="2320" spans="3:5" x14ac:dyDescent="0.35">
      <c r="C2320">
        <f t="shared" si="37"/>
        <v>1906</v>
      </c>
      <c r="D2320" s="7">
        <v>2319</v>
      </c>
      <c r="E2320">
        <v>55.650199999999998</v>
      </c>
    </row>
    <row r="2321" spans="3:5" x14ac:dyDescent="0.35">
      <c r="C2321">
        <f t="shared" si="37"/>
        <v>1906</v>
      </c>
      <c r="D2321" s="7">
        <v>2320</v>
      </c>
      <c r="E2321">
        <v>57.180799999999998</v>
      </c>
    </row>
    <row r="2322" spans="3:5" x14ac:dyDescent="0.35">
      <c r="C2322">
        <f t="shared" si="37"/>
        <v>1906</v>
      </c>
      <c r="D2322" s="7">
        <v>2321</v>
      </c>
      <c r="E2322">
        <v>56.937800000000003</v>
      </c>
    </row>
    <row r="2323" spans="3:5" x14ac:dyDescent="0.35">
      <c r="C2323">
        <f t="shared" si="37"/>
        <v>1906</v>
      </c>
      <c r="D2323" s="7">
        <v>2322</v>
      </c>
      <c r="E2323">
        <v>60.939599999999999</v>
      </c>
    </row>
    <row r="2324" spans="3:5" x14ac:dyDescent="0.35">
      <c r="C2324">
        <f t="shared" si="37"/>
        <v>1906</v>
      </c>
      <c r="D2324" s="7">
        <v>2323</v>
      </c>
      <c r="E2324">
        <v>62.179400000000001</v>
      </c>
    </row>
    <row r="2325" spans="3:5" x14ac:dyDescent="0.35">
      <c r="C2325">
        <f t="shared" si="37"/>
        <v>1906</v>
      </c>
      <c r="D2325" s="7">
        <v>2324</v>
      </c>
      <c r="E2325">
        <v>60.393700000000003</v>
      </c>
    </row>
    <row r="2326" spans="3:5" x14ac:dyDescent="0.35">
      <c r="C2326">
        <f t="shared" si="37"/>
        <v>1906</v>
      </c>
      <c r="D2326" s="7">
        <v>2325</v>
      </c>
      <c r="E2326">
        <v>60.121299999999998</v>
      </c>
    </row>
    <row r="2327" spans="3:5" x14ac:dyDescent="0.35">
      <c r="C2327">
        <f t="shared" si="37"/>
        <v>1906</v>
      </c>
      <c r="D2327" s="7">
        <v>2326</v>
      </c>
      <c r="E2327">
        <v>59.4619</v>
      </c>
    </row>
    <row r="2328" spans="3:5" x14ac:dyDescent="0.35">
      <c r="C2328">
        <f t="shared" si="37"/>
        <v>1906</v>
      </c>
      <c r="D2328" s="7">
        <v>2327</v>
      </c>
      <c r="E2328">
        <v>60.145000000000003</v>
      </c>
    </row>
    <row r="2329" spans="3:5" x14ac:dyDescent="0.35">
      <c r="C2329">
        <f t="shared" si="37"/>
        <v>1906</v>
      </c>
      <c r="D2329" s="7">
        <v>2328</v>
      </c>
      <c r="E2329">
        <v>58.4833</v>
      </c>
    </row>
    <row r="2330" spans="3:5" x14ac:dyDescent="0.35">
      <c r="C2330">
        <f t="shared" si="37"/>
        <v>1906</v>
      </c>
      <c r="D2330" s="7">
        <v>2329</v>
      </c>
      <c r="E2330">
        <v>58.253900000000002</v>
      </c>
    </row>
    <row r="2331" spans="3:5" x14ac:dyDescent="0.35">
      <c r="C2331">
        <f t="shared" si="37"/>
        <v>1906</v>
      </c>
      <c r="D2331" s="7">
        <v>2330</v>
      </c>
      <c r="E2331">
        <v>60.510599999999997</v>
      </c>
    </row>
    <row r="2332" spans="3:5" x14ac:dyDescent="0.35">
      <c r="C2332">
        <f t="shared" si="37"/>
        <v>1906</v>
      </c>
      <c r="D2332" s="7">
        <v>2331</v>
      </c>
      <c r="E2332">
        <v>60.7423</v>
      </c>
    </row>
    <row r="2333" spans="3:5" x14ac:dyDescent="0.35">
      <c r="C2333">
        <f t="shared" si="37"/>
        <v>1906</v>
      </c>
      <c r="D2333" s="7">
        <v>2332</v>
      </c>
      <c r="E2333">
        <v>60.851399999999998</v>
      </c>
    </row>
    <row r="2334" spans="3:5" x14ac:dyDescent="0.35">
      <c r="C2334">
        <f t="shared" si="37"/>
        <v>1906</v>
      </c>
      <c r="D2334" s="7">
        <v>2333</v>
      </c>
      <c r="E2334">
        <v>58.486899999999999</v>
      </c>
    </row>
    <row r="2335" spans="3:5" x14ac:dyDescent="0.35">
      <c r="C2335">
        <f t="shared" si="37"/>
        <v>1906</v>
      </c>
      <c r="D2335" s="7">
        <v>2334</v>
      </c>
      <c r="E2335">
        <v>58.662300000000002</v>
      </c>
    </row>
    <row r="2336" spans="3:5" x14ac:dyDescent="0.35">
      <c r="C2336">
        <f t="shared" si="37"/>
        <v>1906</v>
      </c>
      <c r="D2336" s="7">
        <v>2335</v>
      </c>
      <c r="E2336">
        <v>58.7271</v>
      </c>
    </row>
    <row r="2337" spans="3:5" x14ac:dyDescent="0.35">
      <c r="C2337">
        <f t="shared" si="37"/>
        <v>1906</v>
      </c>
      <c r="D2337" s="7">
        <v>2336</v>
      </c>
      <c r="E2337">
        <v>56.915399999999998</v>
      </c>
    </row>
    <row r="2338" spans="3:5" x14ac:dyDescent="0.35">
      <c r="C2338">
        <f t="shared" si="37"/>
        <v>1906</v>
      </c>
      <c r="D2338" s="7">
        <v>2337</v>
      </c>
      <c r="E2338">
        <v>56.6325</v>
      </c>
    </row>
    <row r="2339" spans="3:5" x14ac:dyDescent="0.35">
      <c r="C2339">
        <f t="shared" si="37"/>
        <v>1906</v>
      </c>
      <c r="D2339" s="7">
        <v>2338</v>
      </c>
      <c r="E2339">
        <v>58.148499999999999</v>
      </c>
    </row>
    <row r="2340" spans="3:5" x14ac:dyDescent="0.35">
      <c r="C2340">
        <f t="shared" si="37"/>
        <v>1906</v>
      </c>
      <c r="D2340" s="7">
        <v>2339</v>
      </c>
      <c r="E2340">
        <v>58.324800000000003</v>
      </c>
    </row>
    <row r="2341" spans="3:5" x14ac:dyDescent="0.35">
      <c r="C2341">
        <f t="shared" si="37"/>
        <v>1906</v>
      </c>
      <c r="D2341" s="7">
        <v>2340</v>
      </c>
      <c r="E2341">
        <v>58.230899999999998</v>
      </c>
    </row>
    <row r="2342" spans="3:5" x14ac:dyDescent="0.35">
      <c r="C2342">
        <f t="shared" si="37"/>
        <v>1906</v>
      </c>
      <c r="D2342" s="7">
        <v>2341</v>
      </c>
      <c r="E2342">
        <v>57.727800000000002</v>
      </c>
    </row>
    <row r="2343" spans="3:5" x14ac:dyDescent="0.35">
      <c r="C2343">
        <f t="shared" si="37"/>
        <v>1906</v>
      </c>
      <c r="D2343" s="7">
        <v>2342</v>
      </c>
      <c r="E2343">
        <v>56.743200000000002</v>
      </c>
    </row>
    <row r="2344" spans="3:5" x14ac:dyDescent="0.35">
      <c r="C2344">
        <f t="shared" si="37"/>
        <v>1906</v>
      </c>
      <c r="D2344" s="7">
        <v>2343</v>
      </c>
      <c r="E2344">
        <v>55.904299999999999</v>
      </c>
    </row>
    <row r="2345" spans="3:5" x14ac:dyDescent="0.35">
      <c r="C2345">
        <f t="shared" si="37"/>
        <v>1906</v>
      </c>
      <c r="D2345" s="7">
        <v>2344</v>
      </c>
      <c r="E2345">
        <v>53.838200000000001</v>
      </c>
    </row>
    <row r="2346" spans="3:5" x14ac:dyDescent="0.35">
      <c r="C2346">
        <f t="shared" si="37"/>
        <v>1906</v>
      </c>
      <c r="D2346" s="7">
        <v>2345</v>
      </c>
      <c r="E2346">
        <v>51.172699999999999</v>
      </c>
    </row>
    <row r="2347" spans="3:5" x14ac:dyDescent="0.35">
      <c r="C2347">
        <f t="shared" si="37"/>
        <v>1906</v>
      </c>
      <c r="D2347" s="7">
        <v>2346</v>
      </c>
      <c r="E2347">
        <v>49.049599999999998</v>
      </c>
    </row>
    <row r="2348" spans="3:5" x14ac:dyDescent="0.35">
      <c r="C2348">
        <f t="shared" si="37"/>
        <v>1906</v>
      </c>
      <c r="D2348" s="7">
        <v>2347</v>
      </c>
      <c r="E2348">
        <v>47.639899999999997</v>
      </c>
    </row>
    <row r="2349" spans="3:5" x14ac:dyDescent="0.35">
      <c r="C2349">
        <f t="shared" si="37"/>
        <v>1906</v>
      </c>
      <c r="D2349" s="7">
        <v>2348</v>
      </c>
      <c r="E2349">
        <v>49.145400000000002</v>
      </c>
    </row>
    <row r="2350" spans="3:5" x14ac:dyDescent="0.35">
      <c r="C2350">
        <f t="shared" si="37"/>
        <v>1906</v>
      </c>
      <c r="D2350" s="7">
        <v>2349</v>
      </c>
      <c r="E2350">
        <v>49.307899999999997</v>
      </c>
    </row>
    <row r="2351" spans="3:5" x14ac:dyDescent="0.35">
      <c r="C2351">
        <f t="shared" si="37"/>
        <v>1906</v>
      </c>
      <c r="D2351" s="7">
        <v>2350</v>
      </c>
      <c r="E2351">
        <v>48.14</v>
      </c>
    </row>
    <row r="2352" spans="3:5" x14ac:dyDescent="0.35">
      <c r="C2352">
        <f t="shared" si="37"/>
        <v>1906</v>
      </c>
      <c r="D2352" s="7">
        <v>2351</v>
      </c>
      <c r="E2352">
        <v>49.260899999999999</v>
      </c>
    </row>
    <row r="2353" spans="3:5" x14ac:dyDescent="0.35">
      <c r="C2353">
        <f t="shared" si="37"/>
        <v>1906</v>
      </c>
      <c r="D2353" s="7">
        <v>2352</v>
      </c>
      <c r="E2353">
        <v>48.447800000000001</v>
      </c>
    </row>
    <row r="2354" spans="3:5" x14ac:dyDescent="0.35">
      <c r="C2354">
        <f t="shared" si="37"/>
        <v>1906</v>
      </c>
      <c r="D2354" s="7">
        <v>2353</v>
      </c>
      <c r="E2354">
        <v>48.620699999999999</v>
      </c>
    </row>
    <row r="2355" spans="3:5" x14ac:dyDescent="0.35">
      <c r="C2355">
        <f t="shared" si="37"/>
        <v>1906</v>
      </c>
      <c r="D2355" s="7">
        <v>2354</v>
      </c>
      <c r="E2355">
        <v>47.480499999999999</v>
      </c>
    </row>
    <row r="2356" spans="3:5" x14ac:dyDescent="0.35">
      <c r="C2356">
        <f t="shared" si="37"/>
        <v>1906</v>
      </c>
      <c r="D2356" s="7">
        <v>2355</v>
      </c>
      <c r="E2356">
        <v>46.707500000000003</v>
      </c>
    </row>
    <row r="2357" spans="3:5" x14ac:dyDescent="0.35">
      <c r="C2357">
        <f t="shared" si="37"/>
        <v>1906</v>
      </c>
      <c r="D2357" s="7">
        <v>2356</v>
      </c>
      <c r="E2357">
        <v>47.397300000000001</v>
      </c>
    </row>
    <row r="2358" spans="3:5" x14ac:dyDescent="0.35">
      <c r="C2358">
        <f t="shared" si="37"/>
        <v>1906</v>
      </c>
      <c r="D2358" s="7">
        <v>2357</v>
      </c>
      <c r="E2358">
        <v>48.646500000000003</v>
      </c>
    </row>
    <row r="2359" spans="3:5" x14ac:dyDescent="0.35">
      <c r="C2359">
        <f t="shared" si="37"/>
        <v>1906</v>
      </c>
      <c r="D2359" s="7">
        <v>2358</v>
      </c>
      <c r="E2359">
        <v>48.982300000000002</v>
      </c>
    </row>
    <row r="2360" spans="3:5" x14ac:dyDescent="0.35">
      <c r="C2360">
        <f t="shared" si="37"/>
        <v>1906</v>
      </c>
      <c r="D2360" s="7">
        <v>2359</v>
      </c>
      <c r="E2360">
        <v>49.804400000000001</v>
      </c>
    </row>
    <row r="2361" spans="3:5" x14ac:dyDescent="0.35">
      <c r="C2361">
        <f t="shared" si="37"/>
        <v>1906</v>
      </c>
      <c r="D2361" s="7">
        <v>2360</v>
      </c>
      <c r="E2361">
        <v>50.277799999999999</v>
      </c>
    </row>
    <row r="2362" spans="3:5" x14ac:dyDescent="0.35">
      <c r="C2362">
        <f t="shared" si="37"/>
        <v>1906</v>
      </c>
      <c r="D2362" s="7">
        <v>2361</v>
      </c>
      <c r="E2362">
        <v>49.884599999999999</v>
      </c>
    </row>
    <row r="2363" spans="3:5" x14ac:dyDescent="0.35">
      <c r="C2363">
        <f t="shared" si="37"/>
        <v>1906</v>
      </c>
      <c r="D2363" s="7">
        <v>2362</v>
      </c>
      <c r="E2363">
        <v>50.107799999999997</v>
      </c>
    </row>
    <row r="2364" spans="3:5" x14ac:dyDescent="0.35">
      <c r="C2364">
        <f t="shared" si="37"/>
        <v>1906</v>
      </c>
      <c r="D2364" s="7">
        <v>2363</v>
      </c>
      <c r="E2364">
        <v>50.443199999999997</v>
      </c>
    </row>
    <row r="2365" spans="3:5" x14ac:dyDescent="0.35">
      <c r="C2365">
        <f t="shared" si="37"/>
        <v>1906</v>
      </c>
      <c r="D2365" s="7">
        <v>2364</v>
      </c>
      <c r="E2365">
        <v>50.590499999999999</v>
      </c>
    </row>
    <row r="2366" spans="3:5" x14ac:dyDescent="0.35">
      <c r="C2366">
        <f t="shared" si="37"/>
        <v>1906</v>
      </c>
      <c r="D2366" s="7">
        <v>2365</v>
      </c>
      <c r="E2366">
        <v>52.096600000000002</v>
      </c>
    </row>
    <row r="2367" spans="3:5" x14ac:dyDescent="0.35">
      <c r="C2367">
        <f t="shared" si="37"/>
        <v>1906</v>
      </c>
      <c r="D2367" s="7">
        <v>2366</v>
      </c>
      <c r="E2367">
        <v>53.255099999999999</v>
      </c>
    </row>
    <row r="2368" spans="3:5" x14ac:dyDescent="0.35">
      <c r="C2368">
        <f t="shared" si="37"/>
        <v>1906</v>
      </c>
      <c r="D2368" s="7">
        <v>2367</v>
      </c>
      <c r="E2368">
        <v>52.354900000000001</v>
      </c>
    </row>
    <row r="2369" spans="3:5" x14ac:dyDescent="0.35">
      <c r="C2369">
        <f t="shared" si="37"/>
        <v>1906</v>
      </c>
      <c r="D2369" s="7">
        <v>2368</v>
      </c>
      <c r="E2369">
        <v>52.1006</v>
      </c>
    </row>
    <row r="2370" spans="3:5" x14ac:dyDescent="0.35">
      <c r="C2370">
        <f t="shared" si="37"/>
        <v>1906</v>
      </c>
      <c r="D2370" s="7">
        <v>2369</v>
      </c>
      <c r="E2370">
        <v>50.623800000000003</v>
      </c>
    </row>
    <row r="2371" spans="3:5" x14ac:dyDescent="0.35">
      <c r="C2371">
        <f t="shared" ref="C2371:C2434" si="38">YEAR(D2371)</f>
        <v>1906</v>
      </c>
      <c r="D2371" s="7">
        <v>2370</v>
      </c>
      <c r="E2371">
        <v>50.204599999999999</v>
      </c>
    </row>
    <row r="2372" spans="3:5" x14ac:dyDescent="0.35">
      <c r="C2372">
        <f t="shared" si="38"/>
        <v>1906</v>
      </c>
      <c r="D2372" s="7">
        <v>2371</v>
      </c>
      <c r="E2372">
        <v>51.173200000000001</v>
      </c>
    </row>
    <row r="2373" spans="3:5" x14ac:dyDescent="0.35">
      <c r="C2373">
        <f t="shared" si="38"/>
        <v>1906</v>
      </c>
      <c r="D2373" s="7">
        <v>2372</v>
      </c>
      <c r="E2373">
        <v>51.980800000000002</v>
      </c>
    </row>
    <row r="2374" spans="3:5" x14ac:dyDescent="0.35">
      <c r="C2374">
        <f t="shared" si="38"/>
        <v>1906</v>
      </c>
      <c r="D2374" s="7">
        <v>2373</v>
      </c>
      <c r="E2374">
        <v>51.456299999999999</v>
      </c>
    </row>
    <row r="2375" spans="3:5" x14ac:dyDescent="0.35">
      <c r="C2375">
        <f t="shared" si="38"/>
        <v>1906</v>
      </c>
      <c r="D2375" s="7">
        <v>2374</v>
      </c>
      <c r="E2375">
        <v>50.202599999999997</v>
      </c>
    </row>
    <row r="2376" spans="3:5" x14ac:dyDescent="0.35">
      <c r="C2376">
        <f t="shared" si="38"/>
        <v>1906</v>
      </c>
      <c r="D2376" s="7">
        <v>2375</v>
      </c>
      <c r="E2376">
        <v>49.468899999999998</v>
      </c>
    </row>
    <row r="2377" spans="3:5" x14ac:dyDescent="0.35">
      <c r="C2377">
        <f t="shared" si="38"/>
        <v>1906</v>
      </c>
      <c r="D2377" s="7">
        <v>2376</v>
      </c>
      <c r="E2377">
        <v>49.177500000000002</v>
      </c>
    </row>
    <row r="2378" spans="3:5" x14ac:dyDescent="0.35">
      <c r="C2378">
        <f t="shared" si="38"/>
        <v>1906</v>
      </c>
      <c r="D2378" s="7">
        <v>2377</v>
      </c>
      <c r="E2378">
        <v>48.331499999999998</v>
      </c>
    </row>
    <row r="2379" spans="3:5" x14ac:dyDescent="0.35">
      <c r="C2379">
        <f t="shared" si="38"/>
        <v>1906</v>
      </c>
      <c r="D2379" s="7">
        <v>2378</v>
      </c>
      <c r="E2379">
        <v>47.464700000000001</v>
      </c>
    </row>
    <row r="2380" spans="3:5" x14ac:dyDescent="0.35">
      <c r="C2380">
        <f t="shared" si="38"/>
        <v>1906</v>
      </c>
      <c r="D2380" s="7">
        <v>2379</v>
      </c>
      <c r="E2380">
        <v>48.332900000000002</v>
      </c>
    </row>
    <row r="2381" spans="3:5" x14ac:dyDescent="0.35">
      <c r="C2381">
        <f t="shared" si="38"/>
        <v>1906</v>
      </c>
      <c r="D2381" s="7">
        <v>2380</v>
      </c>
      <c r="E2381">
        <v>49.274700000000003</v>
      </c>
    </row>
    <row r="2382" spans="3:5" x14ac:dyDescent="0.35">
      <c r="C2382">
        <f t="shared" si="38"/>
        <v>1906</v>
      </c>
      <c r="D2382" s="7">
        <v>2381</v>
      </c>
      <c r="E2382">
        <v>51.562100000000001</v>
      </c>
    </row>
    <row r="2383" spans="3:5" x14ac:dyDescent="0.35">
      <c r="C2383">
        <f t="shared" si="38"/>
        <v>1906</v>
      </c>
      <c r="D2383" s="7">
        <v>2382</v>
      </c>
      <c r="E2383">
        <v>52.854500000000002</v>
      </c>
    </row>
    <row r="2384" spans="3:5" x14ac:dyDescent="0.35">
      <c r="C2384">
        <f t="shared" si="38"/>
        <v>1906</v>
      </c>
      <c r="D2384" s="7">
        <v>2383</v>
      </c>
      <c r="E2384">
        <v>51.2286</v>
      </c>
    </row>
    <row r="2385" spans="3:5" x14ac:dyDescent="0.35">
      <c r="C2385">
        <f t="shared" si="38"/>
        <v>1906</v>
      </c>
      <c r="D2385" s="7">
        <v>2384</v>
      </c>
      <c r="E2385">
        <v>53.092500000000001</v>
      </c>
    </row>
    <row r="2386" spans="3:5" x14ac:dyDescent="0.35">
      <c r="C2386">
        <f t="shared" si="38"/>
        <v>1906</v>
      </c>
      <c r="D2386" s="7">
        <v>2385</v>
      </c>
      <c r="E2386">
        <v>50.093800000000002</v>
      </c>
    </row>
    <row r="2387" spans="3:5" x14ac:dyDescent="0.35">
      <c r="C2387">
        <f t="shared" si="38"/>
        <v>1906</v>
      </c>
      <c r="D2387" s="7">
        <v>2386</v>
      </c>
      <c r="E2387">
        <v>47.616799999999998</v>
      </c>
    </row>
    <row r="2388" spans="3:5" x14ac:dyDescent="0.35">
      <c r="C2388">
        <f t="shared" si="38"/>
        <v>1906</v>
      </c>
      <c r="D2388" s="7">
        <v>2387</v>
      </c>
      <c r="E2388">
        <v>47.614600000000003</v>
      </c>
    </row>
    <row r="2389" spans="3:5" x14ac:dyDescent="0.35">
      <c r="C2389">
        <f t="shared" si="38"/>
        <v>1906</v>
      </c>
      <c r="D2389" s="7">
        <v>2388</v>
      </c>
      <c r="E2389">
        <v>47.842700000000001</v>
      </c>
    </row>
    <row r="2390" spans="3:5" x14ac:dyDescent="0.35">
      <c r="C2390">
        <f t="shared" si="38"/>
        <v>1906</v>
      </c>
      <c r="D2390" s="7">
        <v>2389</v>
      </c>
      <c r="E2390">
        <v>46.310200000000002</v>
      </c>
    </row>
    <row r="2391" spans="3:5" x14ac:dyDescent="0.35">
      <c r="C2391">
        <f t="shared" si="38"/>
        <v>1906</v>
      </c>
      <c r="D2391" s="7">
        <v>2390</v>
      </c>
      <c r="E2391">
        <v>45.963000000000001</v>
      </c>
    </row>
    <row r="2392" spans="3:5" x14ac:dyDescent="0.35">
      <c r="C2392">
        <f t="shared" si="38"/>
        <v>1906</v>
      </c>
      <c r="D2392" s="7">
        <v>2391</v>
      </c>
      <c r="E2392">
        <v>47.956400000000002</v>
      </c>
    </row>
    <row r="2393" spans="3:5" x14ac:dyDescent="0.35">
      <c r="C2393">
        <f t="shared" si="38"/>
        <v>1906</v>
      </c>
      <c r="D2393" s="7">
        <v>2392</v>
      </c>
      <c r="E2393">
        <v>48.675899999999999</v>
      </c>
    </row>
    <row r="2394" spans="3:5" x14ac:dyDescent="0.35">
      <c r="C2394">
        <f t="shared" si="38"/>
        <v>1906</v>
      </c>
      <c r="D2394" s="7">
        <v>2393</v>
      </c>
      <c r="E2394">
        <v>50.121600000000001</v>
      </c>
    </row>
    <row r="2395" spans="3:5" x14ac:dyDescent="0.35">
      <c r="C2395">
        <f t="shared" si="38"/>
        <v>1906</v>
      </c>
      <c r="D2395" s="7">
        <v>2394</v>
      </c>
      <c r="E2395">
        <v>50.307400000000001</v>
      </c>
    </row>
    <row r="2396" spans="3:5" x14ac:dyDescent="0.35">
      <c r="C2396">
        <f t="shared" si="38"/>
        <v>1906</v>
      </c>
      <c r="D2396" s="7">
        <v>2395</v>
      </c>
      <c r="E2396">
        <v>49.212200000000003</v>
      </c>
    </row>
    <row r="2397" spans="3:5" x14ac:dyDescent="0.35">
      <c r="C2397">
        <f t="shared" si="38"/>
        <v>1906</v>
      </c>
      <c r="D2397" s="7">
        <v>2396</v>
      </c>
      <c r="E2397">
        <v>50.4146</v>
      </c>
    </row>
    <row r="2398" spans="3:5" x14ac:dyDescent="0.35">
      <c r="C2398">
        <f t="shared" si="38"/>
        <v>1906</v>
      </c>
      <c r="D2398" s="7">
        <v>2397</v>
      </c>
      <c r="E2398">
        <v>49.512999999999998</v>
      </c>
    </row>
    <row r="2399" spans="3:5" x14ac:dyDescent="0.35">
      <c r="C2399">
        <f t="shared" si="38"/>
        <v>1906</v>
      </c>
      <c r="D2399" s="7">
        <v>2398</v>
      </c>
      <c r="E2399">
        <v>48.7438</v>
      </c>
    </row>
    <row r="2400" spans="3:5" x14ac:dyDescent="0.35">
      <c r="C2400">
        <f t="shared" si="38"/>
        <v>1906</v>
      </c>
      <c r="D2400" s="7">
        <v>2399</v>
      </c>
      <c r="E2400">
        <v>49.101199999999999</v>
      </c>
    </row>
    <row r="2401" spans="3:5" x14ac:dyDescent="0.35">
      <c r="C2401">
        <f t="shared" si="38"/>
        <v>1906</v>
      </c>
      <c r="D2401" s="7">
        <v>2400</v>
      </c>
      <c r="E2401">
        <v>49.465400000000002</v>
      </c>
    </row>
    <row r="2402" spans="3:5" x14ac:dyDescent="0.35">
      <c r="C2402">
        <f t="shared" si="38"/>
        <v>1906</v>
      </c>
      <c r="D2402" s="7">
        <v>2401</v>
      </c>
      <c r="E2402">
        <v>49.342599999999997</v>
      </c>
    </row>
    <row r="2403" spans="3:5" x14ac:dyDescent="0.35">
      <c r="C2403">
        <f t="shared" si="38"/>
        <v>1906</v>
      </c>
      <c r="D2403" s="7">
        <v>2402</v>
      </c>
      <c r="E2403">
        <v>48.936199999999999</v>
      </c>
    </row>
    <row r="2404" spans="3:5" x14ac:dyDescent="0.35">
      <c r="C2404">
        <f t="shared" si="38"/>
        <v>1906</v>
      </c>
      <c r="D2404" s="7">
        <v>2403</v>
      </c>
      <c r="E2404">
        <v>48.762999999999998</v>
      </c>
    </row>
    <row r="2405" spans="3:5" x14ac:dyDescent="0.35">
      <c r="C2405">
        <f t="shared" si="38"/>
        <v>1906</v>
      </c>
      <c r="D2405" s="7">
        <v>2404</v>
      </c>
      <c r="E2405">
        <v>47.262099999999997</v>
      </c>
    </row>
    <row r="2406" spans="3:5" x14ac:dyDescent="0.35">
      <c r="C2406">
        <f t="shared" si="38"/>
        <v>1906</v>
      </c>
      <c r="D2406" s="7">
        <v>2405</v>
      </c>
      <c r="E2406">
        <v>47.808599999999998</v>
      </c>
    </row>
    <row r="2407" spans="3:5" x14ac:dyDescent="0.35">
      <c r="C2407">
        <f t="shared" si="38"/>
        <v>1906</v>
      </c>
      <c r="D2407" s="7">
        <v>2406</v>
      </c>
      <c r="E2407">
        <v>46.781799999999997</v>
      </c>
    </row>
    <row r="2408" spans="3:5" x14ac:dyDescent="0.35">
      <c r="C2408">
        <f t="shared" si="38"/>
        <v>1906</v>
      </c>
      <c r="D2408" s="7">
        <v>2407</v>
      </c>
      <c r="E2408">
        <v>44.804299999999998</v>
      </c>
    </row>
    <row r="2409" spans="3:5" x14ac:dyDescent="0.35">
      <c r="C2409">
        <f t="shared" si="38"/>
        <v>1906</v>
      </c>
      <c r="D2409" s="7">
        <v>2408</v>
      </c>
      <c r="E2409">
        <v>45.524900000000002</v>
      </c>
    </row>
    <row r="2410" spans="3:5" x14ac:dyDescent="0.35">
      <c r="C2410">
        <f t="shared" si="38"/>
        <v>1906</v>
      </c>
      <c r="D2410" s="7">
        <v>2409</v>
      </c>
      <c r="E2410">
        <v>46.039900000000003</v>
      </c>
    </row>
    <row r="2411" spans="3:5" x14ac:dyDescent="0.35">
      <c r="C2411">
        <f t="shared" si="38"/>
        <v>1906</v>
      </c>
      <c r="D2411" s="7">
        <v>2410</v>
      </c>
      <c r="E2411">
        <v>45.7502</v>
      </c>
    </row>
    <row r="2412" spans="3:5" x14ac:dyDescent="0.35">
      <c r="C2412">
        <f t="shared" si="38"/>
        <v>1906</v>
      </c>
      <c r="D2412" s="7">
        <v>2411</v>
      </c>
      <c r="E2412">
        <v>45.218600000000002</v>
      </c>
    </row>
    <row r="2413" spans="3:5" x14ac:dyDescent="0.35">
      <c r="C2413">
        <f t="shared" si="38"/>
        <v>1906</v>
      </c>
      <c r="D2413" s="7">
        <v>2412</v>
      </c>
      <c r="E2413">
        <v>44.817599999999999</v>
      </c>
    </row>
    <row r="2414" spans="3:5" x14ac:dyDescent="0.35">
      <c r="C2414">
        <f t="shared" si="38"/>
        <v>1906</v>
      </c>
      <c r="D2414" s="7">
        <v>2413</v>
      </c>
      <c r="E2414">
        <v>42.9651</v>
      </c>
    </row>
    <row r="2415" spans="3:5" x14ac:dyDescent="0.35">
      <c r="C2415">
        <f t="shared" si="38"/>
        <v>1906</v>
      </c>
      <c r="D2415" s="7">
        <v>2414</v>
      </c>
      <c r="E2415">
        <v>42.169199999999996</v>
      </c>
    </row>
    <row r="2416" spans="3:5" x14ac:dyDescent="0.35">
      <c r="C2416">
        <f t="shared" si="38"/>
        <v>1906</v>
      </c>
      <c r="D2416" s="7">
        <v>2415</v>
      </c>
      <c r="E2416">
        <v>41.525599999999997</v>
      </c>
    </row>
    <row r="2417" spans="3:5" x14ac:dyDescent="0.35">
      <c r="C2417">
        <f t="shared" si="38"/>
        <v>1906</v>
      </c>
      <c r="D2417" s="7">
        <v>2416</v>
      </c>
      <c r="E2417">
        <v>41.021799999999999</v>
      </c>
    </row>
    <row r="2418" spans="3:5" x14ac:dyDescent="0.35">
      <c r="C2418">
        <f t="shared" si="38"/>
        <v>1906</v>
      </c>
      <c r="D2418" s="7">
        <v>2417</v>
      </c>
      <c r="E2418">
        <v>40.140700000000002</v>
      </c>
    </row>
    <row r="2419" spans="3:5" x14ac:dyDescent="0.35">
      <c r="C2419">
        <f t="shared" si="38"/>
        <v>1906</v>
      </c>
      <c r="D2419" s="7">
        <v>2418</v>
      </c>
      <c r="E2419">
        <v>40.820399999999999</v>
      </c>
    </row>
    <row r="2420" spans="3:5" x14ac:dyDescent="0.35">
      <c r="C2420">
        <f t="shared" si="38"/>
        <v>1906</v>
      </c>
      <c r="D2420" s="7">
        <v>2419</v>
      </c>
      <c r="E2420">
        <v>39.561199999999999</v>
      </c>
    </row>
    <row r="2421" spans="3:5" x14ac:dyDescent="0.35">
      <c r="C2421">
        <f t="shared" si="38"/>
        <v>1906</v>
      </c>
      <c r="D2421" s="7">
        <v>2420</v>
      </c>
      <c r="E2421">
        <v>40.489600000000003</v>
      </c>
    </row>
    <row r="2422" spans="3:5" x14ac:dyDescent="0.35">
      <c r="C2422">
        <f t="shared" si="38"/>
        <v>1906</v>
      </c>
      <c r="D2422" s="7">
        <v>2421</v>
      </c>
      <c r="E2422">
        <v>40.031999999999996</v>
      </c>
    </row>
    <row r="2423" spans="3:5" x14ac:dyDescent="0.35">
      <c r="C2423">
        <f t="shared" si="38"/>
        <v>1906</v>
      </c>
      <c r="D2423" s="7">
        <v>2422</v>
      </c>
      <c r="E2423">
        <v>39.371699999999997</v>
      </c>
    </row>
    <row r="2424" spans="3:5" x14ac:dyDescent="0.35">
      <c r="C2424">
        <f t="shared" si="38"/>
        <v>1906</v>
      </c>
      <c r="D2424" s="7">
        <v>2423</v>
      </c>
      <c r="E2424">
        <v>39.5441</v>
      </c>
    </row>
    <row r="2425" spans="3:5" x14ac:dyDescent="0.35">
      <c r="C2425">
        <f t="shared" si="38"/>
        <v>1906</v>
      </c>
      <c r="D2425" s="7">
        <v>2424</v>
      </c>
      <c r="E2425">
        <v>39.667200000000001</v>
      </c>
    </row>
    <row r="2426" spans="3:5" x14ac:dyDescent="0.35">
      <c r="C2426">
        <f t="shared" si="38"/>
        <v>1906</v>
      </c>
      <c r="D2426" s="7">
        <v>2425</v>
      </c>
      <c r="E2426">
        <v>39.913600000000002</v>
      </c>
    </row>
    <row r="2427" spans="3:5" x14ac:dyDescent="0.35">
      <c r="C2427">
        <f t="shared" si="38"/>
        <v>1906</v>
      </c>
      <c r="D2427" s="7">
        <v>2426</v>
      </c>
      <c r="E2427">
        <v>40.212899999999998</v>
      </c>
    </row>
    <row r="2428" spans="3:5" x14ac:dyDescent="0.35">
      <c r="C2428">
        <f t="shared" si="38"/>
        <v>1906</v>
      </c>
      <c r="D2428" s="7">
        <v>2427</v>
      </c>
      <c r="E2428">
        <v>43.064</v>
      </c>
    </row>
    <row r="2429" spans="3:5" x14ac:dyDescent="0.35">
      <c r="C2429">
        <f t="shared" si="38"/>
        <v>1906</v>
      </c>
      <c r="D2429" s="7">
        <v>2428</v>
      </c>
      <c r="E2429">
        <v>42.380499999999998</v>
      </c>
    </row>
    <row r="2430" spans="3:5" x14ac:dyDescent="0.35">
      <c r="C2430">
        <f t="shared" si="38"/>
        <v>1906</v>
      </c>
      <c r="D2430" s="7">
        <v>2429</v>
      </c>
      <c r="E2430">
        <v>42.971600000000002</v>
      </c>
    </row>
    <row r="2431" spans="3:5" x14ac:dyDescent="0.35">
      <c r="C2431">
        <f t="shared" si="38"/>
        <v>1906</v>
      </c>
      <c r="D2431" s="7">
        <v>2430</v>
      </c>
      <c r="E2431">
        <v>44.219299999999997</v>
      </c>
    </row>
    <row r="2432" spans="3:5" x14ac:dyDescent="0.35">
      <c r="C2432">
        <f t="shared" si="38"/>
        <v>1906</v>
      </c>
      <c r="D2432" s="7">
        <v>2431</v>
      </c>
      <c r="E2432">
        <v>44.0306</v>
      </c>
    </row>
    <row r="2433" spans="3:5" x14ac:dyDescent="0.35">
      <c r="C2433">
        <f t="shared" si="38"/>
        <v>1906</v>
      </c>
      <c r="D2433" s="7">
        <v>2432</v>
      </c>
      <c r="E2433">
        <v>43.333799999999997</v>
      </c>
    </row>
    <row r="2434" spans="3:5" x14ac:dyDescent="0.35">
      <c r="C2434">
        <f t="shared" si="38"/>
        <v>1906</v>
      </c>
      <c r="D2434" s="7">
        <v>2433</v>
      </c>
      <c r="E2434">
        <v>45.517699999999998</v>
      </c>
    </row>
    <row r="2435" spans="3:5" x14ac:dyDescent="0.35">
      <c r="C2435">
        <f t="shared" ref="C2435:C2498" si="39">YEAR(D2435)</f>
        <v>1906</v>
      </c>
      <c r="D2435" s="7">
        <v>2434</v>
      </c>
      <c r="E2435">
        <v>42.810699999999997</v>
      </c>
    </row>
    <row r="2436" spans="3:5" x14ac:dyDescent="0.35">
      <c r="C2436">
        <f t="shared" si="39"/>
        <v>1906</v>
      </c>
      <c r="D2436" s="7">
        <v>2435</v>
      </c>
      <c r="E2436">
        <v>42.747100000000003</v>
      </c>
    </row>
    <row r="2437" spans="3:5" x14ac:dyDescent="0.35">
      <c r="C2437">
        <f t="shared" si="39"/>
        <v>1906</v>
      </c>
      <c r="D2437" s="7">
        <v>2436</v>
      </c>
      <c r="E2437">
        <v>42.554699999999997</v>
      </c>
    </row>
    <row r="2438" spans="3:5" x14ac:dyDescent="0.35">
      <c r="C2438">
        <f t="shared" si="39"/>
        <v>1906</v>
      </c>
      <c r="D2438" s="7">
        <v>2437</v>
      </c>
      <c r="E2438">
        <v>41.914700000000003</v>
      </c>
    </row>
    <row r="2439" spans="3:5" x14ac:dyDescent="0.35">
      <c r="C2439">
        <f t="shared" si="39"/>
        <v>1906</v>
      </c>
      <c r="D2439" s="7">
        <v>2438</v>
      </c>
      <c r="E2439">
        <v>41.145600000000002</v>
      </c>
    </row>
    <row r="2440" spans="3:5" x14ac:dyDescent="0.35">
      <c r="C2440">
        <f t="shared" si="39"/>
        <v>1906</v>
      </c>
      <c r="D2440" s="7">
        <v>2439</v>
      </c>
      <c r="E2440">
        <v>40.536799999999999</v>
      </c>
    </row>
    <row r="2441" spans="3:5" x14ac:dyDescent="0.35">
      <c r="C2441">
        <f t="shared" si="39"/>
        <v>1906</v>
      </c>
      <c r="D2441" s="7">
        <v>2440</v>
      </c>
      <c r="E2441">
        <v>41.353499999999997</v>
      </c>
    </row>
    <row r="2442" spans="3:5" x14ac:dyDescent="0.35">
      <c r="C2442">
        <f t="shared" si="39"/>
        <v>1906</v>
      </c>
      <c r="D2442" s="7">
        <v>2441</v>
      </c>
      <c r="E2442">
        <v>42.610500000000002</v>
      </c>
    </row>
    <row r="2443" spans="3:5" x14ac:dyDescent="0.35">
      <c r="C2443">
        <f t="shared" si="39"/>
        <v>1906</v>
      </c>
      <c r="D2443" s="7">
        <v>2442</v>
      </c>
      <c r="E2443">
        <v>42.1205</v>
      </c>
    </row>
    <row r="2444" spans="3:5" x14ac:dyDescent="0.35">
      <c r="C2444">
        <f t="shared" si="39"/>
        <v>1906</v>
      </c>
      <c r="D2444" s="7">
        <v>2443</v>
      </c>
      <c r="E2444">
        <v>44.351500000000001</v>
      </c>
    </row>
    <row r="2445" spans="3:5" x14ac:dyDescent="0.35">
      <c r="C2445">
        <f t="shared" si="39"/>
        <v>1906</v>
      </c>
      <c r="D2445" s="7">
        <v>2444</v>
      </c>
      <c r="E2445">
        <v>46.427900000000001</v>
      </c>
    </row>
    <row r="2446" spans="3:5" x14ac:dyDescent="0.35">
      <c r="C2446">
        <f t="shared" si="39"/>
        <v>1906</v>
      </c>
      <c r="D2446" s="7">
        <v>2445</v>
      </c>
      <c r="E2446">
        <v>43.808399999999999</v>
      </c>
    </row>
    <row r="2447" spans="3:5" x14ac:dyDescent="0.35">
      <c r="C2447">
        <f t="shared" si="39"/>
        <v>1906</v>
      </c>
      <c r="D2447" s="7">
        <v>2446</v>
      </c>
      <c r="E2447">
        <v>42.946899999999999</v>
      </c>
    </row>
    <row r="2448" spans="3:5" x14ac:dyDescent="0.35">
      <c r="C2448">
        <f t="shared" si="39"/>
        <v>1906</v>
      </c>
      <c r="D2448" s="7">
        <v>2447</v>
      </c>
      <c r="E2448">
        <v>42.523099999999999</v>
      </c>
    </row>
    <row r="2449" spans="3:5" x14ac:dyDescent="0.35">
      <c r="C2449">
        <f t="shared" si="39"/>
        <v>1906</v>
      </c>
      <c r="D2449" s="7">
        <v>2448</v>
      </c>
      <c r="E2449">
        <v>43.045699999999997</v>
      </c>
    </row>
    <row r="2450" spans="3:5" x14ac:dyDescent="0.35">
      <c r="C2450">
        <f t="shared" si="39"/>
        <v>1906</v>
      </c>
      <c r="D2450" s="7">
        <v>2449</v>
      </c>
      <c r="E2450">
        <v>43.633000000000003</v>
      </c>
    </row>
    <row r="2451" spans="3:5" x14ac:dyDescent="0.35">
      <c r="C2451">
        <f t="shared" si="39"/>
        <v>1906</v>
      </c>
      <c r="D2451" s="7">
        <v>2450</v>
      </c>
      <c r="E2451">
        <v>42.224800000000002</v>
      </c>
    </row>
    <row r="2452" spans="3:5" x14ac:dyDescent="0.35">
      <c r="C2452">
        <f t="shared" si="39"/>
        <v>1906</v>
      </c>
      <c r="D2452" s="7">
        <v>2451</v>
      </c>
      <c r="E2452">
        <v>41.311799999999998</v>
      </c>
    </row>
    <row r="2453" spans="3:5" x14ac:dyDescent="0.35">
      <c r="C2453">
        <f t="shared" si="39"/>
        <v>1906</v>
      </c>
      <c r="D2453" s="7">
        <v>2452</v>
      </c>
      <c r="E2453">
        <v>41.0745</v>
      </c>
    </row>
    <row r="2454" spans="3:5" x14ac:dyDescent="0.35">
      <c r="C2454">
        <f t="shared" si="39"/>
        <v>1906</v>
      </c>
      <c r="D2454" s="7">
        <v>2453</v>
      </c>
      <c r="E2454">
        <v>41.792200000000001</v>
      </c>
    </row>
    <row r="2455" spans="3:5" x14ac:dyDescent="0.35">
      <c r="C2455">
        <f t="shared" si="39"/>
        <v>1906</v>
      </c>
      <c r="D2455" s="7">
        <v>2454</v>
      </c>
      <c r="E2455">
        <v>38.558700000000002</v>
      </c>
    </row>
    <row r="2456" spans="3:5" x14ac:dyDescent="0.35">
      <c r="C2456">
        <f t="shared" si="39"/>
        <v>1906</v>
      </c>
      <c r="D2456" s="7">
        <v>2455</v>
      </c>
      <c r="E2456">
        <v>39.170900000000003</v>
      </c>
    </row>
    <row r="2457" spans="3:5" x14ac:dyDescent="0.35">
      <c r="C2457">
        <f t="shared" si="39"/>
        <v>1906</v>
      </c>
      <c r="D2457" s="7">
        <v>2456</v>
      </c>
      <c r="E2457">
        <v>37.769100000000002</v>
      </c>
    </row>
    <row r="2458" spans="3:5" x14ac:dyDescent="0.35">
      <c r="C2458">
        <f t="shared" si="39"/>
        <v>1906</v>
      </c>
      <c r="D2458" s="7">
        <v>2457</v>
      </c>
      <c r="E2458">
        <v>39.318399999999997</v>
      </c>
    </row>
    <row r="2459" spans="3:5" x14ac:dyDescent="0.35">
      <c r="C2459">
        <f t="shared" si="39"/>
        <v>1906</v>
      </c>
      <c r="D2459" s="7">
        <v>2458</v>
      </c>
      <c r="E2459">
        <v>41.460999999999999</v>
      </c>
    </row>
    <row r="2460" spans="3:5" x14ac:dyDescent="0.35">
      <c r="C2460">
        <f t="shared" si="39"/>
        <v>1906</v>
      </c>
      <c r="D2460" s="7">
        <v>2459</v>
      </c>
      <c r="E2460">
        <v>41.5077</v>
      </c>
    </row>
    <row r="2461" spans="3:5" x14ac:dyDescent="0.35">
      <c r="C2461">
        <f t="shared" si="39"/>
        <v>1906</v>
      </c>
      <c r="D2461" s="7">
        <v>2460</v>
      </c>
      <c r="E2461">
        <v>41.4208</v>
      </c>
    </row>
    <row r="2462" spans="3:5" x14ac:dyDescent="0.35">
      <c r="C2462">
        <f t="shared" si="39"/>
        <v>1906</v>
      </c>
      <c r="D2462" s="7">
        <v>2461</v>
      </c>
      <c r="E2462">
        <v>42.835099999999997</v>
      </c>
    </row>
    <row r="2463" spans="3:5" x14ac:dyDescent="0.35">
      <c r="C2463">
        <f t="shared" si="39"/>
        <v>1906</v>
      </c>
      <c r="D2463" s="7">
        <v>2462</v>
      </c>
      <c r="E2463">
        <v>42.7986</v>
      </c>
    </row>
    <row r="2464" spans="3:5" x14ac:dyDescent="0.35">
      <c r="C2464">
        <f t="shared" si="39"/>
        <v>1906</v>
      </c>
      <c r="D2464" s="7">
        <v>2463</v>
      </c>
      <c r="E2464">
        <v>42.844200000000001</v>
      </c>
    </row>
    <row r="2465" spans="3:5" x14ac:dyDescent="0.35">
      <c r="C2465">
        <f t="shared" si="39"/>
        <v>1906</v>
      </c>
      <c r="D2465" s="7">
        <v>2464</v>
      </c>
      <c r="E2465">
        <v>42.8202</v>
      </c>
    </row>
    <row r="2466" spans="3:5" x14ac:dyDescent="0.35">
      <c r="C2466">
        <f t="shared" si="39"/>
        <v>1906</v>
      </c>
      <c r="D2466" s="7">
        <v>2465</v>
      </c>
      <c r="E2466">
        <v>42.160800000000002</v>
      </c>
    </row>
    <row r="2467" spans="3:5" x14ac:dyDescent="0.35">
      <c r="C2467">
        <f t="shared" si="39"/>
        <v>1906</v>
      </c>
      <c r="D2467" s="7">
        <v>2466</v>
      </c>
      <c r="E2467">
        <v>41.945500000000003</v>
      </c>
    </row>
    <row r="2468" spans="3:5" x14ac:dyDescent="0.35">
      <c r="C2468">
        <f t="shared" si="39"/>
        <v>1906</v>
      </c>
      <c r="D2468" s="7">
        <v>2467</v>
      </c>
      <c r="E2468">
        <v>41.823399999999999</v>
      </c>
    </row>
    <row r="2469" spans="3:5" x14ac:dyDescent="0.35">
      <c r="C2469">
        <f t="shared" si="39"/>
        <v>1906</v>
      </c>
      <c r="D2469" s="7">
        <v>2468</v>
      </c>
      <c r="E2469">
        <v>42.750100000000003</v>
      </c>
    </row>
    <row r="2470" spans="3:5" x14ac:dyDescent="0.35">
      <c r="C2470">
        <f t="shared" si="39"/>
        <v>1906</v>
      </c>
      <c r="D2470" s="7">
        <v>2469</v>
      </c>
      <c r="E2470">
        <v>43.486899999999999</v>
      </c>
    </row>
    <row r="2471" spans="3:5" x14ac:dyDescent="0.35">
      <c r="C2471">
        <f t="shared" si="39"/>
        <v>1906</v>
      </c>
      <c r="D2471" s="7">
        <v>2470</v>
      </c>
      <c r="E2471">
        <v>43.354900000000001</v>
      </c>
    </row>
    <row r="2472" spans="3:5" x14ac:dyDescent="0.35">
      <c r="C2472">
        <f t="shared" si="39"/>
        <v>1906</v>
      </c>
      <c r="D2472" s="7">
        <v>2471</v>
      </c>
      <c r="E2472">
        <v>46.731400000000001</v>
      </c>
    </row>
    <row r="2473" spans="3:5" x14ac:dyDescent="0.35">
      <c r="C2473">
        <f t="shared" si="39"/>
        <v>1906</v>
      </c>
      <c r="D2473" s="7">
        <v>2472</v>
      </c>
      <c r="E2473">
        <v>47.2151</v>
      </c>
    </row>
    <row r="2474" spans="3:5" x14ac:dyDescent="0.35">
      <c r="C2474">
        <f t="shared" si="39"/>
        <v>1906</v>
      </c>
      <c r="D2474" s="7">
        <v>2473</v>
      </c>
      <c r="E2474">
        <v>48.070700000000002</v>
      </c>
    </row>
    <row r="2475" spans="3:5" x14ac:dyDescent="0.35">
      <c r="C2475">
        <f t="shared" si="39"/>
        <v>1906</v>
      </c>
      <c r="D2475" s="7">
        <v>2474</v>
      </c>
      <c r="E2475">
        <v>49.531999999999996</v>
      </c>
    </row>
    <row r="2476" spans="3:5" x14ac:dyDescent="0.35">
      <c r="C2476">
        <f t="shared" si="39"/>
        <v>1906</v>
      </c>
      <c r="D2476" s="7">
        <v>2475</v>
      </c>
      <c r="E2476">
        <v>50.656500000000001</v>
      </c>
    </row>
    <row r="2477" spans="3:5" x14ac:dyDescent="0.35">
      <c r="C2477">
        <f t="shared" si="39"/>
        <v>1906</v>
      </c>
      <c r="D2477" s="7">
        <v>2476</v>
      </c>
      <c r="E2477">
        <v>49.917499999999997</v>
      </c>
    </row>
    <row r="2478" spans="3:5" x14ac:dyDescent="0.35">
      <c r="C2478">
        <f t="shared" si="39"/>
        <v>1906</v>
      </c>
      <c r="D2478" s="7">
        <v>2477</v>
      </c>
      <c r="E2478">
        <v>50.4375</v>
      </c>
    </row>
    <row r="2479" spans="3:5" x14ac:dyDescent="0.35">
      <c r="C2479">
        <f t="shared" si="39"/>
        <v>1906</v>
      </c>
      <c r="D2479" s="7">
        <v>2478</v>
      </c>
      <c r="E2479">
        <v>52.382300000000001</v>
      </c>
    </row>
    <row r="2480" spans="3:5" x14ac:dyDescent="0.35">
      <c r="C2480">
        <f t="shared" si="39"/>
        <v>1906</v>
      </c>
      <c r="D2480" s="7">
        <v>2479</v>
      </c>
      <c r="E2480">
        <v>52.098100000000002</v>
      </c>
    </row>
    <row r="2481" spans="3:5" x14ac:dyDescent="0.35">
      <c r="C2481">
        <f t="shared" si="39"/>
        <v>1906</v>
      </c>
      <c r="D2481" s="7">
        <v>2480</v>
      </c>
      <c r="E2481">
        <v>51.683700000000002</v>
      </c>
    </row>
    <row r="2482" spans="3:5" x14ac:dyDescent="0.35">
      <c r="C2482">
        <f t="shared" si="39"/>
        <v>1906</v>
      </c>
      <c r="D2482" s="7">
        <v>2481</v>
      </c>
      <c r="E2482">
        <v>51.327199999999998</v>
      </c>
    </row>
    <row r="2483" spans="3:5" x14ac:dyDescent="0.35">
      <c r="C2483">
        <f t="shared" si="39"/>
        <v>1906</v>
      </c>
      <c r="D2483" s="7">
        <v>2482</v>
      </c>
      <c r="E2483">
        <v>50.897399999999998</v>
      </c>
    </row>
    <row r="2484" spans="3:5" x14ac:dyDescent="0.35">
      <c r="C2484">
        <f t="shared" si="39"/>
        <v>1906</v>
      </c>
      <c r="D2484" s="7">
        <v>2483</v>
      </c>
      <c r="E2484">
        <v>50.254199999999997</v>
      </c>
    </row>
    <row r="2485" spans="3:5" x14ac:dyDescent="0.35">
      <c r="C2485">
        <f t="shared" si="39"/>
        <v>1906</v>
      </c>
      <c r="D2485" s="7">
        <v>2484</v>
      </c>
      <c r="E2485">
        <v>50.950200000000002</v>
      </c>
    </row>
    <row r="2486" spans="3:5" x14ac:dyDescent="0.35">
      <c r="C2486">
        <f t="shared" si="39"/>
        <v>1906</v>
      </c>
      <c r="D2486" s="7">
        <v>2485</v>
      </c>
      <c r="E2486">
        <v>50.460799999999999</v>
      </c>
    </row>
    <row r="2487" spans="3:5" x14ac:dyDescent="0.35">
      <c r="C2487">
        <f t="shared" si="39"/>
        <v>1906</v>
      </c>
      <c r="D2487" s="7">
        <v>2486</v>
      </c>
      <c r="E2487">
        <v>50.310099999999998</v>
      </c>
    </row>
    <row r="2488" spans="3:5" x14ac:dyDescent="0.35">
      <c r="C2488">
        <f t="shared" si="39"/>
        <v>1906</v>
      </c>
      <c r="D2488" s="7">
        <v>2487</v>
      </c>
      <c r="E2488">
        <v>51.44</v>
      </c>
    </row>
    <row r="2489" spans="3:5" x14ac:dyDescent="0.35">
      <c r="C2489">
        <f t="shared" si="39"/>
        <v>1906</v>
      </c>
      <c r="D2489" s="7">
        <v>2488</v>
      </c>
      <c r="E2489">
        <v>49.889000000000003</v>
      </c>
    </row>
    <row r="2490" spans="3:5" x14ac:dyDescent="0.35">
      <c r="C2490">
        <f t="shared" si="39"/>
        <v>1906</v>
      </c>
      <c r="D2490" s="7">
        <v>2489</v>
      </c>
      <c r="E2490">
        <v>50.489100000000001</v>
      </c>
    </row>
    <row r="2491" spans="3:5" x14ac:dyDescent="0.35">
      <c r="C2491">
        <f t="shared" si="39"/>
        <v>1906</v>
      </c>
      <c r="D2491" s="7">
        <v>2490</v>
      </c>
      <c r="E2491">
        <v>50.545299999999997</v>
      </c>
    </row>
    <row r="2492" spans="3:5" x14ac:dyDescent="0.35">
      <c r="C2492">
        <f t="shared" si="39"/>
        <v>1906</v>
      </c>
      <c r="D2492" s="7">
        <v>2491</v>
      </c>
      <c r="E2492">
        <v>50.868200000000002</v>
      </c>
    </row>
    <row r="2493" spans="3:5" x14ac:dyDescent="0.35">
      <c r="C2493">
        <f t="shared" si="39"/>
        <v>1906</v>
      </c>
      <c r="D2493" s="7">
        <v>2492</v>
      </c>
      <c r="E2493">
        <v>50.825699999999998</v>
      </c>
    </row>
    <row r="2494" spans="3:5" x14ac:dyDescent="0.35">
      <c r="C2494">
        <f t="shared" si="39"/>
        <v>1906</v>
      </c>
      <c r="D2494" s="7">
        <v>2493</v>
      </c>
      <c r="E2494">
        <v>50.141599999999997</v>
      </c>
    </row>
    <row r="2495" spans="3:5" x14ac:dyDescent="0.35">
      <c r="C2495">
        <f t="shared" si="39"/>
        <v>1906</v>
      </c>
      <c r="D2495" s="7">
        <v>2494</v>
      </c>
      <c r="E2495">
        <v>49.628700000000002</v>
      </c>
    </row>
    <row r="2496" spans="3:5" x14ac:dyDescent="0.35">
      <c r="C2496">
        <f t="shared" si="39"/>
        <v>1906</v>
      </c>
      <c r="D2496" s="7">
        <v>2495</v>
      </c>
      <c r="E2496">
        <v>51.336300000000001</v>
      </c>
    </row>
    <row r="2497" spans="3:5" x14ac:dyDescent="0.35">
      <c r="C2497">
        <f t="shared" si="39"/>
        <v>1906</v>
      </c>
      <c r="D2497" s="7">
        <v>2496</v>
      </c>
      <c r="E2497">
        <v>50.468699999999998</v>
      </c>
    </row>
    <row r="2498" spans="3:5" x14ac:dyDescent="0.35">
      <c r="C2498">
        <f t="shared" si="39"/>
        <v>1906</v>
      </c>
      <c r="D2498" s="7">
        <v>2497</v>
      </c>
      <c r="E2498">
        <v>50.8018</v>
      </c>
    </row>
    <row r="2499" spans="3:5" x14ac:dyDescent="0.35">
      <c r="C2499">
        <f t="shared" ref="C2499:C2562" si="40">YEAR(D2499)</f>
        <v>1906</v>
      </c>
      <c r="D2499" s="7">
        <v>2498</v>
      </c>
      <c r="E2499">
        <v>50.134900000000002</v>
      </c>
    </row>
    <row r="2500" spans="3:5" x14ac:dyDescent="0.35">
      <c r="C2500">
        <f t="shared" si="40"/>
        <v>1906</v>
      </c>
      <c r="D2500" s="7">
        <v>2499</v>
      </c>
      <c r="E2500">
        <v>49.3125</v>
      </c>
    </row>
    <row r="2501" spans="3:5" x14ac:dyDescent="0.35">
      <c r="C2501">
        <f t="shared" si="40"/>
        <v>1906</v>
      </c>
      <c r="D2501" s="7">
        <v>2500</v>
      </c>
      <c r="E2501">
        <v>48.889099999999999</v>
      </c>
    </row>
    <row r="2502" spans="3:5" x14ac:dyDescent="0.35">
      <c r="C2502">
        <f t="shared" si="40"/>
        <v>1906</v>
      </c>
      <c r="D2502" s="7">
        <v>2501</v>
      </c>
      <c r="E2502">
        <v>48.892899999999997</v>
      </c>
    </row>
    <row r="2503" spans="3:5" x14ac:dyDescent="0.35">
      <c r="C2503">
        <f t="shared" si="40"/>
        <v>1906</v>
      </c>
      <c r="D2503" s="7">
        <v>2502</v>
      </c>
      <c r="E2503">
        <v>48.670499999999997</v>
      </c>
    </row>
    <row r="2504" spans="3:5" x14ac:dyDescent="0.35">
      <c r="C2504">
        <f t="shared" si="40"/>
        <v>1906</v>
      </c>
      <c r="D2504" s="7">
        <v>2503</v>
      </c>
      <c r="E2504">
        <v>48.807200000000002</v>
      </c>
    </row>
    <row r="2505" spans="3:5" x14ac:dyDescent="0.35">
      <c r="C2505">
        <f t="shared" si="40"/>
        <v>1906</v>
      </c>
      <c r="D2505" s="7">
        <v>2504</v>
      </c>
      <c r="E2505">
        <v>48.475900000000003</v>
      </c>
    </row>
    <row r="2506" spans="3:5" x14ac:dyDescent="0.35">
      <c r="C2506">
        <f t="shared" si="40"/>
        <v>1906</v>
      </c>
      <c r="D2506" s="7">
        <v>2505</v>
      </c>
      <c r="E2506">
        <v>48.350700000000003</v>
      </c>
    </row>
    <row r="2507" spans="3:5" x14ac:dyDescent="0.35">
      <c r="C2507">
        <f t="shared" si="40"/>
        <v>1906</v>
      </c>
      <c r="D2507" s="7">
        <v>2506</v>
      </c>
      <c r="E2507">
        <v>49.368200000000002</v>
      </c>
    </row>
    <row r="2508" spans="3:5" x14ac:dyDescent="0.35">
      <c r="C2508">
        <f t="shared" si="40"/>
        <v>1906</v>
      </c>
      <c r="D2508" s="7">
        <v>2507</v>
      </c>
      <c r="E2508">
        <v>49.769500000000001</v>
      </c>
    </row>
    <row r="2509" spans="3:5" x14ac:dyDescent="0.35">
      <c r="C2509">
        <f t="shared" si="40"/>
        <v>1906</v>
      </c>
      <c r="D2509" s="7">
        <v>2508</v>
      </c>
      <c r="E2509">
        <v>50.883400000000002</v>
      </c>
    </row>
    <row r="2510" spans="3:5" x14ac:dyDescent="0.35">
      <c r="C2510">
        <f t="shared" si="40"/>
        <v>1906</v>
      </c>
      <c r="D2510" s="7">
        <v>2509</v>
      </c>
      <c r="E2510">
        <v>48.1053</v>
      </c>
    </row>
    <row r="2511" spans="3:5" x14ac:dyDescent="0.35">
      <c r="C2511">
        <f t="shared" si="40"/>
        <v>1906</v>
      </c>
      <c r="D2511" s="7">
        <v>2510</v>
      </c>
      <c r="E2511">
        <v>45.156100000000002</v>
      </c>
    </row>
    <row r="2512" spans="3:5" x14ac:dyDescent="0.35">
      <c r="C2512">
        <f t="shared" si="40"/>
        <v>1906</v>
      </c>
      <c r="D2512" s="7">
        <v>2511</v>
      </c>
      <c r="E2512">
        <v>44.887900000000002</v>
      </c>
    </row>
    <row r="2513" spans="3:5" x14ac:dyDescent="0.35">
      <c r="C2513">
        <f t="shared" si="40"/>
        <v>1906</v>
      </c>
      <c r="D2513" s="7">
        <v>2512</v>
      </c>
      <c r="E2513">
        <v>45.128500000000003</v>
      </c>
    </row>
    <row r="2514" spans="3:5" x14ac:dyDescent="0.35">
      <c r="C2514">
        <f t="shared" si="40"/>
        <v>1906</v>
      </c>
      <c r="D2514" s="7">
        <v>2513</v>
      </c>
      <c r="E2514">
        <v>48.374299999999998</v>
      </c>
    </row>
    <row r="2515" spans="3:5" x14ac:dyDescent="0.35">
      <c r="C2515">
        <f t="shared" si="40"/>
        <v>1906</v>
      </c>
      <c r="D2515" s="7">
        <v>2514</v>
      </c>
      <c r="E2515">
        <v>48.895000000000003</v>
      </c>
    </row>
    <row r="2516" spans="3:5" x14ac:dyDescent="0.35">
      <c r="C2516">
        <f t="shared" si="40"/>
        <v>1906</v>
      </c>
      <c r="D2516" s="7">
        <v>2515</v>
      </c>
      <c r="E2516">
        <v>50.703200000000002</v>
      </c>
    </row>
    <row r="2517" spans="3:5" x14ac:dyDescent="0.35">
      <c r="C2517">
        <f t="shared" si="40"/>
        <v>1906</v>
      </c>
      <c r="D2517" s="7">
        <v>2516</v>
      </c>
      <c r="E2517">
        <v>50.951300000000003</v>
      </c>
    </row>
    <row r="2518" spans="3:5" x14ac:dyDescent="0.35">
      <c r="C2518">
        <f t="shared" si="40"/>
        <v>1906</v>
      </c>
      <c r="D2518" s="7">
        <v>2517</v>
      </c>
      <c r="E2518">
        <v>50.106699999999996</v>
      </c>
    </row>
    <row r="2519" spans="3:5" x14ac:dyDescent="0.35">
      <c r="C2519">
        <f t="shared" si="40"/>
        <v>1906</v>
      </c>
      <c r="D2519" s="7">
        <v>2518</v>
      </c>
      <c r="E2519">
        <v>51.401000000000003</v>
      </c>
    </row>
    <row r="2520" spans="3:5" x14ac:dyDescent="0.35">
      <c r="C2520">
        <f t="shared" si="40"/>
        <v>1906</v>
      </c>
      <c r="D2520" s="7">
        <v>2519</v>
      </c>
      <c r="E2520">
        <v>51.186399999999999</v>
      </c>
    </row>
    <row r="2521" spans="3:5" x14ac:dyDescent="0.35">
      <c r="C2521">
        <f t="shared" si="40"/>
        <v>1906</v>
      </c>
      <c r="D2521" s="7">
        <v>2520</v>
      </c>
      <c r="E2521">
        <v>50.207599999999999</v>
      </c>
    </row>
    <row r="2522" spans="3:5" x14ac:dyDescent="0.35">
      <c r="C2522">
        <f t="shared" si="40"/>
        <v>1906</v>
      </c>
      <c r="D2522" s="7">
        <v>2521</v>
      </c>
      <c r="E2522">
        <v>49.750799999999998</v>
      </c>
    </row>
    <row r="2523" spans="3:5" x14ac:dyDescent="0.35">
      <c r="C2523">
        <f t="shared" si="40"/>
        <v>1906</v>
      </c>
      <c r="D2523" s="7">
        <v>2522</v>
      </c>
      <c r="E2523">
        <v>47.888199999999998</v>
      </c>
    </row>
    <row r="2524" spans="3:5" x14ac:dyDescent="0.35">
      <c r="C2524">
        <f t="shared" si="40"/>
        <v>1906</v>
      </c>
      <c r="D2524" s="7">
        <v>2523</v>
      </c>
      <c r="E2524">
        <v>48.548299999999998</v>
      </c>
    </row>
    <row r="2525" spans="3:5" x14ac:dyDescent="0.35">
      <c r="C2525">
        <f t="shared" si="40"/>
        <v>1906</v>
      </c>
      <c r="D2525" s="7">
        <v>2524</v>
      </c>
      <c r="E2525">
        <v>46.786000000000001</v>
      </c>
    </row>
    <row r="2526" spans="3:5" x14ac:dyDescent="0.35">
      <c r="C2526">
        <f t="shared" si="40"/>
        <v>1906</v>
      </c>
      <c r="D2526" s="7">
        <v>2525</v>
      </c>
      <c r="E2526">
        <v>47.228400000000001</v>
      </c>
    </row>
    <row r="2527" spans="3:5" x14ac:dyDescent="0.35">
      <c r="C2527">
        <f t="shared" si="40"/>
        <v>1906</v>
      </c>
      <c r="D2527" s="7">
        <v>2526</v>
      </c>
      <c r="E2527">
        <v>47.057899999999997</v>
      </c>
    </row>
    <row r="2528" spans="3:5" x14ac:dyDescent="0.35">
      <c r="C2528">
        <f t="shared" si="40"/>
        <v>1906</v>
      </c>
      <c r="D2528" s="7">
        <v>2527</v>
      </c>
      <c r="E2528">
        <v>45.472900000000003</v>
      </c>
    </row>
    <row r="2529" spans="3:5" x14ac:dyDescent="0.35">
      <c r="C2529">
        <f t="shared" si="40"/>
        <v>1906</v>
      </c>
      <c r="D2529" s="7">
        <v>2528</v>
      </c>
      <c r="E2529">
        <v>45.060899999999997</v>
      </c>
    </row>
    <row r="2530" spans="3:5" x14ac:dyDescent="0.35">
      <c r="C2530">
        <f t="shared" si="40"/>
        <v>1906</v>
      </c>
      <c r="D2530" s="7">
        <v>2529</v>
      </c>
      <c r="E2530">
        <v>45.646099999999997</v>
      </c>
    </row>
    <row r="2531" spans="3:5" x14ac:dyDescent="0.35">
      <c r="C2531">
        <f t="shared" si="40"/>
        <v>1906</v>
      </c>
      <c r="D2531" s="7">
        <v>2530</v>
      </c>
      <c r="E2531">
        <v>48.078600000000002</v>
      </c>
    </row>
    <row r="2532" spans="3:5" x14ac:dyDescent="0.35">
      <c r="C2532">
        <f t="shared" si="40"/>
        <v>1906</v>
      </c>
      <c r="D2532" s="7">
        <v>2531</v>
      </c>
      <c r="E2532">
        <v>48.799100000000003</v>
      </c>
    </row>
    <row r="2533" spans="3:5" x14ac:dyDescent="0.35">
      <c r="C2533">
        <f t="shared" si="40"/>
        <v>1906</v>
      </c>
      <c r="D2533" s="7">
        <v>2532</v>
      </c>
      <c r="E2533">
        <v>48.944400000000002</v>
      </c>
    </row>
    <row r="2534" spans="3:5" x14ac:dyDescent="0.35">
      <c r="C2534">
        <f t="shared" si="40"/>
        <v>1906</v>
      </c>
      <c r="D2534" s="7">
        <v>2533</v>
      </c>
      <c r="E2534">
        <v>47.885599999999997</v>
      </c>
    </row>
    <row r="2535" spans="3:5" x14ac:dyDescent="0.35">
      <c r="C2535">
        <f t="shared" si="40"/>
        <v>1906</v>
      </c>
      <c r="D2535" s="7">
        <v>2534</v>
      </c>
      <c r="E2535">
        <v>46.254600000000003</v>
      </c>
    </row>
    <row r="2536" spans="3:5" x14ac:dyDescent="0.35">
      <c r="C2536">
        <f t="shared" si="40"/>
        <v>1906</v>
      </c>
      <c r="D2536" s="7">
        <v>2535</v>
      </c>
      <c r="E2536">
        <v>47.2712</v>
      </c>
    </row>
    <row r="2537" spans="3:5" x14ac:dyDescent="0.35">
      <c r="C2537">
        <f t="shared" si="40"/>
        <v>1906</v>
      </c>
      <c r="D2537" s="7">
        <v>2536</v>
      </c>
      <c r="E2537">
        <v>48.884300000000003</v>
      </c>
    </row>
    <row r="2538" spans="3:5" x14ac:dyDescent="0.35">
      <c r="C2538">
        <f t="shared" si="40"/>
        <v>1906</v>
      </c>
      <c r="D2538" s="7">
        <v>2537</v>
      </c>
      <c r="E2538">
        <v>49.039200000000001</v>
      </c>
    </row>
    <row r="2539" spans="3:5" x14ac:dyDescent="0.35">
      <c r="C2539">
        <f t="shared" si="40"/>
        <v>1906</v>
      </c>
      <c r="D2539" s="7">
        <v>2538</v>
      </c>
      <c r="E2539">
        <v>48.449599999999997</v>
      </c>
    </row>
    <row r="2540" spans="3:5" x14ac:dyDescent="0.35">
      <c r="C2540">
        <f t="shared" si="40"/>
        <v>1906</v>
      </c>
      <c r="D2540" s="7">
        <v>2539</v>
      </c>
      <c r="E2540">
        <v>48.2239</v>
      </c>
    </row>
    <row r="2541" spans="3:5" x14ac:dyDescent="0.35">
      <c r="C2541">
        <f t="shared" si="40"/>
        <v>1906</v>
      </c>
      <c r="D2541" s="7">
        <v>2540</v>
      </c>
      <c r="E2541">
        <v>47.638599999999997</v>
      </c>
    </row>
    <row r="2542" spans="3:5" x14ac:dyDescent="0.35">
      <c r="C2542">
        <f t="shared" si="40"/>
        <v>1906</v>
      </c>
      <c r="D2542" s="7">
        <v>2541</v>
      </c>
      <c r="E2542">
        <v>45.514499999999998</v>
      </c>
    </row>
    <row r="2543" spans="3:5" x14ac:dyDescent="0.35">
      <c r="C2543">
        <f t="shared" si="40"/>
        <v>1906</v>
      </c>
      <c r="D2543" s="7">
        <v>2542</v>
      </c>
      <c r="E2543">
        <v>44.907299999999999</v>
      </c>
    </row>
    <row r="2544" spans="3:5" x14ac:dyDescent="0.35">
      <c r="C2544">
        <f t="shared" si="40"/>
        <v>1906</v>
      </c>
      <c r="D2544" s="7">
        <v>2543</v>
      </c>
      <c r="E2544">
        <v>42.193800000000003</v>
      </c>
    </row>
    <row r="2545" spans="3:5" x14ac:dyDescent="0.35">
      <c r="C2545">
        <f t="shared" si="40"/>
        <v>1906</v>
      </c>
      <c r="D2545" s="7">
        <v>2544</v>
      </c>
      <c r="E2545">
        <v>41.693199999999997</v>
      </c>
    </row>
    <row r="2546" spans="3:5" x14ac:dyDescent="0.35">
      <c r="C2546">
        <f t="shared" si="40"/>
        <v>1906</v>
      </c>
      <c r="D2546" s="7">
        <v>2545</v>
      </c>
      <c r="E2546">
        <v>40.878700000000002</v>
      </c>
    </row>
    <row r="2547" spans="3:5" x14ac:dyDescent="0.35">
      <c r="C2547">
        <f t="shared" si="40"/>
        <v>1906</v>
      </c>
      <c r="D2547" s="7">
        <v>2546</v>
      </c>
      <c r="E2547">
        <v>37.776499999999999</v>
      </c>
    </row>
    <row r="2548" spans="3:5" x14ac:dyDescent="0.35">
      <c r="C2548">
        <f t="shared" si="40"/>
        <v>1906</v>
      </c>
      <c r="D2548" s="7">
        <v>2547</v>
      </c>
      <c r="E2548">
        <v>37.805999999999997</v>
      </c>
    </row>
    <row r="2549" spans="3:5" x14ac:dyDescent="0.35">
      <c r="C2549">
        <f t="shared" si="40"/>
        <v>1906</v>
      </c>
      <c r="D2549" s="7">
        <v>2548</v>
      </c>
      <c r="E2549">
        <v>37.040199999999999</v>
      </c>
    </row>
    <row r="2550" spans="3:5" x14ac:dyDescent="0.35">
      <c r="C2550">
        <f t="shared" si="40"/>
        <v>1906</v>
      </c>
      <c r="D2550" s="7">
        <v>2549</v>
      </c>
      <c r="E2550">
        <v>37.076599999999999</v>
      </c>
    </row>
    <row r="2551" spans="3:5" x14ac:dyDescent="0.35">
      <c r="C2551">
        <f t="shared" si="40"/>
        <v>1906</v>
      </c>
      <c r="D2551" s="7">
        <v>2550</v>
      </c>
      <c r="E2551">
        <v>36.465699999999998</v>
      </c>
    </row>
    <row r="2552" spans="3:5" x14ac:dyDescent="0.35">
      <c r="C2552">
        <f t="shared" si="40"/>
        <v>1906</v>
      </c>
      <c r="D2552" s="7">
        <v>2551</v>
      </c>
      <c r="E2552">
        <v>35.9499</v>
      </c>
    </row>
    <row r="2553" spans="3:5" x14ac:dyDescent="0.35">
      <c r="C2553">
        <f t="shared" si="40"/>
        <v>1906</v>
      </c>
      <c r="D2553" s="7">
        <v>2552</v>
      </c>
      <c r="E2553">
        <v>33.952399999999997</v>
      </c>
    </row>
    <row r="2554" spans="3:5" x14ac:dyDescent="0.35">
      <c r="C2554">
        <f t="shared" si="40"/>
        <v>1906</v>
      </c>
      <c r="D2554" s="7">
        <v>2553</v>
      </c>
      <c r="E2554">
        <v>31.498799999999999</v>
      </c>
    </row>
    <row r="2555" spans="3:5" x14ac:dyDescent="0.35">
      <c r="C2555">
        <f t="shared" si="40"/>
        <v>1906</v>
      </c>
      <c r="D2555" s="7">
        <v>2554</v>
      </c>
      <c r="E2555">
        <v>30.3553</v>
      </c>
    </row>
    <row r="2556" spans="3:5" x14ac:dyDescent="0.35">
      <c r="C2556">
        <f t="shared" si="40"/>
        <v>1906</v>
      </c>
      <c r="D2556" s="7">
        <v>2555</v>
      </c>
      <c r="E2556">
        <v>30.616900000000001</v>
      </c>
    </row>
    <row r="2557" spans="3:5" x14ac:dyDescent="0.35">
      <c r="C2557">
        <f t="shared" si="40"/>
        <v>1906</v>
      </c>
      <c r="D2557" s="7">
        <v>2556</v>
      </c>
      <c r="E2557">
        <v>26.7196</v>
      </c>
    </row>
    <row r="2558" spans="3:5" x14ac:dyDescent="0.35">
      <c r="C2558">
        <f t="shared" si="40"/>
        <v>1906</v>
      </c>
      <c r="D2558" s="7">
        <v>2557</v>
      </c>
      <c r="E2558">
        <v>29.565300000000001</v>
      </c>
    </row>
    <row r="2559" spans="3:5" x14ac:dyDescent="0.35">
      <c r="C2559">
        <f t="shared" si="40"/>
        <v>1907</v>
      </c>
      <c r="D2559" s="7">
        <v>2558</v>
      </c>
      <c r="E2559">
        <v>27.419599999999999</v>
      </c>
    </row>
    <row r="2560" spans="3:5" x14ac:dyDescent="0.35">
      <c r="C2560">
        <f t="shared" si="40"/>
        <v>1907</v>
      </c>
      <c r="D2560" s="7">
        <v>2559</v>
      </c>
      <c r="E2560">
        <v>25.126300000000001</v>
      </c>
    </row>
    <row r="2561" spans="3:5" x14ac:dyDescent="0.35">
      <c r="C2561">
        <f t="shared" si="40"/>
        <v>1907</v>
      </c>
      <c r="D2561" s="7">
        <v>2560</v>
      </c>
      <c r="E2561">
        <v>26.121700000000001</v>
      </c>
    </row>
    <row r="2562" spans="3:5" x14ac:dyDescent="0.35">
      <c r="C2562">
        <f t="shared" si="40"/>
        <v>1907</v>
      </c>
      <c r="D2562" s="7">
        <v>2561</v>
      </c>
      <c r="E2562">
        <v>25.775099999999998</v>
      </c>
    </row>
    <row r="2563" spans="3:5" x14ac:dyDescent="0.35">
      <c r="C2563">
        <f t="shared" ref="C2563:C2626" si="41">YEAR(D2563)</f>
        <v>1907</v>
      </c>
      <c r="D2563" s="7">
        <v>2562</v>
      </c>
      <c r="E2563">
        <v>25.568899999999999</v>
      </c>
    </row>
    <row r="2564" spans="3:5" x14ac:dyDescent="0.35">
      <c r="C2564">
        <f t="shared" si="41"/>
        <v>1907</v>
      </c>
      <c r="D2564" s="7">
        <v>2563</v>
      </c>
      <c r="E2564">
        <v>23.429500000000001</v>
      </c>
    </row>
    <row r="2565" spans="3:5" x14ac:dyDescent="0.35">
      <c r="C2565">
        <f t="shared" si="41"/>
        <v>1907</v>
      </c>
      <c r="D2565" s="7">
        <v>2564</v>
      </c>
      <c r="E2565">
        <v>23.780899999999999</v>
      </c>
    </row>
    <row r="2566" spans="3:5" x14ac:dyDescent="0.35">
      <c r="C2566">
        <f t="shared" si="41"/>
        <v>1907</v>
      </c>
      <c r="D2566" s="7">
        <v>2565</v>
      </c>
      <c r="E2566">
        <v>25.8752</v>
      </c>
    </row>
    <row r="2567" spans="3:5" x14ac:dyDescent="0.35">
      <c r="C2567">
        <f t="shared" si="41"/>
        <v>1907</v>
      </c>
      <c r="D2567" s="7">
        <v>2566</v>
      </c>
      <c r="E2567">
        <v>27.1938</v>
      </c>
    </row>
    <row r="2568" spans="3:5" x14ac:dyDescent="0.35">
      <c r="C2568">
        <f t="shared" si="41"/>
        <v>1907</v>
      </c>
      <c r="D2568" s="7">
        <v>2567</v>
      </c>
      <c r="E2568">
        <v>26.5764</v>
      </c>
    </row>
    <row r="2569" spans="3:5" x14ac:dyDescent="0.35">
      <c r="C2569">
        <f t="shared" si="41"/>
        <v>1907</v>
      </c>
      <c r="D2569" s="7">
        <v>2568</v>
      </c>
      <c r="E2569">
        <v>25.796399999999998</v>
      </c>
    </row>
    <row r="2570" spans="3:5" x14ac:dyDescent="0.35">
      <c r="C2570">
        <f t="shared" si="41"/>
        <v>1907</v>
      </c>
      <c r="D2570" s="7">
        <v>2569</v>
      </c>
      <c r="E2570">
        <v>27.078800000000001</v>
      </c>
    </row>
    <row r="2571" spans="3:5" x14ac:dyDescent="0.35">
      <c r="C2571">
        <f t="shared" si="41"/>
        <v>1907</v>
      </c>
      <c r="D2571" s="7">
        <v>2570</v>
      </c>
      <c r="E2571">
        <v>26.7624</v>
      </c>
    </row>
    <row r="2572" spans="3:5" x14ac:dyDescent="0.35">
      <c r="C2572">
        <f t="shared" si="41"/>
        <v>1907</v>
      </c>
      <c r="D2572" s="7">
        <v>2571</v>
      </c>
      <c r="E2572">
        <v>25.615200000000002</v>
      </c>
    </row>
    <row r="2573" spans="3:5" x14ac:dyDescent="0.35">
      <c r="C2573">
        <f t="shared" si="41"/>
        <v>1907</v>
      </c>
      <c r="D2573" s="7">
        <v>2572</v>
      </c>
      <c r="E2573">
        <v>25.634499999999999</v>
      </c>
    </row>
    <row r="2574" spans="3:5" x14ac:dyDescent="0.35">
      <c r="C2574">
        <f t="shared" si="41"/>
        <v>1907</v>
      </c>
      <c r="D2574" s="7">
        <v>2573</v>
      </c>
      <c r="E2574">
        <v>25.234000000000002</v>
      </c>
    </row>
    <row r="2575" spans="3:5" x14ac:dyDescent="0.35">
      <c r="C2575">
        <f t="shared" si="41"/>
        <v>1907</v>
      </c>
      <c r="D2575" s="7">
        <v>2574</v>
      </c>
      <c r="E2575">
        <v>26.316500000000001</v>
      </c>
    </row>
    <row r="2576" spans="3:5" x14ac:dyDescent="0.35">
      <c r="C2576">
        <f t="shared" si="41"/>
        <v>1907</v>
      </c>
      <c r="D2576" s="7">
        <v>2575</v>
      </c>
      <c r="E2576">
        <v>26.421099999999999</v>
      </c>
    </row>
    <row r="2577" spans="3:5" x14ac:dyDescent="0.35">
      <c r="C2577">
        <f t="shared" si="41"/>
        <v>1907</v>
      </c>
      <c r="D2577" s="7">
        <v>2576</v>
      </c>
      <c r="E2577">
        <v>25.789300000000001</v>
      </c>
    </row>
    <row r="2578" spans="3:5" x14ac:dyDescent="0.35">
      <c r="C2578">
        <f t="shared" si="41"/>
        <v>1907</v>
      </c>
      <c r="D2578" s="7">
        <v>2577</v>
      </c>
      <c r="E2578">
        <v>27.046700000000001</v>
      </c>
    </row>
    <row r="2579" spans="3:5" x14ac:dyDescent="0.35">
      <c r="C2579">
        <f t="shared" si="41"/>
        <v>1907</v>
      </c>
      <c r="D2579" s="7">
        <v>2578</v>
      </c>
      <c r="E2579">
        <v>28.596599999999999</v>
      </c>
    </row>
    <row r="2580" spans="3:5" x14ac:dyDescent="0.35">
      <c r="C2580">
        <f t="shared" si="41"/>
        <v>1907</v>
      </c>
      <c r="D2580" s="7">
        <v>2579</v>
      </c>
      <c r="E2580">
        <v>27.4221</v>
      </c>
    </row>
    <row r="2581" spans="3:5" x14ac:dyDescent="0.35">
      <c r="C2581">
        <f t="shared" si="41"/>
        <v>1907</v>
      </c>
      <c r="D2581" s="7">
        <v>2580</v>
      </c>
      <c r="E2581">
        <v>26.6587</v>
      </c>
    </row>
    <row r="2582" spans="3:5" x14ac:dyDescent="0.35">
      <c r="C2582">
        <f t="shared" si="41"/>
        <v>1907</v>
      </c>
      <c r="D2582" s="7">
        <v>2581</v>
      </c>
      <c r="E2582">
        <v>27.930599999999998</v>
      </c>
    </row>
    <row r="2583" spans="3:5" x14ac:dyDescent="0.35">
      <c r="C2583">
        <f t="shared" si="41"/>
        <v>1907</v>
      </c>
      <c r="D2583" s="7">
        <v>2582</v>
      </c>
      <c r="E2583">
        <v>28.168700000000001</v>
      </c>
    </row>
    <row r="2584" spans="3:5" x14ac:dyDescent="0.35">
      <c r="C2584">
        <f t="shared" si="41"/>
        <v>1907</v>
      </c>
      <c r="D2584" s="7">
        <v>2583</v>
      </c>
      <c r="E2584">
        <v>27.931899999999999</v>
      </c>
    </row>
    <row r="2585" spans="3:5" x14ac:dyDescent="0.35">
      <c r="C2585">
        <f t="shared" si="41"/>
        <v>1907</v>
      </c>
      <c r="D2585" s="7">
        <v>2584</v>
      </c>
      <c r="E2585">
        <v>26.802800000000001</v>
      </c>
    </row>
    <row r="2586" spans="3:5" x14ac:dyDescent="0.35">
      <c r="C2586">
        <f t="shared" si="41"/>
        <v>1907</v>
      </c>
      <c r="D2586" s="7">
        <v>2585</v>
      </c>
      <c r="E2586">
        <v>26.670500000000001</v>
      </c>
    </row>
    <row r="2587" spans="3:5" x14ac:dyDescent="0.35">
      <c r="C2587">
        <f t="shared" si="41"/>
        <v>1907</v>
      </c>
      <c r="D2587" s="7">
        <v>2586</v>
      </c>
      <c r="E2587">
        <v>28.222000000000001</v>
      </c>
    </row>
    <row r="2588" spans="3:5" x14ac:dyDescent="0.35">
      <c r="C2588">
        <f t="shared" si="41"/>
        <v>1907</v>
      </c>
      <c r="D2588" s="7">
        <v>2587</v>
      </c>
      <c r="E2588">
        <v>27.749700000000001</v>
      </c>
    </row>
    <row r="2589" spans="3:5" x14ac:dyDescent="0.35">
      <c r="C2589">
        <f t="shared" si="41"/>
        <v>1907</v>
      </c>
      <c r="D2589" s="7">
        <v>2588</v>
      </c>
      <c r="E2589">
        <v>27.727499999999999</v>
      </c>
    </row>
    <row r="2590" spans="3:5" x14ac:dyDescent="0.35">
      <c r="C2590">
        <f t="shared" si="41"/>
        <v>1907</v>
      </c>
      <c r="D2590" s="7">
        <v>2589</v>
      </c>
      <c r="E2590">
        <v>28.348700000000001</v>
      </c>
    </row>
    <row r="2591" spans="3:5" x14ac:dyDescent="0.35">
      <c r="C2591">
        <f t="shared" si="41"/>
        <v>1907</v>
      </c>
      <c r="D2591" s="7">
        <v>2590</v>
      </c>
      <c r="E2591">
        <v>27.345800000000001</v>
      </c>
    </row>
    <row r="2592" spans="3:5" x14ac:dyDescent="0.35">
      <c r="C2592">
        <f t="shared" si="41"/>
        <v>1907</v>
      </c>
      <c r="D2592" s="7">
        <v>2591</v>
      </c>
      <c r="E2592">
        <v>27.2776</v>
      </c>
    </row>
    <row r="2593" spans="3:5" x14ac:dyDescent="0.35">
      <c r="C2593">
        <f t="shared" si="41"/>
        <v>1907</v>
      </c>
      <c r="D2593" s="7">
        <v>2592</v>
      </c>
      <c r="E2593">
        <v>27.504799999999999</v>
      </c>
    </row>
    <row r="2594" spans="3:5" x14ac:dyDescent="0.35">
      <c r="C2594">
        <f t="shared" si="41"/>
        <v>1907</v>
      </c>
      <c r="D2594" s="7">
        <v>2593</v>
      </c>
      <c r="E2594">
        <v>26.655999999999999</v>
      </c>
    </row>
    <row r="2595" spans="3:5" x14ac:dyDescent="0.35">
      <c r="C2595">
        <f t="shared" si="41"/>
        <v>1907</v>
      </c>
      <c r="D2595" s="7">
        <v>2594</v>
      </c>
      <c r="E2595">
        <v>27.202100000000002</v>
      </c>
    </row>
    <row r="2596" spans="3:5" x14ac:dyDescent="0.35">
      <c r="C2596">
        <f t="shared" si="41"/>
        <v>1907</v>
      </c>
      <c r="D2596" s="7">
        <v>2595</v>
      </c>
      <c r="E2596">
        <v>27.466000000000001</v>
      </c>
    </row>
    <row r="2597" spans="3:5" x14ac:dyDescent="0.35">
      <c r="C2597">
        <f t="shared" si="41"/>
        <v>1907</v>
      </c>
      <c r="D2597" s="7">
        <v>2596</v>
      </c>
      <c r="E2597">
        <v>27.5153</v>
      </c>
    </row>
    <row r="2598" spans="3:5" x14ac:dyDescent="0.35">
      <c r="C2598">
        <f t="shared" si="41"/>
        <v>1907</v>
      </c>
      <c r="D2598" s="7">
        <v>2597</v>
      </c>
      <c r="E2598">
        <v>27.641999999999999</v>
      </c>
    </row>
    <row r="2599" spans="3:5" x14ac:dyDescent="0.35">
      <c r="C2599">
        <f t="shared" si="41"/>
        <v>1907</v>
      </c>
      <c r="D2599" s="7">
        <v>2598</v>
      </c>
      <c r="E2599">
        <v>27.061399999999999</v>
      </c>
    </row>
    <row r="2600" spans="3:5" x14ac:dyDescent="0.35">
      <c r="C2600">
        <f t="shared" si="41"/>
        <v>1907</v>
      </c>
      <c r="D2600" s="7">
        <v>2599</v>
      </c>
      <c r="E2600">
        <v>27.126000000000001</v>
      </c>
    </row>
    <row r="2601" spans="3:5" x14ac:dyDescent="0.35">
      <c r="C2601">
        <f t="shared" si="41"/>
        <v>1907</v>
      </c>
      <c r="D2601" s="7">
        <v>2600</v>
      </c>
      <c r="E2601">
        <v>28.257999999999999</v>
      </c>
    </row>
    <row r="2602" spans="3:5" x14ac:dyDescent="0.35">
      <c r="C2602">
        <f t="shared" si="41"/>
        <v>1907</v>
      </c>
      <c r="D2602" s="7">
        <v>2601</v>
      </c>
      <c r="E2602">
        <v>28.4863</v>
      </c>
    </row>
    <row r="2603" spans="3:5" x14ac:dyDescent="0.35">
      <c r="C2603">
        <f t="shared" si="41"/>
        <v>1907</v>
      </c>
      <c r="D2603" s="7">
        <v>2602</v>
      </c>
      <c r="E2603">
        <v>29.552499999999998</v>
      </c>
    </row>
    <row r="2604" spans="3:5" x14ac:dyDescent="0.35">
      <c r="C2604">
        <f t="shared" si="41"/>
        <v>1907</v>
      </c>
      <c r="D2604" s="7">
        <v>2603</v>
      </c>
      <c r="E2604">
        <v>29.6037</v>
      </c>
    </row>
    <row r="2605" spans="3:5" x14ac:dyDescent="0.35">
      <c r="C2605">
        <f t="shared" si="41"/>
        <v>1907</v>
      </c>
      <c r="D2605" s="7">
        <v>2604</v>
      </c>
      <c r="E2605">
        <v>33.340600000000002</v>
      </c>
    </row>
    <row r="2606" spans="3:5" x14ac:dyDescent="0.35">
      <c r="C2606">
        <f t="shared" si="41"/>
        <v>1907</v>
      </c>
      <c r="D2606" s="7">
        <v>2605</v>
      </c>
      <c r="E2606">
        <v>33.920999999999999</v>
      </c>
    </row>
    <row r="2607" spans="3:5" x14ac:dyDescent="0.35">
      <c r="C2607">
        <f t="shared" si="41"/>
        <v>1907</v>
      </c>
      <c r="D2607" s="7">
        <v>2606</v>
      </c>
      <c r="E2607">
        <v>32.812199999999997</v>
      </c>
    </row>
    <row r="2608" spans="3:5" x14ac:dyDescent="0.35">
      <c r="C2608">
        <f t="shared" si="41"/>
        <v>1907</v>
      </c>
      <c r="D2608" s="7">
        <v>2607</v>
      </c>
      <c r="E2608">
        <v>33.617800000000003</v>
      </c>
    </row>
    <row r="2609" spans="3:5" x14ac:dyDescent="0.35">
      <c r="C2609">
        <f t="shared" si="41"/>
        <v>1907</v>
      </c>
      <c r="D2609" s="7">
        <v>2608</v>
      </c>
      <c r="E2609">
        <v>33.436900000000001</v>
      </c>
    </row>
    <row r="2610" spans="3:5" x14ac:dyDescent="0.35">
      <c r="C2610">
        <f t="shared" si="41"/>
        <v>1907</v>
      </c>
      <c r="D2610" s="7">
        <v>2609</v>
      </c>
      <c r="E2610">
        <v>34.279800000000002</v>
      </c>
    </row>
    <row r="2611" spans="3:5" x14ac:dyDescent="0.35">
      <c r="C2611">
        <f t="shared" si="41"/>
        <v>1907</v>
      </c>
      <c r="D2611" s="7">
        <v>2610</v>
      </c>
      <c r="E2611">
        <v>33.961300000000001</v>
      </c>
    </row>
    <row r="2612" spans="3:5" x14ac:dyDescent="0.35">
      <c r="C2612">
        <f t="shared" si="41"/>
        <v>1907</v>
      </c>
      <c r="D2612" s="7">
        <v>2611</v>
      </c>
      <c r="E2612">
        <v>35.028399999999998</v>
      </c>
    </row>
    <row r="2613" spans="3:5" x14ac:dyDescent="0.35">
      <c r="C2613">
        <f t="shared" si="41"/>
        <v>1907</v>
      </c>
      <c r="D2613" s="7">
        <v>2612</v>
      </c>
      <c r="E2613">
        <v>34.2378</v>
      </c>
    </row>
    <row r="2614" spans="3:5" x14ac:dyDescent="0.35">
      <c r="C2614">
        <f t="shared" si="41"/>
        <v>1907</v>
      </c>
      <c r="D2614" s="7">
        <v>2613</v>
      </c>
      <c r="E2614">
        <v>33.813499999999998</v>
      </c>
    </row>
    <row r="2615" spans="3:5" x14ac:dyDescent="0.35">
      <c r="C2615">
        <f t="shared" si="41"/>
        <v>1907</v>
      </c>
      <c r="D2615" s="7">
        <v>2614</v>
      </c>
      <c r="E2615">
        <v>33.860999999999997</v>
      </c>
    </row>
    <row r="2616" spans="3:5" x14ac:dyDescent="0.35">
      <c r="C2616">
        <f t="shared" si="41"/>
        <v>1907</v>
      </c>
      <c r="D2616" s="7">
        <v>2615</v>
      </c>
      <c r="E2616">
        <v>33.158099999999997</v>
      </c>
    </row>
    <row r="2617" spans="3:5" x14ac:dyDescent="0.35">
      <c r="C2617">
        <f t="shared" si="41"/>
        <v>1907</v>
      </c>
      <c r="D2617" s="7">
        <v>2616</v>
      </c>
      <c r="E2617">
        <v>33.4983</v>
      </c>
    </row>
    <row r="2618" spans="3:5" x14ac:dyDescent="0.35">
      <c r="C2618">
        <f t="shared" si="41"/>
        <v>1907</v>
      </c>
      <c r="D2618" s="7">
        <v>2617</v>
      </c>
      <c r="E2618">
        <v>33.3827</v>
      </c>
    </row>
    <row r="2619" spans="3:5" x14ac:dyDescent="0.35">
      <c r="C2619">
        <f t="shared" si="41"/>
        <v>1907</v>
      </c>
      <c r="D2619" s="7">
        <v>2618</v>
      </c>
      <c r="E2619">
        <v>33.213299999999997</v>
      </c>
    </row>
    <row r="2620" spans="3:5" x14ac:dyDescent="0.35">
      <c r="C2620">
        <f t="shared" si="41"/>
        <v>1907</v>
      </c>
      <c r="D2620" s="7">
        <v>2619</v>
      </c>
      <c r="E2620">
        <v>32.809600000000003</v>
      </c>
    </row>
    <row r="2621" spans="3:5" x14ac:dyDescent="0.35">
      <c r="C2621">
        <f t="shared" si="41"/>
        <v>1907</v>
      </c>
      <c r="D2621" s="7">
        <v>2620</v>
      </c>
      <c r="E2621">
        <v>33.047600000000003</v>
      </c>
    </row>
    <row r="2622" spans="3:5" x14ac:dyDescent="0.35">
      <c r="C2622">
        <f t="shared" si="41"/>
        <v>1907</v>
      </c>
      <c r="D2622" s="7">
        <v>2621</v>
      </c>
      <c r="E2622">
        <v>32.598700000000001</v>
      </c>
    </row>
    <row r="2623" spans="3:5" x14ac:dyDescent="0.35">
      <c r="C2623">
        <f t="shared" si="41"/>
        <v>1907</v>
      </c>
      <c r="D2623" s="7">
        <v>2622</v>
      </c>
      <c r="E2623">
        <v>32.634500000000003</v>
      </c>
    </row>
    <row r="2624" spans="3:5" x14ac:dyDescent="0.35">
      <c r="C2624">
        <f t="shared" si="41"/>
        <v>1907</v>
      </c>
      <c r="D2624" s="7">
        <v>2623</v>
      </c>
      <c r="E2624">
        <v>32.193100000000001</v>
      </c>
    </row>
    <row r="2625" spans="3:5" x14ac:dyDescent="0.35">
      <c r="C2625">
        <f t="shared" si="41"/>
        <v>1907</v>
      </c>
      <c r="D2625" s="7">
        <v>2624</v>
      </c>
      <c r="E2625">
        <v>31.885300000000001</v>
      </c>
    </row>
    <row r="2626" spans="3:5" x14ac:dyDescent="0.35">
      <c r="C2626">
        <f t="shared" si="41"/>
        <v>1907</v>
      </c>
      <c r="D2626" s="7">
        <v>2625</v>
      </c>
      <c r="E2626">
        <v>31.924900000000001</v>
      </c>
    </row>
    <row r="2627" spans="3:5" x14ac:dyDescent="0.35">
      <c r="C2627">
        <f t="shared" ref="C2627:C2690" si="42">YEAR(D2627)</f>
        <v>1907</v>
      </c>
      <c r="D2627" s="7">
        <v>2626</v>
      </c>
      <c r="E2627">
        <v>31.931899999999999</v>
      </c>
    </row>
    <row r="2628" spans="3:5" x14ac:dyDescent="0.35">
      <c r="C2628">
        <f t="shared" si="42"/>
        <v>1907</v>
      </c>
      <c r="D2628" s="7">
        <v>2627</v>
      </c>
      <c r="E2628">
        <v>31.9008</v>
      </c>
    </row>
    <row r="2629" spans="3:5" x14ac:dyDescent="0.35">
      <c r="C2629">
        <f t="shared" si="42"/>
        <v>1907</v>
      </c>
      <c r="D2629" s="7">
        <v>2628</v>
      </c>
      <c r="E2629">
        <v>31.7591</v>
      </c>
    </row>
    <row r="2630" spans="3:5" x14ac:dyDescent="0.35">
      <c r="C2630">
        <f t="shared" si="42"/>
        <v>1907</v>
      </c>
      <c r="D2630" s="7">
        <v>2629</v>
      </c>
      <c r="E2630">
        <v>31.457999999999998</v>
      </c>
    </row>
    <row r="2631" spans="3:5" x14ac:dyDescent="0.35">
      <c r="C2631">
        <f t="shared" si="42"/>
        <v>1907</v>
      </c>
      <c r="D2631" s="7">
        <v>2630</v>
      </c>
      <c r="E2631">
        <v>31.224299999999999</v>
      </c>
    </row>
    <row r="2632" spans="3:5" x14ac:dyDescent="0.35">
      <c r="C2632">
        <f t="shared" si="42"/>
        <v>1907</v>
      </c>
      <c r="D2632" s="7">
        <v>2631</v>
      </c>
      <c r="E2632">
        <v>30.174399999999999</v>
      </c>
    </row>
    <row r="2633" spans="3:5" x14ac:dyDescent="0.35">
      <c r="C2633">
        <f t="shared" si="42"/>
        <v>1907</v>
      </c>
      <c r="D2633" s="7">
        <v>2632</v>
      </c>
      <c r="E2633">
        <v>29.2681</v>
      </c>
    </row>
    <row r="2634" spans="3:5" x14ac:dyDescent="0.35">
      <c r="C2634">
        <f t="shared" si="42"/>
        <v>1907</v>
      </c>
      <c r="D2634" s="7">
        <v>2633</v>
      </c>
      <c r="E2634">
        <v>28.297999999999998</v>
      </c>
    </row>
    <row r="2635" spans="3:5" x14ac:dyDescent="0.35">
      <c r="C2635">
        <f t="shared" si="42"/>
        <v>1907</v>
      </c>
      <c r="D2635" s="7">
        <v>2634</v>
      </c>
      <c r="E2635">
        <v>28.938800000000001</v>
      </c>
    </row>
    <row r="2636" spans="3:5" x14ac:dyDescent="0.35">
      <c r="C2636">
        <f t="shared" si="42"/>
        <v>1907</v>
      </c>
      <c r="D2636" s="7">
        <v>2635</v>
      </c>
      <c r="E2636">
        <v>29.737500000000001</v>
      </c>
    </row>
    <row r="2637" spans="3:5" x14ac:dyDescent="0.35">
      <c r="C2637">
        <f t="shared" si="42"/>
        <v>1907</v>
      </c>
      <c r="D2637" s="7">
        <v>2636</v>
      </c>
      <c r="E2637">
        <v>29.994599999999998</v>
      </c>
    </row>
    <row r="2638" spans="3:5" x14ac:dyDescent="0.35">
      <c r="C2638">
        <f t="shared" si="42"/>
        <v>1907</v>
      </c>
      <c r="D2638" s="7">
        <v>2637</v>
      </c>
      <c r="E2638">
        <v>29.6191</v>
      </c>
    </row>
    <row r="2639" spans="3:5" x14ac:dyDescent="0.35">
      <c r="C2639">
        <f t="shared" si="42"/>
        <v>1907</v>
      </c>
      <c r="D2639" s="7">
        <v>2638</v>
      </c>
      <c r="E2639">
        <v>30.1539</v>
      </c>
    </row>
    <row r="2640" spans="3:5" x14ac:dyDescent="0.35">
      <c r="C2640">
        <f t="shared" si="42"/>
        <v>1907</v>
      </c>
      <c r="D2640" s="7">
        <v>2639</v>
      </c>
      <c r="E2640">
        <v>29.906600000000001</v>
      </c>
    </row>
    <row r="2641" spans="3:5" x14ac:dyDescent="0.35">
      <c r="C2641">
        <f t="shared" si="42"/>
        <v>1907</v>
      </c>
      <c r="D2641" s="7">
        <v>2640</v>
      </c>
      <c r="E2641">
        <v>29.6477</v>
      </c>
    </row>
    <row r="2642" spans="3:5" x14ac:dyDescent="0.35">
      <c r="C2642">
        <f t="shared" si="42"/>
        <v>1907</v>
      </c>
      <c r="D2642" s="7">
        <v>2641</v>
      </c>
      <c r="E2642">
        <v>28.8443</v>
      </c>
    </row>
    <row r="2643" spans="3:5" x14ac:dyDescent="0.35">
      <c r="C2643">
        <f t="shared" si="42"/>
        <v>1907</v>
      </c>
      <c r="D2643" s="7">
        <v>2642</v>
      </c>
      <c r="E2643">
        <v>28.6203</v>
      </c>
    </row>
    <row r="2644" spans="3:5" x14ac:dyDescent="0.35">
      <c r="C2644">
        <f t="shared" si="42"/>
        <v>1907</v>
      </c>
      <c r="D2644" s="7">
        <v>2643</v>
      </c>
      <c r="E2644">
        <v>28.4514</v>
      </c>
    </row>
    <row r="2645" spans="3:5" x14ac:dyDescent="0.35">
      <c r="C2645">
        <f t="shared" si="42"/>
        <v>1907</v>
      </c>
      <c r="D2645" s="7">
        <v>2644</v>
      </c>
      <c r="E2645">
        <v>28.131699999999999</v>
      </c>
    </row>
    <row r="2646" spans="3:5" x14ac:dyDescent="0.35">
      <c r="C2646">
        <f t="shared" si="42"/>
        <v>1907</v>
      </c>
      <c r="D2646" s="7">
        <v>2645</v>
      </c>
      <c r="E2646">
        <v>27.3139</v>
      </c>
    </row>
    <row r="2647" spans="3:5" x14ac:dyDescent="0.35">
      <c r="C2647">
        <f t="shared" si="42"/>
        <v>1907</v>
      </c>
      <c r="D2647" s="7">
        <v>2646</v>
      </c>
      <c r="E2647">
        <v>25.761099999999999</v>
      </c>
    </row>
    <row r="2648" spans="3:5" x14ac:dyDescent="0.35">
      <c r="C2648">
        <f t="shared" si="42"/>
        <v>1907</v>
      </c>
      <c r="D2648" s="7">
        <v>2647</v>
      </c>
      <c r="E2648">
        <v>24.8508</v>
      </c>
    </row>
    <row r="2649" spans="3:5" x14ac:dyDescent="0.35">
      <c r="C2649">
        <f t="shared" si="42"/>
        <v>1907</v>
      </c>
      <c r="D2649" s="7">
        <v>2648</v>
      </c>
      <c r="E2649">
        <v>24.5581</v>
      </c>
    </row>
    <row r="2650" spans="3:5" x14ac:dyDescent="0.35">
      <c r="C2650">
        <f t="shared" si="42"/>
        <v>1907</v>
      </c>
      <c r="D2650" s="7">
        <v>2649</v>
      </c>
      <c r="E2650">
        <v>24.562799999999999</v>
      </c>
    </row>
    <row r="2651" spans="3:5" x14ac:dyDescent="0.35">
      <c r="C2651">
        <f t="shared" si="42"/>
        <v>1907</v>
      </c>
      <c r="D2651" s="7">
        <v>2650</v>
      </c>
      <c r="E2651">
        <v>23.9894</v>
      </c>
    </row>
    <row r="2652" spans="3:5" x14ac:dyDescent="0.35">
      <c r="C2652">
        <f t="shared" si="42"/>
        <v>1907</v>
      </c>
      <c r="D2652" s="7">
        <v>2651</v>
      </c>
      <c r="E2652">
        <v>21.98</v>
      </c>
    </row>
    <row r="2653" spans="3:5" x14ac:dyDescent="0.35">
      <c r="C2653">
        <f t="shared" si="42"/>
        <v>1907</v>
      </c>
      <c r="D2653" s="7">
        <v>2652</v>
      </c>
      <c r="E2653">
        <v>22.942900000000002</v>
      </c>
    </row>
    <row r="2654" spans="3:5" x14ac:dyDescent="0.35">
      <c r="C2654">
        <f t="shared" si="42"/>
        <v>1907</v>
      </c>
      <c r="D2654" s="7">
        <v>2653</v>
      </c>
      <c r="E2654">
        <v>22.2057</v>
      </c>
    </row>
    <row r="2655" spans="3:5" x14ac:dyDescent="0.35">
      <c r="C2655">
        <f t="shared" si="42"/>
        <v>1907</v>
      </c>
      <c r="D2655" s="7">
        <v>2654</v>
      </c>
      <c r="E2655">
        <v>25.498100000000001</v>
      </c>
    </row>
    <row r="2656" spans="3:5" x14ac:dyDescent="0.35">
      <c r="C2656">
        <f t="shared" si="42"/>
        <v>1907</v>
      </c>
      <c r="D2656" s="7">
        <v>2655</v>
      </c>
      <c r="E2656">
        <v>25.611899999999999</v>
      </c>
    </row>
    <row r="2657" spans="3:5" x14ac:dyDescent="0.35">
      <c r="C2657">
        <f t="shared" si="42"/>
        <v>1907</v>
      </c>
      <c r="D2657" s="7">
        <v>2656</v>
      </c>
      <c r="E2657">
        <v>24.281400000000001</v>
      </c>
    </row>
    <row r="2658" spans="3:5" x14ac:dyDescent="0.35">
      <c r="C2658">
        <f t="shared" si="42"/>
        <v>1907</v>
      </c>
      <c r="D2658" s="7">
        <v>2657</v>
      </c>
      <c r="E2658">
        <v>24.3751</v>
      </c>
    </row>
    <row r="2659" spans="3:5" x14ac:dyDescent="0.35">
      <c r="C2659">
        <f t="shared" si="42"/>
        <v>1907</v>
      </c>
      <c r="D2659" s="7">
        <v>2658</v>
      </c>
      <c r="E2659">
        <v>23.314599999999999</v>
      </c>
    </row>
    <row r="2660" spans="3:5" x14ac:dyDescent="0.35">
      <c r="C2660">
        <f t="shared" si="42"/>
        <v>1907</v>
      </c>
      <c r="D2660" s="7">
        <v>2659</v>
      </c>
      <c r="E2660">
        <v>23.3765</v>
      </c>
    </row>
    <row r="2661" spans="3:5" x14ac:dyDescent="0.35">
      <c r="C2661">
        <f t="shared" si="42"/>
        <v>1907</v>
      </c>
      <c r="D2661" s="7">
        <v>2660</v>
      </c>
      <c r="E2661">
        <v>24.299600000000002</v>
      </c>
    </row>
    <row r="2662" spans="3:5" x14ac:dyDescent="0.35">
      <c r="C2662">
        <f t="shared" si="42"/>
        <v>1907</v>
      </c>
      <c r="D2662" s="7">
        <v>2661</v>
      </c>
      <c r="E2662">
        <v>24.751999999999999</v>
      </c>
    </row>
    <row r="2663" spans="3:5" x14ac:dyDescent="0.35">
      <c r="C2663">
        <f t="shared" si="42"/>
        <v>1907</v>
      </c>
      <c r="D2663" s="7">
        <v>2662</v>
      </c>
      <c r="E2663">
        <v>24.3932</v>
      </c>
    </row>
    <row r="2664" spans="3:5" x14ac:dyDescent="0.35">
      <c r="C2664">
        <f t="shared" si="42"/>
        <v>1907</v>
      </c>
      <c r="D2664" s="7">
        <v>2663</v>
      </c>
      <c r="E2664">
        <v>24.541799999999999</v>
      </c>
    </row>
    <row r="2665" spans="3:5" x14ac:dyDescent="0.35">
      <c r="C2665">
        <f t="shared" si="42"/>
        <v>1907</v>
      </c>
      <c r="D2665" s="7">
        <v>2664</v>
      </c>
      <c r="E2665">
        <v>24.648</v>
      </c>
    </row>
    <row r="2666" spans="3:5" x14ac:dyDescent="0.35">
      <c r="C2666">
        <f t="shared" si="42"/>
        <v>1907</v>
      </c>
      <c r="D2666" s="7">
        <v>2665</v>
      </c>
      <c r="E2666">
        <v>23.910799999999998</v>
      </c>
    </row>
    <row r="2667" spans="3:5" x14ac:dyDescent="0.35">
      <c r="C2667">
        <f t="shared" si="42"/>
        <v>1907</v>
      </c>
      <c r="D2667" s="7">
        <v>2666</v>
      </c>
      <c r="E2667">
        <v>24.448699999999999</v>
      </c>
    </row>
    <row r="2668" spans="3:5" x14ac:dyDescent="0.35">
      <c r="C2668">
        <f t="shared" si="42"/>
        <v>1907</v>
      </c>
      <c r="D2668" s="7">
        <v>2667</v>
      </c>
      <c r="E2668">
        <v>23.664200000000001</v>
      </c>
    </row>
    <row r="2669" spans="3:5" x14ac:dyDescent="0.35">
      <c r="C2669">
        <f t="shared" si="42"/>
        <v>1907</v>
      </c>
      <c r="D2669" s="7">
        <v>2668</v>
      </c>
      <c r="E2669">
        <v>22.875800000000002</v>
      </c>
    </row>
    <row r="2670" spans="3:5" x14ac:dyDescent="0.35">
      <c r="C2670">
        <f t="shared" si="42"/>
        <v>1907</v>
      </c>
      <c r="D2670" s="7">
        <v>2669</v>
      </c>
      <c r="E2670">
        <v>22.9116</v>
      </c>
    </row>
    <row r="2671" spans="3:5" x14ac:dyDescent="0.35">
      <c r="C2671">
        <f t="shared" si="42"/>
        <v>1907</v>
      </c>
      <c r="D2671" s="7">
        <v>2670</v>
      </c>
      <c r="E2671">
        <v>22.9846</v>
      </c>
    </row>
    <row r="2672" spans="3:5" x14ac:dyDescent="0.35">
      <c r="C2672">
        <f t="shared" si="42"/>
        <v>1907</v>
      </c>
      <c r="D2672" s="7">
        <v>2671</v>
      </c>
      <c r="E2672">
        <v>22.724900000000002</v>
      </c>
    </row>
    <row r="2673" spans="3:5" x14ac:dyDescent="0.35">
      <c r="C2673">
        <f t="shared" si="42"/>
        <v>1907</v>
      </c>
      <c r="D2673" s="7">
        <v>2672</v>
      </c>
      <c r="E2673">
        <v>22.871500000000001</v>
      </c>
    </row>
    <row r="2674" spans="3:5" x14ac:dyDescent="0.35">
      <c r="C2674">
        <f t="shared" si="42"/>
        <v>1907</v>
      </c>
      <c r="D2674" s="7">
        <v>2673</v>
      </c>
      <c r="E2674">
        <v>23.283999999999999</v>
      </c>
    </row>
    <row r="2675" spans="3:5" x14ac:dyDescent="0.35">
      <c r="C2675">
        <f t="shared" si="42"/>
        <v>1907</v>
      </c>
      <c r="D2675" s="7">
        <v>2674</v>
      </c>
      <c r="E2675">
        <v>23.1812</v>
      </c>
    </row>
    <row r="2676" spans="3:5" x14ac:dyDescent="0.35">
      <c r="C2676">
        <f t="shared" si="42"/>
        <v>1907</v>
      </c>
      <c r="D2676" s="7">
        <v>2675</v>
      </c>
      <c r="E2676">
        <v>22.929600000000001</v>
      </c>
    </row>
    <row r="2677" spans="3:5" x14ac:dyDescent="0.35">
      <c r="C2677">
        <f t="shared" si="42"/>
        <v>1907</v>
      </c>
      <c r="D2677" s="7">
        <v>2676</v>
      </c>
      <c r="E2677">
        <v>23.550699999999999</v>
      </c>
    </row>
    <row r="2678" spans="3:5" x14ac:dyDescent="0.35">
      <c r="C2678">
        <f t="shared" si="42"/>
        <v>1907</v>
      </c>
      <c r="D2678" s="7">
        <v>2677</v>
      </c>
      <c r="E2678">
        <v>23.245999999999999</v>
      </c>
    </row>
    <row r="2679" spans="3:5" x14ac:dyDescent="0.35">
      <c r="C2679">
        <f t="shared" si="42"/>
        <v>1907</v>
      </c>
      <c r="D2679" s="7">
        <v>2678</v>
      </c>
      <c r="E2679">
        <v>22.796500000000002</v>
      </c>
    </row>
    <row r="2680" spans="3:5" x14ac:dyDescent="0.35">
      <c r="C2680">
        <f t="shared" si="42"/>
        <v>1907</v>
      </c>
      <c r="D2680" s="7">
        <v>2679</v>
      </c>
      <c r="E2680">
        <v>22.5334</v>
      </c>
    </row>
    <row r="2681" spans="3:5" x14ac:dyDescent="0.35">
      <c r="C2681">
        <f t="shared" si="42"/>
        <v>1907</v>
      </c>
      <c r="D2681" s="7">
        <v>2680</v>
      </c>
      <c r="E2681">
        <v>22.810099999999998</v>
      </c>
    </row>
    <row r="2682" spans="3:5" x14ac:dyDescent="0.35">
      <c r="C2682">
        <f t="shared" si="42"/>
        <v>1907</v>
      </c>
      <c r="D2682" s="7">
        <v>2681</v>
      </c>
      <c r="E2682">
        <v>22.449400000000001</v>
      </c>
    </row>
    <row r="2683" spans="3:5" x14ac:dyDescent="0.35">
      <c r="C2683">
        <f t="shared" si="42"/>
        <v>1907</v>
      </c>
      <c r="D2683" s="7">
        <v>2682</v>
      </c>
      <c r="E2683">
        <v>22.382999999999999</v>
      </c>
    </row>
    <row r="2684" spans="3:5" x14ac:dyDescent="0.35">
      <c r="C2684">
        <f t="shared" si="42"/>
        <v>1907</v>
      </c>
      <c r="D2684" s="7">
        <v>2683</v>
      </c>
      <c r="E2684">
        <v>22.713100000000001</v>
      </c>
    </row>
    <row r="2685" spans="3:5" x14ac:dyDescent="0.35">
      <c r="C2685">
        <f t="shared" si="42"/>
        <v>1907</v>
      </c>
      <c r="D2685" s="7">
        <v>2684</v>
      </c>
      <c r="E2685">
        <v>22.965900000000001</v>
      </c>
    </row>
    <row r="2686" spans="3:5" x14ac:dyDescent="0.35">
      <c r="C2686">
        <f t="shared" si="42"/>
        <v>1907</v>
      </c>
      <c r="D2686" s="7">
        <v>2685</v>
      </c>
      <c r="E2686">
        <v>22.727599999999999</v>
      </c>
    </row>
    <row r="2687" spans="3:5" x14ac:dyDescent="0.35">
      <c r="C2687">
        <f t="shared" si="42"/>
        <v>1907</v>
      </c>
      <c r="D2687" s="7">
        <v>2686</v>
      </c>
      <c r="E2687">
        <v>23.062100000000001</v>
      </c>
    </row>
    <row r="2688" spans="3:5" x14ac:dyDescent="0.35">
      <c r="C2688">
        <f t="shared" si="42"/>
        <v>1907</v>
      </c>
      <c r="D2688" s="7">
        <v>2687</v>
      </c>
      <c r="E2688">
        <v>22.489000000000001</v>
      </c>
    </row>
    <row r="2689" spans="3:5" x14ac:dyDescent="0.35">
      <c r="C2689">
        <f t="shared" si="42"/>
        <v>1907</v>
      </c>
      <c r="D2689" s="7">
        <v>2688</v>
      </c>
      <c r="E2689">
        <v>21.842400000000001</v>
      </c>
    </row>
    <row r="2690" spans="3:5" x14ac:dyDescent="0.35">
      <c r="C2690">
        <f t="shared" si="42"/>
        <v>1907</v>
      </c>
      <c r="D2690" s="7">
        <v>2689</v>
      </c>
      <c r="E2690">
        <v>22.108499999999999</v>
      </c>
    </row>
    <row r="2691" spans="3:5" x14ac:dyDescent="0.35">
      <c r="C2691">
        <f t="shared" ref="C2691:C2754" si="43">YEAR(D2691)</f>
        <v>1907</v>
      </c>
      <c r="D2691" s="7">
        <v>2690</v>
      </c>
      <c r="E2691">
        <v>22.356000000000002</v>
      </c>
    </row>
    <row r="2692" spans="3:5" x14ac:dyDescent="0.35">
      <c r="C2692">
        <f t="shared" si="43"/>
        <v>1907</v>
      </c>
      <c r="D2692" s="7">
        <v>2691</v>
      </c>
      <c r="E2692">
        <v>22.468399999999999</v>
      </c>
    </row>
    <row r="2693" spans="3:5" x14ac:dyDescent="0.35">
      <c r="C2693">
        <f t="shared" si="43"/>
        <v>1907</v>
      </c>
      <c r="D2693" s="7">
        <v>2692</v>
      </c>
      <c r="E2693">
        <v>22.450600000000001</v>
      </c>
    </row>
    <row r="2694" spans="3:5" x14ac:dyDescent="0.35">
      <c r="C2694">
        <f t="shared" si="43"/>
        <v>1907</v>
      </c>
      <c r="D2694" s="7">
        <v>2693</v>
      </c>
      <c r="E2694">
        <v>22.411799999999999</v>
      </c>
    </row>
    <row r="2695" spans="3:5" x14ac:dyDescent="0.35">
      <c r="C2695">
        <f t="shared" si="43"/>
        <v>1907</v>
      </c>
      <c r="D2695" s="7">
        <v>2694</v>
      </c>
      <c r="E2695">
        <v>22.559100000000001</v>
      </c>
    </row>
    <row r="2696" spans="3:5" x14ac:dyDescent="0.35">
      <c r="C2696">
        <f t="shared" si="43"/>
        <v>1907</v>
      </c>
      <c r="D2696" s="7">
        <v>2695</v>
      </c>
      <c r="E2696">
        <v>22.3627</v>
      </c>
    </row>
    <row r="2697" spans="3:5" x14ac:dyDescent="0.35">
      <c r="C2697">
        <f t="shared" si="43"/>
        <v>1907</v>
      </c>
      <c r="D2697" s="7">
        <v>2696</v>
      </c>
      <c r="E2697">
        <v>21.9786</v>
      </c>
    </row>
    <row r="2698" spans="3:5" x14ac:dyDescent="0.35">
      <c r="C2698">
        <f t="shared" si="43"/>
        <v>1907</v>
      </c>
      <c r="D2698" s="7">
        <v>2697</v>
      </c>
      <c r="E2698">
        <v>22.271999999999998</v>
      </c>
    </row>
    <row r="2699" spans="3:5" x14ac:dyDescent="0.35">
      <c r="C2699">
        <f t="shared" si="43"/>
        <v>1907</v>
      </c>
      <c r="D2699" s="7">
        <v>2698</v>
      </c>
      <c r="E2699">
        <v>22.1816</v>
      </c>
    </row>
    <row r="2700" spans="3:5" x14ac:dyDescent="0.35">
      <c r="C2700">
        <f t="shared" si="43"/>
        <v>1907</v>
      </c>
      <c r="D2700" s="7">
        <v>2699</v>
      </c>
      <c r="E2700">
        <v>22.0167</v>
      </c>
    </row>
    <row r="2701" spans="3:5" x14ac:dyDescent="0.35">
      <c r="C2701">
        <f t="shared" si="43"/>
        <v>1907</v>
      </c>
      <c r="D2701" s="7">
        <v>2700</v>
      </c>
      <c r="E2701">
        <v>21.725000000000001</v>
      </c>
    </row>
    <row r="2702" spans="3:5" x14ac:dyDescent="0.35">
      <c r="C2702">
        <f t="shared" si="43"/>
        <v>1907</v>
      </c>
      <c r="D2702" s="7">
        <v>2701</v>
      </c>
      <c r="E2702">
        <v>21.808499999999999</v>
      </c>
    </row>
    <row r="2703" spans="3:5" x14ac:dyDescent="0.35">
      <c r="C2703">
        <f t="shared" si="43"/>
        <v>1907</v>
      </c>
      <c r="D2703" s="7">
        <v>2702</v>
      </c>
      <c r="E2703">
        <v>21.9193</v>
      </c>
    </row>
    <row r="2704" spans="3:5" x14ac:dyDescent="0.35">
      <c r="C2704">
        <f t="shared" si="43"/>
        <v>1907</v>
      </c>
      <c r="D2704" s="7">
        <v>2703</v>
      </c>
      <c r="E2704">
        <v>21.859500000000001</v>
      </c>
    </row>
    <row r="2705" spans="3:5" x14ac:dyDescent="0.35">
      <c r="C2705">
        <f t="shared" si="43"/>
        <v>1907</v>
      </c>
      <c r="D2705" s="7">
        <v>2704</v>
      </c>
      <c r="E2705">
        <v>21.5535</v>
      </c>
    </row>
    <row r="2706" spans="3:5" x14ac:dyDescent="0.35">
      <c r="C2706">
        <f t="shared" si="43"/>
        <v>1907</v>
      </c>
      <c r="D2706" s="7">
        <v>2705</v>
      </c>
      <c r="E2706">
        <v>21.75</v>
      </c>
    </row>
    <row r="2707" spans="3:5" x14ac:dyDescent="0.35">
      <c r="C2707">
        <f t="shared" si="43"/>
        <v>1907</v>
      </c>
      <c r="D2707" s="7">
        <v>2706</v>
      </c>
      <c r="E2707">
        <v>21.354600000000001</v>
      </c>
    </row>
    <row r="2708" spans="3:5" x14ac:dyDescent="0.35">
      <c r="C2708">
        <f t="shared" si="43"/>
        <v>1907</v>
      </c>
      <c r="D2708" s="7">
        <v>2707</v>
      </c>
      <c r="E2708">
        <v>20.071100000000001</v>
      </c>
    </row>
    <row r="2709" spans="3:5" x14ac:dyDescent="0.35">
      <c r="C2709">
        <f t="shared" si="43"/>
        <v>1907</v>
      </c>
      <c r="D2709" s="7">
        <v>2708</v>
      </c>
      <c r="E2709">
        <v>19.0336</v>
      </c>
    </row>
    <row r="2710" spans="3:5" x14ac:dyDescent="0.35">
      <c r="C2710">
        <f t="shared" si="43"/>
        <v>1907</v>
      </c>
      <c r="D2710" s="7">
        <v>2709</v>
      </c>
      <c r="E2710">
        <v>18.535299999999999</v>
      </c>
    </row>
    <row r="2711" spans="3:5" x14ac:dyDescent="0.35">
      <c r="C2711">
        <f t="shared" si="43"/>
        <v>1907</v>
      </c>
      <c r="D2711" s="7">
        <v>2710</v>
      </c>
      <c r="E2711">
        <v>18.009</v>
      </c>
    </row>
    <row r="2712" spans="3:5" x14ac:dyDescent="0.35">
      <c r="C2712">
        <f t="shared" si="43"/>
        <v>1907</v>
      </c>
      <c r="D2712" s="7">
        <v>2711</v>
      </c>
      <c r="E2712">
        <v>18.5319</v>
      </c>
    </row>
    <row r="2713" spans="3:5" x14ac:dyDescent="0.35">
      <c r="C2713">
        <f t="shared" si="43"/>
        <v>1907</v>
      </c>
      <c r="D2713" s="7">
        <v>2712</v>
      </c>
      <c r="E2713">
        <v>18.377400000000002</v>
      </c>
    </row>
    <row r="2714" spans="3:5" x14ac:dyDescent="0.35">
      <c r="C2714">
        <f t="shared" si="43"/>
        <v>1907</v>
      </c>
      <c r="D2714" s="7">
        <v>2713</v>
      </c>
      <c r="E2714">
        <v>19.0609</v>
      </c>
    </row>
    <row r="2715" spans="3:5" x14ac:dyDescent="0.35">
      <c r="C2715">
        <f t="shared" si="43"/>
        <v>1907</v>
      </c>
      <c r="D2715" s="7">
        <v>2714</v>
      </c>
      <c r="E2715">
        <v>18.393899999999999</v>
      </c>
    </row>
    <row r="2716" spans="3:5" x14ac:dyDescent="0.35">
      <c r="C2716">
        <f t="shared" si="43"/>
        <v>1907</v>
      </c>
      <c r="D2716" s="7">
        <v>2715</v>
      </c>
      <c r="E2716">
        <v>18.390499999999999</v>
      </c>
    </row>
    <row r="2717" spans="3:5" x14ac:dyDescent="0.35">
      <c r="C2717">
        <f t="shared" si="43"/>
        <v>1907</v>
      </c>
      <c r="D2717" s="7">
        <v>2716</v>
      </c>
      <c r="E2717">
        <v>21.2437</v>
      </c>
    </row>
    <row r="2718" spans="3:5" x14ac:dyDescent="0.35">
      <c r="C2718">
        <f t="shared" si="43"/>
        <v>1907</v>
      </c>
      <c r="D2718" s="7">
        <v>2717</v>
      </c>
      <c r="E2718">
        <v>23.504100000000001</v>
      </c>
    </row>
    <row r="2719" spans="3:5" x14ac:dyDescent="0.35">
      <c r="C2719">
        <f t="shared" si="43"/>
        <v>1907</v>
      </c>
      <c r="D2719" s="7">
        <v>2718</v>
      </c>
      <c r="E2719">
        <v>24.204899999999999</v>
      </c>
    </row>
    <row r="2720" spans="3:5" x14ac:dyDescent="0.35">
      <c r="C2720">
        <f t="shared" si="43"/>
        <v>1907</v>
      </c>
      <c r="D2720" s="7">
        <v>2719</v>
      </c>
      <c r="E2720">
        <v>24.990500000000001</v>
      </c>
    </row>
    <row r="2721" spans="3:5" x14ac:dyDescent="0.35">
      <c r="C2721">
        <f t="shared" si="43"/>
        <v>1907</v>
      </c>
      <c r="D2721" s="7">
        <v>2720</v>
      </c>
      <c r="E2721">
        <v>24.714300000000001</v>
      </c>
    </row>
    <row r="2722" spans="3:5" x14ac:dyDescent="0.35">
      <c r="C2722">
        <f t="shared" si="43"/>
        <v>1907</v>
      </c>
      <c r="D2722" s="7">
        <v>2721</v>
      </c>
      <c r="E2722">
        <v>25.521000000000001</v>
      </c>
    </row>
    <row r="2723" spans="3:5" x14ac:dyDescent="0.35">
      <c r="C2723">
        <f t="shared" si="43"/>
        <v>1907</v>
      </c>
      <c r="D2723" s="7">
        <v>2722</v>
      </c>
      <c r="E2723">
        <v>24.580100000000002</v>
      </c>
    </row>
    <row r="2724" spans="3:5" x14ac:dyDescent="0.35">
      <c r="C2724">
        <f t="shared" si="43"/>
        <v>1907</v>
      </c>
      <c r="D2724" s="7">
        <v>2723</v>
      </c>
      <c r="E2724">
        <v>25.331099999999999</v>
      </c>
    </row>
    <row r="2725" spans="3:5" x14ac:dyDescent="0.35">
      <c r="C2725">
        <f t="shared" si="43"/>
        <v>1907</v>
      </c>
      <c r="D2725" s="7">
        <v>2724</v>
      </c>
      <c r="E2725">
        <v>25.467199999999998</v>
      </c>
    </row>
    <row r="2726" spans="3:5" x14ac:dyDescent="0.35">
      <c r="C2726">
        <f t="shared" si="43"/>
        <v>1907</v>
      </c>
      <c r="D2726" s="7">
        <v>2725</v>
      </c>
      <c r="E2726">
        <v>26.259799999999998</v>
      </c>
    </row>
    <row r="2727" spans="3:5" x14ac:dyDescent="0.35">
      <c r="C2727">
        <f t="shared" si="43"/>
        <v>1907</v>
      </c>
      <c r="D2727" s="7">
        <v>2726</v>
      </c>
      <c r="E2727">
        <v>26.1066</v>
      </c>
    </row>
    <row r="2728" spans="3:5" x14ac:dyDescent="0.35">
      <c r="C2728">
        <f t="shared" si="43"/>
        <v>1907</v>
      </c>
      <c r="D2728" s="7">
        <v>2727</v>
      </c>
      <c r="E2728">
        <v>25.892600000000002</v>
      </c>
    </row>
    <row r="2729" spans="3:5" x14ac:dyDescent="0.35">
      <c r="C2729">
        <f t="shared" si="43"/>
        <v>1907</v>
      </c>
      <c r="D2729" s="7">
        <v>2728</v>
      </c>
      <c r="E2729">
        <v>25.7928</v>
      </c>
    </row>
    <row r="2730" spans="3:5" x14ac:dyDescent="0.35">
      <c r="C2730">
        <f t="shared" si="43"/>
        <v>1907</v>
      </c>
      <c r="D2730" s="7">
        <v>2729</v>
      </c>
      <c r="E2730">
        <v>26.5458</v>
      </c>
    </row>
    <row r="2731" spans="3:5" x14ac:dyDescent="0.35">
      <c r="C2731">
        <f t="shared" si="43"/>
        <v>1907</v>
      </c>
      <c r="D2731" s="7">
        <v>2730</v>
      </c>
      <c r="E2731">
        <v>25.633500000000002</v>
      </c>
    </row>
    <row r="2732" spans="3:5" x14ac:dyDescent="0.35">
      <c r="C2732">
        <f t="shared" si="43"/>
        <v>1907</v>
      </c>
      <c r="D2732" s="7">
        <v>2731</v>
      </c>
      <c r="E2732">
        <v>27.353400000000001</v>
      </c>
    </row>
    <row r="2733" spans="3:5" x14ac:dyDescent="0.35">
      <c r="C2733">
        <f t="shared" si="43"/>
        <v>1907</v>
      </c>
      <c r="D2733" s="7">
        <v>2732</v>
      </c>
      <c r="E2733">
        <v>26.783300000000001</v>
      </c>
    </row>
    <row r="2734" spans="3:5" x14ac:dyDescent="0.35">
      <c r="C2734">
        <f t="shared" si="43"/>
        <v>1907</v>
      </c>
      <c r="D2734" s="7">
        <v>2733</v>
      </c>
      <c r="E2734">
        <v>26.293900000000001</v>
      </c>
    </row>
    <row r="2735" spans="3:5" x14ac:dyDescent="0.35">
      <c r="C2735">
        <f t="shared" si="43"/>
        <v>1907</v>
      </c>
      <c r="D2735" s="7">
        <v>2734</v>
      </c>
      <c r="E2735">
        <v>26.519200000000001</v>
      </c>
    </row>
    <row r="2736" spans="3:5" x14ac:dyDescent="0.35">
      <c r="C2736">
        <f t="shared" si="43"/>
        <v>1907</v>
      </c>
      <c r="D2736" s="7">
        <v>2735</v>
      </c>
      <c r="E2736">
        <v>26.318200000000001</v>
      </c>
    </row>
    <row r="2737" spans="3:5" x14ac:dyDescent="0.35">
      <c r="C2737">
        <f t="shared" si="43"/>
        <v>1907</v>
      </c>
      <c r="D2737" s="7">
        <v>2736</v>
      </c>
      <c r="E2737">
        <v>26.0792</v>
      </c>
    </row>
    <row r="2738" spans="3:5" x14ac:dyDescent="0.35">
      <c r="C2738">
        <f t="shared" si="43"/>
        <v>1907</v>
      </c>
      <c r="D2738" s="7">
        <v>2737</v>
      </c>
      <c r="E2738">
        <v>26.680099999999999</v>
      </c>
    </row>
    <row r="2739" spans="3:5" x14ac:dyDescent="0.35">
      <c r="C2739">
        <f t="shared" si="43"/>
        <v>1907</v>
      </c>
      <c r="D2739" s="7">
        <v>2738</v>
      </c>
      <c r="E2739">
        <v>26.4938</v>
      </c>
    </row>
    <row r="2740" spans="3:5" x14ac:dyDescent="0.35">
      <c r="C2740">
        <f t="shared" si="43"/>
        <v>1907</v>
      </c>
      <c r="D2740" s="7">
        <v>2739</v>
      </c>
      <c r="E2740">
        <v>26.367599999999999</v>
      </c>
    </row>
    <row r="2741" spans="3:5" x14ac:dyDescent="0.35">
      <c r="C2741">
        <f t="shared" si="43"/>
        <v>1907</v>
      </c>
      <c r="D2741" s="7">
        <v>2740</v>
      </c>
      <c r="E2741">
        <v>27.198599999999999</v>
      </c>
    </row>
    <row r="2742" spans="3:5" x14ac:dyDescent="0.35">
      <c r="C2742">
        <f t="shared" si="43"/>
        <v>1907</v>
      </c>
      <c r="D2742" s="7">
        <v>2741</v>
      </c>
      <c r="E2742">
        <v>27.069400000000002</v>
      </c>
    </row>
    <row r="2743" spans="3:5" x14ac:dyDescent="0.35">
      <c r="C2743">
        <f t="shared" si="43"/>
        <v>1907</v>
      </c>
      <c r="D2743" s="7">
        <v>2742</v>
      </c>
      <c r="E2743">
        <v>27.2639</v>
      </c>
    </row>
    <row r="2744" spans="3:5" x14ac:dyDescent="0.35">
      <c r="C2744">
        <f t="shared" si="43"/>
        <v>1907</v>
      </c>
      <c r="D2744" s="7">
        <v>2743</v>
      </c>
      <c r="E2744">
        <v>27.550899999999999</v>
      </c>
    </row>
    <row r="2745" spans="3:5" x14ac:dyDescent="0.35">
      <c r="C2745">
        <f t="shared" si="43"/>
        <v>1907</v>
      </c>
      <c r="D2745" s="7">
        <v>2744</v>
      </c>
      <c r="E2745">
        <v>27.856000000000002</v>
      </c>
    </row>
    <row r="2746" spans="3:5" x14ac:dyDescent="0.35">
      <c r="C2746">
        <f t="shared" si="43"/>
        <v>1907</v>
      </c>
      <c r="D2746" s="7">
        <v>2745</v>
      </c>
      <c r="E2746">
        <v>26.3231</v>
      </c>
    </row>
    <row r="2747" spans="3:5" x14ac:dyDescent="0.35">
      <c r="C2747">
        <f t="shared" si="43"/>
        <v>1907</v>
      </c>
      <c r="D2747" s="7">
        <v>2746</v>
      </c>
      <c r="E2747">
        <v>27.120699999999999</v>
      </c>
    </row>
    <row r="2748" spans="3:5" x14ac:dyDescent="0.35">
      <c r="C2748">
        <f t="shared" si="43"/>
        <v>1907</v>
      </c>
      <c r="D2748" s="7">
        <v>2747</v>
      </c>
      <c r="E2748">
        <v>26.953199999999999</v>
      </c>
    </row>
    <row r="2749" spans="3:5" x14ac:dyDescent="0.35">
      <c r="C2749">
        <f t="shared" si="43"/>
        <v>1907</v>
      </c>
      <c r="D2749" s="7">
        <v>2748</v>
      </c>
      <c r="E2749">
        <v>27.700800000000001</v>
      </c>
    </row>
    <row r="2750" spans="3:5" x14ac:dyDescent="0.35">
      <c r="C2750">
        <f t="shared" si="43"/>
        <v>1907</v>
      </c>
      <c r="D2750" s="7">
        <v>2749</v>
      </c>
      <c r="E2750">
        <v>27.6462</v>
      </c>
    </row>
    <row r="2751" spans="3:5" x14ac:dyDescent="0.35">
      <c r="C2751">
        <f t="shared" si="43"/>
        <v>1907</v>
      </c>
      <c r="D2751" s="7">
        <v>2750</v>
      </c>
      <c r="E2751">
        <v>28.670500000000001</v>
      </c>
    </row>
    <row r="2752" spans="3:5" x14ac:dyDescent="0.35">
      <c r="C2752">
        <f t="shared" si="43"/>
        <v>1907</v>
      </c>
      <c r="D2752" s="7">
        <v>2751</v>
      </c>
      <c r="E2752">
        <v>28.761199999999999</v>
      </c>
    </row>
    <row r="2753" spans="3:5" x14ac:dyDescent="0.35">
      <c r="C2753">
        <f t="shared" si="43"/>
        <v>1907</v>
      </c>
      <c r="D2753" s="7">
        <v>2752</v>
      </c>
      <c r="E2753">
        <v>29.0108</v>
      </c>
    </row>
    <row r="2754" spans="3:5" x14ac:dyDescent="0.35">
      <c r="C2754">
        <f t="shared" si="43"/>
        <v>1907</v>
      </c>
      <c r="D2754" s="7">
        <v>2753</v>
      </c>
      <c r="E2754">
        <v>27.282699999999998</v>
      </c>
    </row>
    <row r="2755" spans="3:5" x14ac:dyDescent="0.35">
      <c r="C2755">
        <f t="shared" ref="C2755:C2818" si="44">YEAR(D2755)</f>
        <v>1907</v>
      </c>
      <c r="D2755" s="7">
        <v>2754</v>
      </c>
      <c r="E2755">
        <v>26.9999</v>
      </c>
    </row>
    <row r="2756" spans="3:5" x14ac:dyDescent="0.35">
      <c r="C2756">
        <f t="shared" si="44"/>
        <v>1907</v>
      </c>
      <c r="D2756" s="7">
        <v>2755</v>
      </c>
      <c r="E2756">
        <v>28.0105</v>
      </c>
    </row>
    <row r="2757" spans="3:5" x14ac:dyDescent="0.35">
      <c r="C2757">
        <f t="shared" si="44"/>
        <v>1907</v>
      </c>
      <c r="D2757" s="7">
        <v>2756</v>
      </c>
      <c r="E2757">
        <v>28.2531</v>
      </c>
    </row>
    <row r="2758" spans="3:5" x14ac:dyDescent="0.35">
      <c r="C2758">
        <f t="shared" si="44"/>
        <v>1907</v>
      </c>
      <c r="D2758" s="7">
        <v>2757</v>
      </c>
      <c r="E2758">
        <v>29.72</v>
      </c>
    </row>
    <row r="2759" spans="3:5" x14ac:dyDescent="0.35">
      <c r="C2759">
        <f t="shared" si="44"/>
        <v>1907</v>
      </c>
      <c r="D2759" s="7">
        <v>2758</v>
      </c>
      <c r="E2759">
        <v>29.026599999999998</v>
      </c>
    </row>
    <row r="2760" spans="3:5" x14ac:dyDescent="0.35">
      <c r="C2760">
        <f t="shared" si="44"/>
        <v>1907</v>
      </c>
      <c r="D2760" s="7">
        <v>2759</v>
      </c>
      <c r="E2760">
        <v>29.025300000000001</v>
      </c>
    </row>
    <row r="2761" spans="3:5" x14ac:dyDescent="0.35">
      <c r="C2761">
        <f t="shared" si="44"/>
        <v>1907</v>
      </c>
      <c r="D2761" s="7">
        <v>2760</v>
      </c>
      <c r="E2761">
        <v>29.878399999999999</v>
      </c>
    </row>
    <row r="2762" spans="3:5" x14ac:dyDescent="0.35">
      <c r="C2762">
        <f t="shared" si="44"/>
        <v>1907</v>
      </c>
      <c r="D2762" s="7">
        <v>2761</v>
      </c>
      <c r="E2762">
        <v>30.099499999999999</v>
      </c>
    </row>
    <row r="2763" spans="3:5" x14ac:dyDescent="0.35">
      <c r="C2763">
        <f t="shared" si="44"/>
        <v>1907</v>
      </c>
      <c r="D2763" s="7">
        <v>2762</v>
      </c>
      <c r="E2763">
        <v>30.6538</v>
      </c>
    </row>
    <row r="2764" spans="3:5" x14ac:dyDescent="0.35">
      <c r="C2764">
        <f t="shared" si="44"/>
        <v>1907</v>
      </c>
      <c r="D2764" s="7">
        <v>2763</v>
      </c>
      <c r="E2764">
        <v>30.513999999999999</v>
      </c>
    </row>
    <row r="2765" spans="3:5" x14ac:dyDescent="0.35">
      <c r="C2765">
        <f t="shared" si="44"/>
        <v>1907</v>
      </c>
      <c r="D2765" s="7">
        <v>2764</v>
      </c>
      <c r="E2765">
        <v>29.604600000000001</v>
      </c>
    </row>
    <row r="2766" spans="3:5" x14ac:dyDescent="0.35">
      <c r="C2766">
        <f t="shared" si="44"/>
        <v>1907</v>
      </c>
      <c r="D2766" s="7">
        <v>2765</v>
      </c>
      <c r="E2766">
        <v>29.319199999999999</v>
      </c>
    </row>
    <row r="2767" spans="3:5" x14ac:dyDescent="0.35">
      <c r="C2767">
        <f t="shared" si="44"/>
        <v>1907</v>
      </c>
      <c r="D2767" s="7">
        <v>2766</v>
      </c>
      <c r="E2767">
        <v>29.422899999999998</v>
      </c>
    </row>
    <row r="2768" spans="3:5" x14ac:dyDescent="0.35">
      <c r="C2768">
        <f t="shared" si="44"/>
        <v>1907</v>
      </c>
      <c r="D2768" s="7">
        <v>2767</v>
      </c>
      <c r="E2768">
        <v>28.709199999999999</v>
      </c>
    </row>
    <row r="2769" spans="3:5" x14ac:dyDescent="0.35">
      <c r="C2769">
        <f t="shared" si="44"/>
        <v>1907</v>
      </c>
      <c r="D2769" s="7">
        <v>2768</v>
      </c>
      <c r="E2769">
        <v>28.6553</v>
      </c>
    </row>
    <row r="2770" spans="3:5" x14ac:dyDescent="0.35">
      <c r="C2770">
        <f t="shared" si="44"/>
        <v>1907</v>
      </c>
      <c r="D2770" s="7">
        <v>2769</v>
      </c>
      <c r="E2770">
        <v>27.4206</v>
      </c>
    </row>
    <row r="2771" spans="3:5" x14ac:dyDescent="0.35">
      <c r="C2771">
        <f t="shared" si="44"/>
        <v>1907</v>
      </c>
      <c r="D2771" s="7">
        <v>2770</v>
      </c>
      <c r="E2771">
        <v>28.227599999999999</v>
      </c>
    </row>
    <row r="2772" spans="3:5" x14ac:dyDescent="0.35">
      <c r="C2772">
        <f t="shared" si="44"/>
        <v>1907</v>
      </c>
      <c r="D2772" s="7">
        <v>2771</v>
      </c>
      <c r="E2772">
        <v>27.757400000000001</v>
      </c>
    </row>
    <row r="2773" spans="3:5" x14ac:dyDescent="0.35">
      <c r="C2773">
        <f t="shared" si="44"/>
        <v>1907</v>
      </c>
      <c r="D2773" s="7">
        <v>2772</v>
      </c>
      <c r="E2773">
        <v>27.584099999999999</v>
      </c>
    </row>
    <row r="2774" spans="3:5" x14ac:dyDescent="0.35">
      <c r="C2774">
        <f t="shared" si="44"/>
        <v>1907</v>
      </c>
      <c r="D2774" s="7">
        <v>2773</v>
      </c>
      <c r="E2774">
        <v>28.520399999999999</v>
      </c>
    </row>
    <row r="2775" spans="3:5" x14ac:dyDescent="0.35">
      <c r="C2775">
        <f t="shared" si="44"/>
        <v>1907</v>
      </c>
      <c r="D2775" s="7">
        <v>2774</v>
      </c>
      <c r="E2775">
        <v>28.676500000000001</v>
      </c>
    </row>
    <row r="2776" spans="3:5" x14ac:dyDescent="0.35">
      <c r="C2776">
        <f t="shared" si="44"/>
        <v>1907</v>
      </c>
      <c r="D2776" s="7">
        <v>2775</v>
      </c>
      <c r="E2776">
        <v>29.639900000000001</v>
      </c>
    </row>
    <row r="2777" spans="3:5" x14ac:dyDescent="0.35">
      <c r="C2777">
        <f t="shared" si="44"/>
        <v>1907</v>
      </c>
      <c r="D2777" s="7">
        <v>2776</v>
      </c>
      <c r="E2777">
        <v>29.280799999999999</v>
      </c>
    </row>
    <row r="2778" spans="3:5" x14ac:dyDescent="0.35">
      <c r="C2778">
        <f t="shared" si="44"/>
        <v>1907</v>
      </c>
      <c r="D2778" s="7">
        <v>2777</v>
      </c>
      <c r="E2778">
        <v>29.232800000000001</v>
      </c>
    </row>
    <row r="2779" spans="3:5" x14ac:dyDescent="0.35">
      <c r="C2779">
        <f t="shared" si="44"/>
        <v>1907</v>
      </c>
      <c r="D2779" s="7">
        <v>2778</v>
      </c>
      <c r="E2779">
        <v>29.1523</v>
      </c>
    </row>
    <row r="2780" spans="3:5" x14ac:dyDescent="0.35">
      <c r="C2780">
        <f t="shared" si="44"/>
        <v>1907</v>
      </c>
      <c r="D2780" s="7">
        <v>2779</v>
      </c>
      <c r="E2780">
        <v>29.209</v>
      </c>
    </row>
    <row r="2781" spans="3:5" x14ac:dyDescent="0.35">
      <c r="C2781">
        <f t="shared" si="44"/>
        <v>1907</v>
      </c>
      <c r="D2781" s="7">
        <v>2780</v>
      </c>
      <c r="E2781">
        <v>29.3508</v>
      </c>
    </row>
    <row r="2782" spans="3:5" x14ac:dyDescent="0.35">
      <c r="C2782">
        <f t="shared" si="44"/>
        <v>1907</v>
      </c>
      <c r="D2782" s="7">
        <v>2781</v>
      </c>
      <c r="E2782">
        <v>29.171500000000002</v>
      </c>
    </row>
    <row r="2783" spans="3:5" x14ac:dyDescent="0.35">
      <c r="C2783">
        <f t="shared" si="44"/>
        <v>1907</v>
      </c>
      <c r="D2783" s="7">
        <v>2782</v>
      </c>
      <c r="E2783">
        <v>30.3001</v>
      </c>
    </row>
    <row r="2784" spans="3:5" x14ac:dyDescent="0.35">
      <c r="C2784">
        <f t="shared" si="44"/>
        <v>1907</v>
      </c>
      <c r="D2784" s="7">
        <v>2783</v>
      </c>
      <c r="E2784">
        <v>30.684699999999999</v>
      </c>
    </row>
    <row r="2785" spans="3:5" x14ac:dyDescent="0.35">
      <c r="C2785">
        <f t="shared" si="44"/>
        <v>1907</v>
      </c>
      <c r="D2785" s="7">
        <v>2784</v>
      </c>
      <c r="E2785">
        <v>30.9056</v>
      </c>
    </row>
    <row r="2786" spans="3:5" x14ac:dyDescent="0.35">
      <c r="C2786">
        <f t="shared" si="44"/>
        <v>1907</v>
      </c>
      <c r="D2786" s="7">
        <v>2785</v>
      </c>
      <c r="E2786">
        <v>30.928799999999999</v>
      </c>
    </row>
    <row r="2787" spans="3:5" x14ac:dyDescent="0.35">
      <c r="C2787">
        <f t="shared" si="44"/>
        <v>1907</v>
      </c>
      <c r="D2787" s="7">
        <v>2786</v>
      </c>
      <c r="E2787">
        <v>31.1694</v>
      </c>
    </row>
    <row r="2788" spans="3:5" x14ac:dyDescent="0.35">
      <c r="C2788">
        <f t="shared" si="44"/>
        <v>1907</v>
      </c>
      <c r="D2788" s="7">
        <v>2787</v>
      </c>
      <c r="E2788">
        <v>32.016199999999998</v>
      </c>
    </row>
    <row r="2789" spans="3:5" x14ac:dyDescent="0.35">
      <c r="C2789">
        <f t="shared" si="44"/>
        <v>1907</v>
      </c>
      <c r="D2789" s="7">
        <v>2788</v>
      </c>
      <c r="E2789">
        <v>31.2864</v>
      </c>
    </row>
    <row r="2790" spans="3:5" x14ac:dyDescent="0.35">
      <c r="C2790">
        <f t="shared" si="44"/>
        <v>1907</v>
      </c>
      <c r="D2790" s="7">
        <v>2789</v>
      </c>
      <c r="E2790">
        <v>32.763800000000003</v>
      </c>
    </row>
    <row r="2791" spans="3:5" x14ac:dyDescent="0.35">
      <c r="C2791">
        <f t="shared" si="44"/>
        <v>1907</v>
      </c>
      <c r="D2791" s="7">
        <v>2790</v>
      </c>
      <c r="E2791">
        <v>33.1556</v>
      </c>
    </row>
    <row r="2792" spans="3:5" x14ac:dyDescent="0.35">
      <c r="C2792">
        <f t="shared" si="44"/>
        <v>1907</v>
      </c>
      <c r="D2792" s="7">
        <v>2791</v>
      </c>
      <c r="E2792">
        <v>33.614699999999999</v>
      </c>
    </row>
    <row r="2793" spans="3:5" x14ac:dyDescent="0.35">
      <c r="C2793">
        <f t="shared" si="44"/>
        <v>1907</v>
      </c>
      <c r="D2793" s="7">
        <v>2792</v>
      </c>
      <c r="E2793">
        <v>36.563200000000002</v>
      </c>
    </row>
    <row r="2794" spans="3:5" x14ac:dyDescent="0.35">
      <c r="C2794">
        <f t="shared" si="44"/>
        <v>1907</v>
      </c>
      <c r="D2794" s="7">
        <v>2793</v>
      </c>
      <c r="E2794">
        <v>36.833799999999997</v>
      </c>
    </row>
    <row r="2795" spans="3:5" x14ac:dyDescent="0.35">
      <c r="C2795">
        <f t="shared" si="44"/>
        <v>1907</v>
      </c>
      <c r="D2795" s="7">
        <v>2794</v>
      </c>
      <c r="E2795">
        <v>36.113599999999998</v>
      </c>
    </row>
    <row r="2796" spans="3:5" x14ac:dyDescent="0.35">
      <c r="C2796">
        <f t="shared" si="44"/>
        <v>1907</v>
      </c>
      <c r="D2796" s="7">
        <v>2795</v>
      </c>
      <c r="E2796">
        <v>36.055300000000003</v>
      </c>
    </row>
    <row r="2797" spans="3:5" x14ac:dyDescent="0.35">
      <c r="C2797">
        <f t="shared" si="44"/>
        <v>1907</v>
      </c>
      <c r="D2797" s="7">
        <v>2796</v>
      </c>
      <c r="E2797">
        <v>36.176200000000001</v>
      </c>
    </row>
    <row r="2798" spans="3:5" x14ac:dyDescent="0.35">
      <c r="C2798">
        <f t="shared" si="44"/>
        <v>1907</v>
      </c>
      <c r="D2798" s="7">
        <v>2797</v>
      </c>
      <c r="E2798">
        <v>35.090200000000003</v>
      </c>
    </row>
    <row r="2799" spans="3:5" x14ac:dyDescent="0.35">
      <c r="C2799">
        <f t="shared" si="44"/>
        <v>1907</v>
      </c>
      <c r="D2799" s="7">
        <v>2798</v>
      </c>
      <c r="E2799">
        <v>35.391100000000002</v>
      </c>
    </row>
    <row r="2800" spans="3:5" x14ac:dyDescent="0.35">
      <c r="C2800">
        <f t="shared" si="44"/>
        <v>1907</v>
      </c>
      <c r="D2800" s="7">
        <v>2799</v>
      </c>
      <c r="E2800">
        <v>35.565399999999997</v>
      </c>
    </row>
    <row r="2801" spans="3:5" x14ac:dyDescent="0.35">
      <c r="C2801">
        <f t="shared" si="44"/>
        <v>1907</v>
      </c>
      <c r="D2801" s="7">
        <v>2800</v>
      </c>
      <c r="E2801">
        <v>35.088000000000001</v>
      </c>
    </row>
    <row r="2802" spans="3:5" x14ac:dyDescent="0.35">
      <c r="C2802">
        <f t="shared" si="44"/>
        <v>1907</v>
      </c>
      <c r="D2802" s="7">
        <v>2801</v>
      </c>
      <c r="E2802">
        <v>34.975900000000003</v>
      </c>
    </row>
    <row r="2803" spans="3:5" x14ac:dyDescent="0.35">
      <c r="C2803">
        <f t="shared" si="44"/>
        <v>1907</v>
      </c>
      <c r="D2803" s="7">
        <v>2802</v>
      </c>
      <c r="E2803">
        <v>35.178199999999997</v>
      </c>
    </row>
    <row r="2804" spans="3:5" x14ac:dyDescent="0.35">
      <c r="C2804">
        <f t="shared" si="44"/>
        <v>1907</v>
      </c>
      <c r="D2804" s="7">
        <v>2803</v>
      </c>
      <c r="E2804">
        <v>34.998800000000003</v>
      </c>
    </row>
    <row r="2805" spans="3:5" x14ac:dyDescent="0.35">
      <c r="C2805">
        <f t="shared" si="44"/>
        <v>1907</v>
      </c>
      <c r="D2805" s="7">
        <v>2804</v>
      </c>
      <c r="E2805">
        <v>33.399700000000003</v>
      </c>
    </row>
    <row r="2806" spans="3:5" x14ac:dyDescent="0.35">
      <c r="C2806">
        <f t="shared" si="44"/>
        <v>1907</v>
      </c>
      <c r="D2806" s="7">
        <v>2805</v>
      </c>
      <c r="E2806">
        <v>33.647300000000001</v>
      </c>
    </row>
    <row r="2807" spans="3:5" x14ac:dyDescent="0.35">
      <c r="C2807">
        <f t="shared" si="44"/>
        <v>1907</v>
      </c>
      <c r="D2807" s="7">
        <v>2806</v>
      </c>
      <c r="E2807">
        <v>27.459499999999998</v>
      </c>
    </row>
    <row r="2808" spans="3:5" x14ac:dyDescent="0.35">
      <c r="C2808">
        <f t="shared" si="44"/>
        <v>1907</v>
      </c>
      <c r="D2808" s="7">
        <v>2807</v>
      </c>
      <c r="E2808">
        <v>28.1388</v>
      </c>
    </row>
    <row r="2809" spans="3:5" x14ac:dyDescent="0.35">
      <c r="C2809">
        <f t="shared" si="44"/>
        <v>1907</v>
      </c>
      <c r="D2809" s="7">
        <v>2808</v>
      </c>
      <c r="E2809">
        <v>29.411300000000001</v>
      </c>
    </row>
    <row r="2810" spans="3:5" x14ac:dyDescent="0.35">
      <c r="C2810">
        <f t="shared" si="44"/>
        <v>1907</v>
      </c>
      <c r="D2810" s="7">
        <v>2809</v>
      </c>
      <c r="E2810">
        <v>28.8781</v>
      </c>
    </row>
    <row r="2811" spans="3:5" x14ac:dyDescent="0.35">
      <c r="C2811">
        <f t="shared" si="44"/>
        <v>1907</v>
      </c>
      <c r="D2811" s="7">
        <v>2810</v>
      </c>
      <c r="E2811">
        <v>28.601400000000002</v>
      </c>
    </row>
    <row r="2812" spans="3:5" x14ac:dyDescent="0.35">
      <c r="C2812">
        <f t="shared" si="44"/>
        <v>1907</v>
      </c>
      <c r="D2812" s="7">
        <v>2811</v>
      </c>
      <c r="E2812">
        <v>27.927700000000002</v>
      </c>
    </row>
    <row r="2813" spans="3:5" x14ac:dyDescent="0.35">
      <c r="C2813">
        <f t="shared" si="44"/>
        <v>1907</v>
      </c>
      <c r="D2813" s="7">
        <v>2812</v>
      </c>
      <c r="E2813">
        <v>28.479199999999999</v>
      </c>
    </row>
    <row r="2814" spans="3:5" x14ac:dyDescent="0.35">
      <c r="C2814">
        <f t="shared" si="44"/>
        <v>1907</v>
      </c>
      <c r="D2814" s="7">
        <v>2813</v>
      </c>
      <c r="E2814">
        <v>27.796500000000002</v>
      </c>
    </row>
    <row r="2815" spans="3:5" x14ac:dyDescent="0.35">
      <c r="C2815">
        <f t="shared" si="44"/>
        <v>1907</v>
      </c>
      <c r="D2815" s="7">
        <v>2814</v>
      </c>
      <c r="E2815">
        <v>28.415800000000001</v>
      </c>
    </row>
    <row r="2816" spans="3:5" x14ac:dyDescent="0.35">
      <c r="C2816">
        <f t="shared" si="44"/>
        <v>1907</v>
      </c>
      <c r="D2816" s="7">
        <v>2815</v>
      </c>
      <c r="E2816">
        <v>28.740500000000001</v>
      </c>
    </row>
    <row r="2817" spans="3:5" x14ac:dyDescent="0.35">
      <c r="C2817">
        <f t="shared" si="44"/>
        <v>1907</v>
      </c>
      <c r="D2817" s="7">
        <v>2816</v>
      </c>
      <c r="E2817">
        <v>28.088799999999999</v>
      </c>
    </row>
    <row r="2818" spans="3:5" x14ac:dyDescent="0.35">
      <c r="C2818">
        <f t="shared" si="44"/>
        <v>1907</v>
      </c>
      <c r="D2818" s="7">
        <v>2817</v>
      </c>
      <c r="E2818">
        <v>28.200199999999999</v>
      </c>
    </row>
    <row r="2819" spans="3:5" x14ac:dyDescent="0.35">
      <c r="C2819">
        <f t="shared" ref="C2819:C2882" si="45">YEAR(D2819)</f>
        <v>1907</v>
      </c>
      <c r="D2819" s="7">
        <v>2818</v>
      </c>
      <c r="E2819">
        <v>27.24</v>
      </c>
    </row>
    <row r="2820" spans="3:5" x14ac:dyDescent="0.35">
      <c r="C2820">
        <f t="shared" si="45"/>
        <v>1907</v>
      </c>
      <c r="D2820" s="7">
        <v>2819</v>
      </c>
      <c r="E2820">
        <v>26.204499999999999</v>
      </c>
    </row>
    <row r="2821" spans="3:5" x14ac:dyDescent="0.35">
      <c r="C2821">
        <f t="shared" si="45"/>
        <v>1907</v>
      </c>
      <c r="D2821" s="7">
        <v>2820</v>
      </c>
      <c r="E2821">
        <v>26.319700000000001</v>
      </c>
    </row>
    <row r="2822" spans="3:5" x14ac:dyDescent="0.35">
      <c r="C2822">
        <f t="shared" si="45"/>
        <v>1907</v>
      </c>
      <c r="D2822" s="7">
        <v>2821</v>
      </c>
      <c r="E2822">
        <v>26.059000000000001</v>
      </c>
    </row>
    <row r="2823" spans="3:5" x14ac:dyDescent="0.35">
      <c r="C2823">
        <f t="shared" si="45"/>
        <v>1907</v>
      </c>
      <c r="D2823" s="7">
        <v>2822</v>
      </c>
      <c r="E2823">
        <v>26.382100000000001</v>
      </c>
    </row>
    <row r="2824" spans="3:5" x14ac:dyDescent="0.35">
      <c r="C2824">
        <f t="shared" si="45"/>
        <v>1907</v>
      </c>
      <c r="D2824" s="7">
        <v>2823</v>
      </c>
      <c r="E2824">
        <v>25.946899999999999</v>
      </c>
    </row>
    <row r="2825" spans="3:5" x14ac:dyDescent="0.35">
      <c r="C2825">
        <f t="shared" si="45"/>
        <v>1907</v>
      </c>
      <c r="D2825" s="7">
        <v>2824</v>
      </c>
      <c r="E2825">
        <v>25.369299999999999</v>
      </c>
    </row>
    <row r="2826" spans="3:5" x14ac:dyDescent="0.35">
      <c r="C2826">
        <f t="shared" si="45"/>
        <v>1907</v>
      </c>
      <c r="D2826" s="7">
        <v>2825</v>
      </c>
      <c r="E2826">
        <v>25.2484</v>
      </c>
    </row>
    <row r="2827" spans="3:5" x14ac:dyDescent="0.35">
      <c r="C2827">
        <f t="shared" si="45"/>
        <v>1907</v>
      </c>
      <c r="D2827" s="7">
        <v>2826</v>
      </c>
      <c r="E2827">
        <v>24.1403</v>
      </c>
    </row>
    <row r="2828" spans="3:5" x14ac:dyDescent="0.35">
      <c r="C2828">
        <f t="shared" si="45"/>
        <v>1907</v>
      </c>
      <c r="D2828" s="7">
        <v>2827</v>
      </c>
      <c r="E2828">
        <v>23.343</v>
      </c>
    </row>
    <row r="2829" spans="3:5" x14ac:dyDescent="0.35">
      <c r="C2829">
        <f t="shared" si="45"/>
        <v>1907</v>
      </c>
      <c r="D2829" s="7">
        <v>2828</v>
      </c>
      <c r="E2829">
        <v>24.0288</v>
      </c>
    </row>
    <row r="2830" spans="3:5" x14ac:dyDescent="0.35">
      <c r="C2830">
        <f t="shared" si="45"/>
        <v>1907</v>
      </c>
      <c r="D2830" s="7">
        <v>2829</v>
      </c>
      <c r="E2830">
        <v>24.394100000000002</v>
      </c>
    </row>
    <row r="2831" spans="3:5" x14ac:dyDescent="0.35">
      <c r="C2831">
        <f t="shared" si="45"/>
        <v>1907</v>
      </c>
      <c r="D2831" s="7">
        <v>2830</v>
      </c>
      <c r="E2831">
        <v>25.1737</v>
      </c>
    </row>
    <row r="2832" spans="3:5" x14ac:dyDescent="0.35">
      <c r="C2832">
        <f t="shared" si="45"/>
        <v>1907</v>
      </c>
      <c r="D2832" s="7">
        <v>2831</v>
      </c>
      <c r="E2832">
        <v>25.6724</v>
      </c>
    </row>
    <row r="2833" spans="3:5" x14ac:dyDescent="0.35">
      <c r="C2833">
        <f t="shared" si="45"/>
        <v>1907</v>
      </c>
      <c r="D2833" s="7">
        <v>2832</v>
      </c>
      <c r="E2833">
        <v>25.748200000000001</v>
      </c>
    </row>
    <row r="2834" spans="3:5" x14ac:dyDescent="0.35">
      <c r="C2834">
        <f t="shared" si="45"/>
        <v>1907</v>
      </c>
      <c r="D2834" s="7">
        <v>2833</v>
      </c>
      <c r="E2834">
        <v>26.2974</v>
      </c>
    </row>
    <row r="2835" spans="3:5" x14ac:dyDescent="0.35">
      <c r="C2835">
        <f t="shared" si="45"/>
        <v>1907</v>
      </c>
      <c r="D2835" s="7">
        <v>2834</v>
      </c>
      <c r="E2835">
        <v>27.110299999999999</v>
      </c>
    </row>
    <row r="2836" spans="3:5" x14ac:dyDescent="0.35">
      <c r="C2836">
        <f t="shared" si="45"/>
        <v>1907</v>
      </c>
      <c r="D2836" s="7">
        <v>2835</v>
      </c>
      <c r="E2836">
        <v>26.7638</v>
      </c>
    </row>
    <row r="2837" spans="3:5" x14ac:dyDescent="0.35">
      <c r="C2837">
        <f t="shared" si="45"/>
        <v>1907</v>
      </c>
      <c r="D2837" s="7">
        <v>2836</v>
      </c>
      <c r="E2837">
        <v>26.404299999999999</v>
      </c>
    </row>
    <row r="2838" spans="3:5" x14ac:dyDescent="0.35">
      <c r="C2838">
        <f t="shared" si="45"/>
        <v>1907</v>
      </c>
      <c r="D2838" s="7">
        <v>2837</v>
      </c>
      <c r="E2838">
        <v>26.5961</v>
      </c>
    </row>
    <row r="2839" spans="3:5" x14ac:dyDescent="0.35">
      <c r="C2839">
        <f t="shared" si="45"/>
        <v>1907</v>
      </c>
      <c r="D2839" s="7">
        <v>2838</v>
      </c>
      <c r="E2839">
        <v>26.659199999999998</v>
      </c>
    </row>
    <row r="2840" spans="3:5" x14ac:dyDescent="0.35">
      <c r="C2840">
        <f t="shared" si="45"/>
        <v>1907</v>
      </c>
      <c r="D2840" s="7">
        <v>2839</v>
      </c>
      <c r="E2840">
        <v>27.472100000000001</v>
      </c>
    </row>
    <row r="2841" spans="3:5" x14ac:dyDescent="0.35">
      <c r="C2841">
        <f t="shared" si="45"/>
        <v>1907</v>
      </c>
      <c r="D2841" s="7">
        <v>2840</v>
      </c>
      <c r="E2841">
        <v>27.344000000000001</v>
      </c>
    </row>
    <row r="2842" spans="3:5" x14ac:dyDescent="0.35">
      <c r="C2842">
        <f t="shared" si="45"/>
        <v>1907</v>
      </c>
      <c r="D2842" s="7">
        <v>2841</v>
      </c>
      <c r="E2842">
        <v>27.565799999999999</v>
      </c>
    </row>
    <row r="2843" spans="3:5" x14ac:dyDescent="0.35">
      <c r="C2843">
        <f t="shared" si="45"/>
        <v>1907</v>
      </c>
      <c r="D2843" s="7">
        <v>2842</v>
      </c>
      <c r="E2843">
        <v>26.348199999999999</v>
      </c>
    </row>
    <row r="2844" spans="3:5" x14ac:dyDescent="0.35">
      <c r="C2844">
        <f t="shared" si="45"/>
        <v>1907</v>
      </c>
      <c r="D2844" s="7">
        <v>2843</v>
      </c>
      <c r="E2844">
        <v>26.777899999999999</v>
      </c>
    </row>
    <row r="2845" spans="3:5" x14ac:dyDescent="0.35">
      <c r="C2845">
        <f t="shared" si="45"/>
        <v>1907</v>
      </c>
      <c r="D2845" s="7">
        <v>2844</v>
      </c>
      <c r="E2845">
        <v>26.6875</v>
      </c>
    </row>
    <row r="2846" spans="3:5" x14ac:dyDescent="0.35">
      <c r="C2846">
        <f t="shared" si="45"/>
        <v>1907</v>
      </c>
      <c r="D2846" s="7">
        <v>2845</v>
      </c>
      <c r="E2846">
        <v>26.713899999999999</v>
      </c>
    </row>
    <row r="2847" spans="3:5" x14ac:dyDescent="0.35">
      <c r="C2847">
        <f t="shared" si="45"/>
        <v>1907</v>
      </c>
      <c r="D2847" s="7">
        <v>2846</v>
      </c>
      <c r="E2847">
        <v>26.414100000000001</v>
      </c>
    </row>
    <row r="2848" spans="3:5" x14ac:dyDescent="0.35">
      <c r="C2848">
        <f t="shared" si="45"/>
        <v>1907</v>
      </c>
      <c r="D2848" s="7">
        <v>2847</v>
      </c>
      <c r="E2848">
        <v>25.231400000000001</v>
      </c>
    </row>
    <row r="2849" spans="3:5" x14ac:dyDescent="0.35">
      <c r="C2849">
        <f t="shared" si="45"/>
        <v>1907</v>
      </c>
      <c r="D2849" s="7">
        <v>2848</v>
      </c>
      <c r="E2849">
        <v>25.2577</v>
      </c>
    </row>
    <row r="2850" spans="3:5" x14ac:dyDescent="0.35">
      <c r="C2850">
        <f t="shared" si="45"/>
        <v>1907</v>
      </c>
      <c r="D2850" s="7">
        <v>2849</v>
      </c>
      <c r="E2850">
        <v>25.335599999999999</v>
      </c>
    </row>
    <row r="2851" spans="3:5" x14ac:dyDescent="0.35">
      <c r="C2851">
        <f t="shared" si="45"/>
        <v>1907</v>
      </c>
      <c r="D2851" s="7">
        <v>2850</v>
      </c>
      <c r="E2851">
        <v>25.017499999999998</v>
      </c>
    </row>
    <row r="2852" spans="3:5" x14ac:dyDescent="0.35">
      <c r="C2852">
        <f t="shared" si="45"/>
        <v>1907</v>
      </c>
      <c r="D2852" s="7">
        <v>2851</v>
      </c>
      <c r="E2852">
        <v>25.978300000000001</v>
      </c>
    </row>
    <row r="2853" spans="3:5" x14ac:dyDescent="0.35">
      <c r="C2853">
        <f t="shared" si="45"/>
        <v>1907</v>
      </c>
      <c r="D2853" s="7">
        <v>2852</v>
      </c>
      <c r="E2853">
        <v>25.875800000000002</v>
      </c>
    </row>
    <row r="2854" spans="3:5" x14ac:dyDescent="0.35">
      <c r="C2854">
        <f t="shared" si="45"/>
        <v>1907</v>
      </c>
      <c r="D2854" s="7">
        <v>2853</v>
      </c>
      <c r="E2854">
        <v>27.101600000000001</v>
      </c>
    </row>
    <row r="2855" spans="3:5" x14ac:dyDescent="0.35">
      <c r="C2855">
        <f t="shared" si="45"/>
        <v>1907</v>
      </c>
      <c r="D2855" s="7">
        <v>2854</v>
      </c>
      <c r="E2855">
        <v>26.540099999999999</v>
      </c>
    </row>
    <row r="2856" spans="3:5" x14ac:dyDescent="0.35">
      <c r="C2856">
        <f t="shared" si="45"/>
        <v>1907</v>
      </c>
      <c r="D2856" s="7">
        <v>2855</v>
      </c>
      <c r="E2856">
        <v>26.998899999999999</v>
      </c>
    </row>
    <row r="2857" spans="3:5" x14ac:dyDescent="0.35">
      <c r="C2857">
        <f t="shared" si="45"/>
        <v>1907</v>
      </c>
      <c r="D2857" s="7">
        <v>2856</v>
      </c>
      <c r="E2857">
        <v>27.685700000000001</v>
      </c>
    </row>
    <row r="2858" spans="3:5" x14ac:dyDescent="0.35">
      <c r="C2858">
        <f t="shared" si="45"/>
        <v>1907</v>
      </c>
      <c r="D2858" s="7">
        <v>2857</v>
      </c>
      <c r="E2858">
        <v>27.815799999999999</v>
      </c>
    </row>
    <row r="2859" spans="3:5" x14ac:dyDescent="0.35">
      <c r="C2859">
        <f t="shared" si="45"/>
        <v>1907</v>
      </c>
      <c r="D2859" s="7">
        <v>2858</v>
      </c>
      <c r="E2859">
        <v>27.608699999999999</v>
      </c>
    </row>
    <row r="2860" spans="3:5" x14ac:dyDescent="0.35">
      <c r="C2860">
        <f t="shared" si="45"/>
        <v>1907</v>
      </c>
      <c r="D2860" s="7">
        <v>2859</v>
      </c>
      <c r="E2860">
        <v>28.689800000000002</v>
      </c>
    </row>
    <row r="2861" spans="3:5" x14ac:dyDescent="0.35">
      <c r="C2861">
        <f t="shared" si="45"/>
        <v>1907</v>
      </c>
      <c r="D2861" s="7">
        <v>2860</v>
      </c>
      <c r="E2861">
        <v>29.116900000000001</v>
      </c>
    </row>
    <row r="2862" spans="3:5" x14ac:dyDescent="0.35">
      <c r="C2862">
        <f t="shared" si="45"/>
        <v>1907</v>
      </c>
      <c r="D2862" s="7">
        <v>2861</v>
      </c>
      <c r="E2862">
        <v>28.7408</v>
      </c>
    </row>
    <row r="2863" spans="3:5" x14ac:dyDescent="0.35">
      <c r="C2863">
        <f t="shared" si="45"/>
        <v>1907</v>
      </c>
      <c r="D2863" s="7">
        <v>2862</v>
      </c>
      <c r="E2863">
        <v>27.9956</v>
      </c>
    </row>
    <row r="2864" spans="3:5" x14ac:dyDescent="0.35">
      <c r="C2864">
        <f t="shared" si="45"/>
        <v>1907</v>
      </c>
      <c r="D2864" s="7">
        <v>2863</v>
      </c>
      <c r="E2864">
        <v>29.8216</v>
      </c>
    </row>
    <row r="2865" spans="3:5" x14ac:dyDescent="0.35">
      <c r="C2865">
        <f t="shared" si="45"/>
        <v>1907</v>
      </c>
      <c r="D2865" s="7">
        <v>2864</v>
      </c>
      <c r="E2865">
        <v>29.358000000000001</v>
      </c>
    </row>
    <row r="2866" spans="3:5" x14ac:dyDescent="0.35">
      <c r="C2866">
        <f t="shared" si="45"/>
        <v>1907</v>
      </c>
      <c r="D2866" s="7">
        <v>2865</v>
      </c>
      <c r="E2866">
        <v>29.0928</v>
      </c>
    </row>
    <row r="2867" spans="3:5" x14ac:dyDescent="0.35">
      <c r="C2867">
        <f t="shared" si="45"/>
        <v>1907</v>
      </c>
      <c r="D2867" s="7">
        <v>2866</v>
      </c>
      <c r="E2867">
        <v>29.4391</v>
      </c>
    </row>
    <row r="2868" spans="3:5" x14ac:dyDescent="0.35">
      <c r="C2868">
        <f t="shared" si="45"/>
        <v>1907</v>
      </c>
      <c r="D2868" s="7">
        <v>2867</v>
      </c>
      <c r="E2868">
        <v>29.412299999999998</v>
      </c>
    </row>
    <row r="2869" spans="3:5" x14ac:dyDescent="0.35">
      <c r="C2869">
        <f t="shared" si="45"/>
        <v>1907</v>
      </c>
      <c r="D2869" s="7">
        <v>2868</v>
      </c>
      <c r="E2869">
        <v>29.639900000000001</v>
      </c>
    </row>
    <row r="2870" spans="3:5" x14ac:dyDescent="0.35">
      <c r="C2870">
        <f t="shared" si="45"/>
        <v>1907</v>
      </c>
      <c r="D2870" s="7">
        <v>2869</v>
      </c>
      <c r="E2870">
        <v>28.745100000000001</v>
      </c>
    </row>
    <row r="2871" spans="3:5" x14ac:dyDescent="0.35">
      <c r="C2871">
        <f t="shared" si="45"/>
        <v>1907</v>
      </c>
      <c r="D2871" s="7">
        <v>2870</v>
      </c>
      <c r="E2871">
        <v>27.6934</v>
      </c>
    </row>
    <row r="2872" spans="3:5" x14ac:dyDescent="0.35">
      <c r="C2872">
        <f t="shared" si="45"/>
        <v>1907</v>
      </c>
      <c r="D2872" s="7">
        <v>2871</v>
      </c>
      <c r="E2872">
        <v>27.209</v>
      </c>
    </row>
    <row r="2873" spans="3:5" x14ac:dyDescent="0.35">
      <c r="C2873">
        <f t="shared" si="45"/>
        <v>1907</v>
      </c>
      <c r="D2873" s="7">
        <v>2872</v>
      </c>
      <c r="E2873">
        <v>26.912600000000001</v>
      </c>
    </row>
    <row r="2874" spans="3:5" x14ac:dyDescent="0.35">
      <c r="C2874">
        <f t="shared" si="45"/>
        <v>1907</v>
      </c>
      <c r="D2874" s="7">
        <v>2873</v>
      </c>
      <c r="E2874">
        <v>27.665600000000001</v>
      </c>
    </row>
    <row r="2875" spans="3:5" x14ac:dyDescent="0.35">
      <c r="C2875">
        <f t="shared" si="45"/>
        <v>1907</v>
      </c>
      <c r="D2875" s="7">
        <v>2874</v>
      </c>
      <c r="E2875">
        <v>27.669</v>
      </c>
    </row>
    <row r="2876" spans="3:5" x14ac:dyDescent="0.35">
      <c r="C2876">
        <f t="shared" si="45"/>
        <v>1907</v>
      </c>
      <c r="D2876" s="7">
        <v>2875</v>
      </c>
      <c r="E2876">
        <v>27.7958</v>
      </c>
    </row>
    <row r="2877" spans="3:5" x14ac:dyDescent="0.35">
      <c r="C2877">
        <f t="shared" si="45"/>
        <v>1907</v>
      </c>
      <c r="D2877" s="7">
        <v>2876</v>
      </c>
      <c r="E2877">
        <v>27.547999999999998</v>
      </c>
    </row>
    <row r="2878" spans="3:5" x14ac:dyDescent="0.35">
      <c r="C2878">
        <f t="shared" si="45"/>
        <v>1907</v>
      </c>
      <c r="D2878" s="7">
        <v>2877</v>
      </c>
      <c r="E2878">
        <v>27.2044</v>
      </c>
    </row>
    <row r="2879" spans="3:5" x14ac:dyDescent="0.35">
      <c r="C2879">
        <f t="shared" si="45"/>
        <v>1907</v>
      </c>
      <c r="D2879" s="7">
        <v>2878</v>
      </c>
      <c r="E2879">
        <v>26.859400000000001</v>
      </c>
    </row>
    <row r="2880" spans="3:5" x14ac:dyDescent="0.35">
      <c r="C2880">
        <f t="shared" si="45"/>
        <v>1907</v>
      </c>
      <c r="D2880" s="7">
        <v>2879</v>
      </c>
      <c r="E2880">
        <v>26.3553</v>
      </c>
    </row>
    <row r="2881" spans="3:5" x14ac:dyDescent="0.35">
      <c r="C2881">
        <f t="shared" si="45"/>
        <v>1907</v>
      </c>
      <c r="D2881" s="7">
        <v>2880</v>
      </c>
      <c r="E2881">
        <v>26.087299999999999</v>
      </c>
    </row>
    <row r="2882" spans="3:5" x14ac:dyDescent="0.35">
      <c r="C2882">
        <f t="shared" si="45"/>
        <v>1907</v>
      </c>
      <c r="D2882" s="7">
        <v>2881</v>
      </c>
      <c r="E2882">
        <v>25.8734</v>
      </c>
    </row>
    <row r="2883" spans="3:5" x14ac:dyDescent="0.35">
      <c r="C2883">
        <f t="shared" ref="C2883:C2946" si="46">YEAR(D2883)</f>
        <v>1907</v>
      </c>
      <c r="D2883" s="7">
        <v>2882</v>
      </c>
      <c r="E2883">
        <v>26.190999999999999</v>
      </c>
    </row>
    <row r="2884" spans="3:5" x14ac:dyDescent="0.35">
      <c r="C2884">
        <f t="shared" si="46"/>
        <v>1907</v>
      </c>
      <c r="D2884" s="7">
        <v>2883</v>
      </c>
      <c r="E2884">
        <v>25.657599999999999</v>
      </c>
    </row>
    <row r="2885" spans="3:5" x14ac:dyDescent="0.35">
      <c r="C2885">
        <f t="shared" si="46"/>
        <v>1907</v>
      </c>
      <c r="D2885" s="7">
        <v>2884</v>
      </c>
      <c r="E2885">
        <v>24.9038</v>
      </c>
    </row>
    <row r="2886" spans="3:5" x14ac:dyDescent="0.35">
      <c r="C2886">
        <f t="shared" si="46"/>
        <v>1907</v>
      </c>
      <c r="D2886" s="7">
        <v>2885</v>
      </c>
      <c r="E2886">
        <v>25.357500000000002</v>
      </c>
    </row>
    <row r="2887" spans="3:5" x14ac:dyDescent="0.35">
      <c r="C2887">
        <f t="shared" si="46"/>
        <v>1907</v>
      </c>
      <c r="D2887" s="7">
        <v>2886</v>
      </c>
      <c r="E2887">
        <v>25.373000000000001</v>
      </c>
    </row>
    <row r="2888" spans="3:5" x14ac:dyDescent="0.35">
      <c r="C2888">
        <f t="shared" si="46"/>
        <v>1907</v>
      </c>
      <c r="D2888" s="7">
        <v>2887</v>
      </c>
      <c r="E2888">
        <v>25.384799999999998</v>
      </c>
    </row>
    <row r="2889" spans="3:5" x14ac:dyDescent="0.35">
      <c r="C2889">
        <f t="shared" si="46"/>
        <v>1907</v>
      </c>
      <c r="D2889" s="7">
        <v>2888</v>
      </c>
      <c r="E2889">
        <v>25.844200000000001</v>
      </c>
    </row>
    <row r="2890" spans="3:5" x14ac:dyDescent="0.35">
      <c r="C2890">
        <f t="shared" si="46"/>
        <v>1907</v>
      </c>
      <c r="D2890" s="7">
        <v>2889</v>
      </c>
      <c r="E2890">
        <v>26.0975</v>
      </c>
    </row>
    <row r="2891" spans="3:5" x14ac:dyDescent="0.35">
      <c r="C2891">
        <f t="shared" si="46"/>
        <v>1907</v>
      </c>
      <c r="D2891" s="7">
        <v>2890</v>
      </c>
      <c r="E2891">
        <v>25.991700000000002</v>
      </c>
    </row>
    <row r="2892" spans="3:5" x14ac:dyDescent="0.35">
      <c r="C2892">
        <f t="shared" si="46"/>
        <v>1907</v>
      </c>
      <c r="D2892" s="7">
        <v>2891</v>
      </c>
      <c r="E2892">
        <v>25.826899999999998</v>
      </c>
    </row>
    <row r="2893" spans="3:5" x14ac:dyDescent="0.35">
      <c r="C2893">
        <f t="shared" si="46"/>
        <v>1907</v>
      </c>
      <c r="D2893" s="7">
        <v>2892</v>
      </c>
      <c r="E2893">
        <v>25.941400000000002</v>
      </c>
    </row>
    <row r="2894" spans="3:5" x14ac:dyDescent="0.35">
      <c r="C2894">
        <f t="shared" si="46"/>
        <v>1907</v>
      </c>
      <c r="D2894" s="7">
        <v>2893</v>
      </c>
      <c r="E2894">
        <v>26.594899999999999</v>
      </c>
    </row>
    <row r="2895" spans="3:5" x14ac:dyDescent="0.35">
      <c r="C2895">
        <f t="shared" si="46"/>
        <v>1907</v>
      </c>
      <c r="D2895" s="7">
        <v>2894</v>
      </c>
      <c r="E2895">
        <v>26.754000000000001</v>
      </c>
    </row>
    <row r="2896" spans="3:5" x14ac:dyDescent="0.35">
      <c r="C2896">
        <f t="shared" si="46"/>
        <v>1907</v>
      </c>
      <c r="D2896" s="7">
        <v>2895</v>
      </c>
      <c r="E2896">
        <v>26.272600000000001</v>
      </c>
    </row>
    <row r="2897" spans="3:5" x14ac:dyDescent="0.35">
      <c r="C2897">
        <f t="shared" si="46"/>
        <v>1907</v>
      </c>
      <c r="D2897" s="7">
        <v>2896</v>
      </c>
      <c r="E2897">
        <v>25.2319</v>
      </c>
    </row>
    <row r="2898" spans="3:5" x14ac:dyDescent="0.35">
      <c r="C2898">
        <f t="shared" si="46"/>
        <v>1907</v>
      </c>
      <c r="D2898" s="7">
        <v>2897</v>
      </c>
      <c r="E2898">
        <v>25.627700000000001</v>
      </c>
    </row>
    <row r="2899" spans="3:5" x14ac:dyDescent="0.35">
      <c r="C2899">
        <f t="shared" si="46"/>
        <v>1907</v>
      </c>
      <c r="D2899" s="7">
        <v>2898</v>
      </c>
      <c r="E2899">
        <v>25.418500000000002</v>
      </c>
    </row>
    <row r="2900" spans="3:5" x14ac:dyDescent="0.35">
      <c r="C2900">
        <f t="shared" si="46"/>
        <v>1907</v>
      </c>
      <c r="D2900" s="7">
        <v>2899</v>
      </c>
      <c r="E2900">
        <v>25.785900000000002</v>
      </c>
    </row>
    <row r="2901" spans="3:5" x14ac:dyDescent="0.35">
      <c r="C2901">
        <f t="shared" si="46"/>
        <v>1907</v>
      </c>
      <c r="D2901" s="7">
        <v>2900</v>
      </c>
      <c r="E2901">
        <v>25.638500000000001</v>
      </c>
    </row>
    <row r="2902" spans="3:5" x14ac:dyDescent="0.35">
      <c r="C2902">
        <f t="shared" si="46"/>
        <v>1907</v>
      </c>
      <c r="D2902" s="7">
        <v>2901</v>
      </c>
      <c r="E2902">
        <v>25.275700000000001</v>
      </c>
    </row>
    <row r="2903" spans="3:5" x14ac:dyDescent="0.35">
      <c r="C2903">
        <f t="shared" si="46"/>
        <v>1907</v>
      </c>
      <c r="D2903" s="7">
        <v>2902</v>
      </c>
      <c r="E2903">
        <v>25.194500000000001</v>
      </c>
    </row>
    <row r="2904" spans="3:5" x14ac:dyDescent="0.35">
      <c r="C2904">
        <f t="shared" si="46"/>
        <v>1907</v>
      </c>
      <c r="D2904" s="7">
        <v>2903</v>
      </c>
      <c r="E2904">
        <v>25.098400000000002</v>
      </c>
    </row>
    <row r="2905" spans="3:5" x14ac:dyDescent="0.35">
      <c r="C2905">
        <f t="shared" si="46"/>
        <v>1907</v>
      </c>
      <c r="D2905" s="7">
        <v>2904</v>
      </c>
      <c r="E2905">
        <v>25.3734</v>
      </c>
    </row>
    <row r="2906" spans="3:5" x14ac:dyDescent="0.35">
      <c r="C2906">
        <f t="shared" si="46"/>
        <v>1907</v>
      </c>
      <c r="D2906" s="7">
        <v>2905</v>
      </c>
      <c r="E2906">
        <v>26.187200000000001</v>
      </c>
    </row>
    <row r="2907" spans="3:5" x14ac:dyDescent="0.35">
      <c r="C2907">
        <f t="shared" si="46"/>
        <v>1907</v>
      </c>
      <c r="D2907" s="7">
        <v>2906</v>
      </c>
      <c r="E2907">
        <v>25.847200000000001</v>
      </c>
    </row>
    <row r="2908" spans="3:5" x14ac:dyDescent="0.35">
      <c r="C2908">
        <f t="shared" si="46"/>
        <v>1907</v>
      </c>
      <c r="D2908" s="7">
        <v>2907</v>
      </c>
      <c r="E2908">
        <v>26.509</v>
      </c>
    </row>
    <row r="2909" spans="3:5" x14ac:dyDescent="0.35">
      <c r="C2909">
        <f t="shared" si="46"/>
        <v>1907</v>
      </c>
      <c r="D2909" s="7">
        <v>2908</v>
      </c>
      <c r="E2909">
        <v>25.918600000000001</v>
      </c>
    </row>
    <row r="2910" spans="3:5" x14ac:dyDescent="0.35">
      <c r="C2910">
        <f t="shared" si="46"/>
        <v>1907</v>
      </c>
      <c r="D2910" s="7">
        <v>2909</v>
      </c>
      <c r="E2910">
        <v>25.9697</v>
      </c>
    </row>
    <row r="2911" spans="3:5" x14ac:dyDescent="0.35">
      <c r="C2911">
        <f t="shared" si="46"/>
        <v>1907</v>
      </c>
      <c r="D2911" s="7">
        <v>2910</v>
      </c>
      <c r="E2911">
        <v>26.6479</v>
      </c>
    </row>
    <row r="2912" spans="3:5" x14ac:dyDescent="0.35">
      <c r="C2912">
        <f t="shared" si="46"/>
        <v>1907</v>
      </c>
      <c r="D2912" s="7">
        <v>2911</v>
      </c>
      <c r="E2912">
        <v>26.779599999999999</v>
      </c>
    </row>
    <row r="2913" spans="3:5" x14ac:dyDescent="0.35">
      <c r="C2913">
        <f t="shared" si="46"/>
        <v>1907</v>
      </c>
      <c r="D2913" s="7">
        <v>2912</v>
      </c>
      <c r="E2913">
        <v>26.427299999999999</v>
      </c>
    </row>
    <row r="2914" spans="3:5" x14ac:dyDescent="0.35">
      <c r="C2914">
        <f t="shared" si="46"/>
        <v>1907</v>
      </c>
      <c r="D2914" s="7">
        <v>2913</v>
      </c>
      <c r="E2914">
        <v>26.470099999999999</v>
      </c>
    </row>
    <row r="2915" spans="3:5" x14ac:dyDescent="0.35">
      <c r="C2915">
        <f t="shared" si="46"/>
        <v>1907</v>
      </c>
      <c r="D2915" s="7">
        <v>2914</v>
      </c>
      <c r="E2915">
        <v>25.851900000000001</v>
      </c>
    </row>
    <row r="2916" spans="3:5" x14ac:dyDescent="0.35">
      <c r="C2916">
        <f t="shared" si="46"/>
        <v>1907</v>
      </c>
      <c r="D2916" s="7">
        <v>2915</v>
      </c>
      <c r="E2916">
        <v>25.7971</v>
      </c>
    </row>
    <row r="2917" spans="3:5" x14ac:dyDescent="0.35">
      <c r="C2917">
        <f t="shared" si="46"/>
        <v>1907</v>
      </c>
      <c r="D2917" s="7">
        <v>2916</v>
      </c>
      <c r="E2917">
        <v>25.554200000000002</v>
      </c>
    </row>
    <row r="2918" spans="3:5" x14ac:dyDescent="0.35">
      <c r="C2918">
        <f t="shared" si="46"/>
        <v>1907</v>
      </c>
      <c r="D2918" s="7">
        <v>2917</v>
      </c>
      <c r="E2918">
        <v>25.481999999999999</v>
      </c>
    </row>
    <row r="2919" spans="3:5" x14ac:dyDescent="0.35">
      <c r="C2919">
        <f t="shared" si="46"/>
        <v>1907</v>
      </c>
      <c r="D2919" s="7">
        <v>2918</v>
      </c>
      <c r="E2919">
        <v>25.456800000000001</v>
      </c>
    </row>
    <row r="2920" spans="3:5" x14ac:dyDescent="0.35">
      <c r="C2920">
        <f t="shared" si="46"/>
        <v>1907</v>
      </c>
      <c r="D2920" s="7">
        <v>2919</v>
      </c>
      <c r="E2920">
        <v>25.234999999999999</v>
      </c>
    </row>
    <row r="2921" spans="3:5" x14ac:dyDescent="0.35">
      <c r="C2921">
        <f t="shared" si="46"/>
        <v>1907</v>
      </c>
      <c r="D2921" s="7">
        <v>2920</v>
      </c>
      <c r="E2921">
        <v>26.235299999999999</v>
      </c>
    </row>
    <row r="2922" spans="3:5" x14ac:dyDescent="0.35">
      <c r="C2922">
        <f t="shared" si="46"/>
        <v>1907</v>
      </c>
      <c r="D2922" s="7">
        <v>2921</v>
      </c>
      <c r="E2922">
        <v>26.515999999999998</v>
      </c>
    </row>
    <row r="2923" spans="3:5" x14ac:dyDescent="0.35">
      <c r="C2923">
        <f t="shared" si="46"/>
        <v>1907</v>
      </c>
      <c r="D2923" s="7">
        <v>2922</v>
      </c>
      <c r="E2923">
        <v>26.189599999999999</v>
      </c>
    </row>
    <row r="2924" spans="3:5" x14ac:dyDescent="0.35">
      <c r="C2924">
        <f t="shared" si="46"/>
        <v>1908</v>
      </c>
      <c r="D2924" s="7">
        <v>2923</v>
      </c>
      <c r="E2924">
        <v>26.3659</v>
      </c>
    </row>
    <row r="2925" spans="3:5" x14ac:dyDescent="0.35">
      <c r="C2925">
        <f t="shared" si="46"/>
        <v>1908</v>
      </c>
      <c r="D2925" s="7">
        <v>2924</v>
      </c>
      <c r="E2925">
        <v>26.786300000000001</v>
      </c>
    </row>
    <row r="2926" spans="3:5" x14ac:dyDescent="0.35">
      <c r="C2926">
        <f t="shared" si="46"/>
        <v>1908</v>
      </c>
      <c r="D2926" s="7">
        <v>2925</v>
      </c>
      <c r="E2926">
        <v>27.4057</v>
      </c>
    </row>
    <row r="2927" spans="3:5" x14ac:dyDescent="0.35">
      <c r="C2927">
        <f t="shared" si="46"/>
        <v>1908</v>
      </c>
      <c r="D2927" s="7">
        <v>2926</v>
      </c>
      <c r="E2927">
        <v>27.65</v>
      </c>
    </row>
    <row r="2928" spans="3:5" x14ac:dyDescent="0.35">
      <c r="C2928">
        <f t="shared" si="46"/>
        <v>1908</v>
      </c>
      <c r="D2928" s="7">
        <v>2927</v>
      </c>
      <c r="E2928">
        <v>27.145800000000001</v>
      </c>
    </row>
    <row r="2929" spans="3:5" x14ac:dyDescent="0.35">
      <c r="C2929">
        <f t="shared" si="46"/>
        <v>1908</v>
      </c>
      <c r="D2929" s="7">
        <v>2928</v>
      </c>
      <c r="E2929">
        <v>28.013999999999999</v>
      </c>
    </row>
    <row r="2930" spans="3:5" x14ac:dyDescent="0.35">
      <c r="C2930">
        <f t="shared" si="46"/>
        <v>1908</v>
      </c>
      <c r="D2930" s="7">
        <v>2929</v>
      </c>
      <c r="E2930">
        <v>28.078900000000001</v>
      </c>
    </row>
    <row r="2931" spans="3:5" x14ac:dyDescent="0.35">
      <c r="C2931">
        <f t="shared" si="46"/>
        <v>1908</v>
      </c>
      <c r="D2931" s="7">
        <v>2930</v>
      </c>
      <c r="E2931">
        <v>27.724</v>
      </c>
    </row>
    <row r="2932" spans="3:5" x14ac:dyDescent="0.35">
      <c r="C2932">
        <f t="shared" si="46"/>
        <v>1908</v>
      </c>
      <c r="D2932" s="7">
        <v>2931</v>
      </c>
      <c r="E2932">
        <v>27.993400000000001</v>
      </c>
    </row>
    <row r="2933" spans="3:5" x14ac:dyDescent="0.35">
      <c r="C2933">
        <f t="shared" si="46"/>
        <v>1908</v>
      </c>
      <c r="D2933" s="7">
        <v>2932</v>
      </c>
      <c r="E2933">
        <v>27.5915</v>
      </c>
    </row>
    <row r="2934" spans="3:5" x14ac:dyDescent="0.35">
      <c r="C2934">
        <f t="shared" si="46"/>
        <v>1908</v>
      </c>
      <c r="D2934" s="7">
        <v>2933</v>
      </c>
      <c r="E2934">
        <v>28.0518</v>
      </c>
    </row>
    <row r="2935" spans="3:5" x14ac:dyDescent="0.35">
      <c r="C2935">
        <f t="shared" si="46"/>
        <v>1908</v>
      </c>
      <c r="D2935" s="7">
        <v>2934</v>
      </c>
      <c r="E2935">
        <v>27.332599999999999</v>
      </c>
    </row>
    <row r="2936" spans="3:5" x14ac:dyDescent="0.35">
      <c r="C2936">
        <f t="shared" si="46"/>
        <v>1908</v>
      </c>
      <c r="D2936" s="7">
        <v>2935</v>
      </c>
      <c r="E2936">
        <v>28.178599999999999</v>
      </c>
    </row>
    <row r="2937" spans="3:5" x14ac:dyDescent="0.35">
      <c r="C2937">
        <f t="shared" si="46"/>
        <v>1908</v>
      </c>
      <c r="D2937" s="7">
        <v>2936</v>
      </c>
      <c r="E2937">
        <v>28.129000000000001</v>
      </c>
    </row>
    <row r="2938" spans="3:5" x14ac:dyDescent="0.35">
      <c r="C2938">
        <f t="shared" si="46"/>
        <v>1908</v>
      </c>
      <c r="D2938" s="7">
        <v>2937</v>
      </c>
      <c r="E2938">
        <v>28.109500000000001</v>
      </c>
    </row>
    <row r="2939" spans="3:5" x14ac:dyDescent="0.35">
      <c r="C2939">
        <f t="shared" si="46"/>
        <v>1908</v>
      </c>
      <c r="D2939" s="7">
        <v>2938</v>
      </c>
      <c r="E2939">
        <v>27.532699999999998</v>
      </c>
    </row>
    <row r="2940" spans="3:5" x14ac:dyDescent="0.35">
      <c r="C2940">
        <f t="shared" si="46"/>
        <v>1908</v>
      </c>
      <c r="D2940" s="7">
        <v>2939</v>
      </c>
      <c r="E2940">
        <v>27.359400000000001</v>
      </c>
    </row>
    <row r="2941" spans="3:5" x14ac:dyDescent="0.35">
      <c r="C2941">
        <f t="shared" si="46"/>
        <v>1908</v>
      </c>
      <c r="D2941" s="7">
        <v>2940</v>
      </c>
      <c r="E2941">
        <v>27.0642</v>
      </c>
    </row>
    <row r="2942" spans="3:5" x14ac:dyDescent="0.35">
      <c r="C2942">
        <f t="shared" si="46"/>
        <v>1908</v>
      </c>
      <c r="D2942" s="7">
        <v>2941</v>
      </c>
      <c r="E2942">
        <v>28.037800000000001</v>
      </c>
    </row>
    <row r="2943" spans="3:5" x14ac:dyDescent="0.35">
      <c r="C2943">
        <f t="shared" si="46"/>
        <v>1908</v>
      </c>
      <c r="D2943" s="7">
        <v>2942</v>
      </c>
      <c r="E2943">
        <v>27.8</v>
      </c>
    </row>
    <row r="2944" spans="3:5" x14ac:dyDescent="0.35">
      <c r="C2944">
        <f t="shared" si="46"/>
        <v>1908</v>
      </c>
      <c r="D2944" s="7">
        <v>2943</v>
      </c>
      <c r="E2944">
        <v>26.949300000000001</v>
      </c>
    </row>
    <row r="2945" spans="3:5" x14ac:dyDescent="0.35">
      <c r="C2945">
        <f t="shared" si="46"/>
        <v>1908</v>
      </c>
      <c r="D2945" s="7">
        <v>2944</v>
      </c>
      <c r="E2945">
        <v>25.854399999999998</v>
      </c>
    </row>
    <row r="2946" spans="3:5" x14ac:dyDescent="0.35">
      <c r="C2946">
        <f t="shared" si="46"/>
        <v>1908</v>
      </c>
      <c r="D2946" s="7">
        <v>2945</v>
      </c>
      <c r="E2946">
        <v>26.472799999999999</v>
      </c>
    </row>
    <row r="2947" spans="3:5" x14ac:dyDescent="0.35">
      <c r="C2947">
        <f t="shared" ref="C2947:C3010" si="47">YEAR(D2947)</f>
        <v>1908</v>
      </c>
      <c r="D2947" s="7">
        <v>2946</v>
      </c>
      <c r="E2947">
        <v>25.6997</v>
      </c>
    </row>
    <row r="2948" spans="3:5" x14ac:dyDescent="0.35">
      <c r="C2948">
        <f t="shared" si="47"/>
        <v>1908</v>
      </c>
      <c r="D2948" s="7">
        <v>2947</v>
      </c>
      <c r="E2948">
        <v>25.421199999999999</v>
      </c>
    </row>
    <row r="2949" spans="3:5" x14ac:dyDescent="0.35">
      <c r="C2949">
        <f t="shared" si="47"/>
        <v>1908</v>
      </c>
      <c r="D2949" s="7">
        <v>2948</v>
      </c>
      <c r="E2949">
        <v>26.604199999999999</v>
      </c>
    </row>
    <row r="2950" spans="3:5" x14ac:dyDescent="0.35">
      <c r="C2950">
        <f t="shared" si="47"/>
        <v>1908</v>
      </c>
      <c r="D2950" s="7">
        <v>2949</v>
      </c>
      <c r="E2950">
        <v>26.96</v>
      </c>
    </row>
    <row r="2951" spans="3:5" x14ac:dyDescent="0.35">
      <c r="C2951">
        <f t="shared" si="47"/>
        <v>1908</v>
      </c>
      <c r="D2951" s="7">
        <v>2950</v>
      </c>
      <c r="E2951">
        <v>27.188700000000001</v>
      </c>
    </row>
    <row r="2952" spans="3:5" x14ac:dyDescent="0.35">
      <c r="C2952">
        <f t="shared" si="47"/>
        <v>1908</v>
      </c>
      <c r="D2952" s="7">
        <v>2951</v>
      </c>
      <c r="E2952">
        <v>27.627800000000001</v>
      </c>
    </row>
    <row r="2953" spans="3:5" x14ac:dyDescent="0.35">
      <c r="C2953">
        <f t="shared" si="47"/>
        <v>1908</v>
      </c>
      <c r="D2953" s="7">
        <v>2952</v>
      </c>
      <c r="E2953">
        <v>28.234400000000001</v>
      </c>
    </row>
    <row r="2954" spans="3:5" x14ac:dyDescent="0.35">
      <c r="C2954">
        <f t="shared" si="47"/>
        <v>1908</v>
      </c>
      <c r="D2954" s="7">
        <v>2953</v>
      </c>
      <c r="E2954">
        <v>28.62</v>
      </c>
    </row>
    <row r="2955" spans="3:5" x14ac:dyDescent="0.35">
      <c r="C2955">
        <f t="shared" si="47"/>
        <v>1908</v>
      </c>
      <c r="D2955" s="7">
        <v>2954</v>
      </c>
      <c r="E2955">
        <v>30.538799999999998</v>
      </c>
    </row>
    <row r="2956" spans="3:5" x14ac:dyDescent="0.35">
      <c r="C2956">
        <f t="shared" si="47"/>
        <v>1908</v>
      </c>
      <c r="D2956" s="7">
        <v>2955</v>
      </c>
      <c r="E2956">
        <v>31.177299999999999</v>
      </c>
    </row>
    <row r="2957" spans="3:5" x14ac:dyDescent="0.35">
      <c r="C2957">
        <f t="shared" si="47"/>
        <v>1908</v>
      </c>
      <c r="D2957" s="7">
        <v>2956</v>
      </c>
      <c r="E2957">
        <v>31.712499999999999</v>
      </c>
    </row>
    <row r="2958" spans="3:5" x14ac:dyDescent="0.35">
      <c r="C2958">
        <f t="shared" si="47"/>
        <v>1908</v>
      </c>
      <c r="D2958" s="7">
        <v>2957</v>
      </c>
      <c r="E2958">
        <v>31.872</v>
      </c>
    </row>
    <row r="2959" spans="3:5" x14ac:dyDescent="0.35">
      <c r="C2959">
        <f t="shared" si="47"/>
        <v>1908</v>
      </c>
      <c r="D2959" s="7">
        <v>2958</v>
      </c>
      <c r="E2959">
        <v>31.376999999999999</v>
      </c>
    </row>
    <row r="2960" spans="3:5" x14ac:dyDescent="0.35">
      <c r="C2960">
        <f t="shared" si="47"/>
        <v>1908</v>
      </c>
      <c r="D2960" s="7">
        <v>2959</v>
      </c>
      <c r="E2960">
        <v>30.052600000000002</v>
      </c>
    </row>
    <row r="2961" spans="3:5" x14ac:dyDescent="0.35">
      <c r="C2961">
        <f t="shared" si="47"/>
        <v>1908</v>
      </c>
      <c r="D2961" s="7">
        <v>2960</v>
      </c>
      <c r="E2961">
        <v>29.909700000000001</v>
      </c>
    </row>
    <row r="2962" spans="3:5" x14ac:dyDescent="0.35">
      <c r="C2962">
        <f t="shared" si="47"/>
        <v>1908</v>
      </c>
      <c r="D2962" s="7">
        <v>2961</v>
      </c>
      <c r="E2962">
        <v>29.2651</v>
      </c>
    </row>
    <row r="2963" spans="3:5" x14ac:dyDescent="0.35">
      <c r="C2963">
        <f t="shared" si="47"/>
        <v>1908</v>
      </c>
      <c r="D2963" s="7">
        <v>2962</v>
      </c>
      <c r="E2963">
        <v>29.464099999999998</v>
      </c>
    </row>
    <row r="2964" spans="3:5" x14ac:dyDescent="0.35">
      <c r="C2964">
        <f t="shared" si="47"/>
        <v>1908</v>
      </c>
      <c r="D2964" s="7">
        <v>2963</v>
      </c>
      <c r="E2964">
        <v>28.937100000000001</v>
      </c>
    </row>
    <row r="2965" spans="3:5" x14ac:dyDescent="0.35">
      <c r="C2965">
        <f t="shared" si="47"/>
        <v>1908</v>
      </c>
      <c r="D2965" s="7">
        <v>2964</v>
      </c>
      <c r="E2965">
        <v>28.0352</v>
      </c>
    </row>
    <row r="2966" spans="3:5" x14ac:dyDescent="0.35">
      <c r="C2966">
        <f t="shared" si="47"/>
        <v>1908</v>
      </c>
      <c r="D2966" s="7">
        <v>2965</v>
      </c>
      <c r="E2966">
        <v>26.016100000000002</v>
      </c>
    </row>
    <row r="2967" spans="3:5" x14ac:dyDescent="0.35">
      <c r="C2967">
        <f t="shared" si="47"/>
        <v>1908</v>
      </c>
      <c r="D2967" s="7">
        <v>2966</v>
      </c>
      <c r="E2967">
        <v>27.340499999999999</v>
      </c>
    </row>
    <row r="2968" spans="3:5" x14ac:dyDescent="0.35">
      <c r="C2968">
        <f t="shared" si="47"/>
        <v>1908</v>
      </c>
      <c r="D2968" s="7">
        <v>2967</v>
      </c>
      <c r="E2968">
        <v>28.622299999999999</v>
      </c>
    </row>
    <row r="2969" spans="3:5" x14ac:dyDescent="0.35">
      <c r="C2969">
        <f t="shared" si="47"/>
        <v>1908</v>
      </c>
      <c r="D2969" s="7">
        <v>2968</v>
      </c>
      <c r="E2969">
        <v>25.799199999999999</v>
      </c>
    </row>
    <row r="2970" spans="3:5" x14ac:dyDescent="0.35">
      <c r="C2970">
        <f t="shared" si="47"/>
        <v>1908</v>
      </c>
      <c r="D2970" s="7">
        <v>2969</v>
      </c>
      <c r="E2970">
        <v>24.699000000000002</v>
      </c>
    </row>
    <row r="2971" spans="3:5" x14ac:dyDescent="0.35">
      <c r="C2971">
        <f t="shared" si="47"/>
        <v>1908</v>
      </c>
      <c r="D2971" s="7">
        <v>2970</v>
      </c>
      <c r="E2971">
        <v>24.515699999999999</v>
      </c>
    </row>
    <row r="2972" spans="3:5" x14ac:dyDescent="0.35">
      <c r="C2972">
        <f t="shared" si="47"/>
        <v>1908</v>
      </c>
      <c r="D2972" s="7">
        <v>2971</v>
      </c>
      <c r="E2972">
        <v>23.7803</v>
      </c>
    </row>
    <row r="2973" spans="3:5" x14ac:dyDescent="0.35">
      <c r="C2973">
        <f t="shared" si="47"/>
        <v>1908</v>
      </c>
      <c r="D2973" s="7">
        <v>2972</v>
      </c>
      <c r="E2973">
        <v>23.805</v>
      </c>
    </row>
    <row r="2974" spans="3:5" x14ac:dyDescent="0.35">
      <c r="C2974">
        <f t="shared" si="47"/>
        <v>1908</v>
      </c>
      <c r="D2974" s="7">
        <v>2973</v>
      </c>
      <c r="E2974">
        <v>23.9819</v>
      </c>
    </row>
    <row r="2975" spans="3:5" x14ac:dyDescent="0.35">
      <c r="C2975">
        <f t="shared" si="47"/>
        <v>1908</v>
      </c>
      <c r="D2975" s="7">
        <v>2974</v>
      </c>
      <c r="E2975">
        <v>23.578399999999998</v>
      </c>
    </row>
    <row r="2976" spans="3:5" x14ac:dyDescent="0.35">
      <c r="C2976">
        <f t="shared" si="47"/>
        <v>1908</v>
      </c>
      <c r="D2976" s="7">
        <v>2975</v>
      </c>
      <c r="E2976">
        <v>23.991</v>
      </c>
    </row>
    <row r="2977" spans="3:5" x14ac:dyDescent="0.35">
      <c r="C2977">
        <f t="shared" si="47"/>
        <v>1908</v>
      </c>
      <c r="D2977" s="7">
        <v>2976</v>
      </c>
      <c r="E2977">
        <v>24.305700000000002</v>
      </c>
    </row>
    <row r="2978" spans="3:5" x14ac:dyDescent="0.35">
      <c r="C2978">
        <f t="shared" si="47"/>
        <v>1908</v>
      </c>
      <c r="D2978" s="7">
        <v>2977</v>
      </c>
      <c r="E2978">
        <v>26.288900000000002</v>
      </c>
    </row>
    <row r="2979" spans="3:5" x14ac:dyDescent="0.35">
      <c r="C2979">
        <f t="shared" si="47"/>
        <v>1908</v>
      </c>
      <c r="D2979" s="7">
        <v>2978</v>
      </c>
      <c r="E2979">
        <v>28.1812</v>
      </c>
    </row>
    <row r="2980" spans="3:5" x14ac:dyDescent="0.35">
      <c r="C2980">
        <f t="shared" si="47"/>
        <v>1908</v>
      </c>
      <c r="D2980" s="7">
        <v>2979</v>
      </c>
      <c r="E2980">
        <v>28.169499999999999</v>
      </c>
    </row>
    <row r="2981" spans="3:5" x14ac:dyDescent="0.35">
      <c r="C2981">
        <f t="shared" si="47"/>
        <v>1908</v>
      </c>
      <c r="D2981" s="7">
        <v>2980</v>
      </c>
      <c r="E2981">
        <v>28.452999999999999</v>
      </c>
    </row>
    <row r="2982" spans="3:5" x14ac:dyDescent="0.35">
      <c r="C2982">
        <f t="shared" si="47"/>
        <v>1908</v>
      </c>
      <c r="D2982" s="7">
        <v>2981</v>
      </c>
      <c r="E2982">
        <v>28.7395</v>
      </c>
    </row>
    <row r="2983" spans="3:5" x14ac:dyDescent="0.35">
      <c r="C2983">
        <f t="shared" si="47"/>
        <v>1908</v>
      </c>
      <c r="D2983" s="7">
        <v>2982</v>
      </c>
      <c r="E2983">
        <v>28.817799999999998</v>
      </c>
    </row>
    <row r="2984" spans="3:5" x14ac:dyDescent="0.35">
      <c r="C2984">
        <f t="shared" si="47"/>
        <v>1908</v>
      </c>
      <c r="D2984" s="7">
        <v>2983</v>
      </c>
      <c r="E2984">
        <v>29.356400000000001</v>
      </c>
    </row>
    <row r="2985" spans="3:5" x14ac:dyDescent="0.35">
      <c r="C2985">
        <f t="shared" si="47"/>
        <v>1908</v>
      </c>
      <c r="D2985" s="7">
        <v>2984</v>
      </c>
      <c r="E2985">
        <v>24.905799999999999</v>
      </c>
    </row>
    <row r="2986" spans="3:5" x14ac:dyDescent="0.35">
      <c r="C2986">
        <f t="shared" si="47"/>
        <v>1908</v>
      </c>
      <c r="D2986" s="7">
        <v>2985</v>
      </c>
      <c r="E2986">
        <v>23.114999999999998</v>
      </c>
    </row>
    <row r="2987" spans="3:5" x14ac:dyDescent="0.35">
      <c r="C2987">
        <f t="shared" si="47"/>
        <v>1908</v>
      </c>
      <c r="D2987" s="7">
        <v>2986</v>
      </c>
      <c r="E2987">
        <v>25.7286</v>
      </c>
    </row>
    <row r="2988" spans="3:5" x14ac:dyDescent="0.35">
      <c r="C2988">
        <f t="shared" si="47"/>
        <v>1908</v>
      </c>
      <c r="D2988" s="7">
        <v>2987</v>
      </c>
      <c r="E2988">
        <v>26.563400000000001</v>
      </c>
    </row>
    <row r="2989" spans="3:5" x14ac:dyDescent="0.35">
      <c r="C2989">
        <f t="shared" si="47"/>
        <v>1908</v>
      </c>
      <c r="D2989" s="7">
        <v>2988</v>
      </c>
      <c r="E2989">
        <v>27.417100000000001</v>
      </c>
    </row>
    <row r="2990" spans="3:5" x14ac:dyDescent="0.35">
      <c r="C2990">
        <f t="shared" si="47"/>
        <v>1908</v>
      </c>
      <c r="D2990" s="7">
        <v>2989</v>
      </c>
      <c r="E2990">
        <v>33.076900000000002</v>
      </c>
    </row>
    <row r="2991" spans="3:5" x14ac:dyDescent="0.35">
      <c r="C2991">
        <f t="shared" si="47"/>
        <v>1908</v>
      </c>
      <c r="D2991" s="7">
        <v>2990</v>
      </c>
      <c r="E2991">
        <v>30.543600000000001</v>
      </c>
    </row>
    <row r="2992" spans="3:5" x14ac:dyDescent="0.35">
      <c r="C2992">
        <f t="shared" si="47"/>
        <v>1908</v>
      </c>
      <c r="D2992" s="7">
        <v>2991</v>
      </c>
      <c r="E2992">
        <v>30.773800000000001</v>
      </c>
    </row>
    <row r="2993" spans="3:5" x14ac:dyDescent="0.35">
      <c r="C2993">
        <f t="shared" si="47"/>
        <v>1908</v>
      </c>
      <c r="D2993" s="7">
        <v>2992</v>
      </c>
      <c r="E2993">
        <v>27.339200000000002</v>
      </c>
    </row>
    <row r="2994" spans="3:5" x14ac:dyDescent="0.35">
      <c r="C2994">
        <f t="shared" si="47"/>
        <v>1908</v>
      </c>
      <c r="D2994" s="7">
        <v>2993</v>
      </c>
      <c r="E2994">
        <v>25.6374</v>
      </c>
    </row>
    <row r="2995" spans="3:5" x14ac:dyDescent="0.35">
      <c r="C2995">
        <f t="shared" si="47"/>
        <v>1908</v>
      </c>
      <c r="D2995" s="7">
        <v>2994</v>
      </c>
      <c r="E2995">
        <v>28.264299999999999</v>
      </c>
    </row>
    <row r="2996" spans="3:5" x14ac:dyDescent="0.35">
      <c r="C2996">
        <f t="shared" si="47"/>
        <v>1908</v>
      </c>
      <c r="D2996" s="7">
        <v>2995</v>
      </c>
      <c r="E2996">
        <v>29.93</v>
      </c>
    </row>
    <row r="2997" spans="3:5" x14ac:dyDescent="0.35">
      <c r="C2997">
        <f t="shared" si="47"/>
        <v>1908</v>
      </c>
      <c r="D2997" s="7">
        <v>2996</v>
      </c>
      <c r="E2997">
        <v>30.3782</v>
      </c>
    </row>
    <row r="2998" spans="3:5" x14ac:dyDescent="0.35">
      <c r="C2998">
        <f t="shared" si="47"/>
        <v>1908</v>
      </c>
      <c r="D2998" s="7">
        <v>2997</v>
      </c>
      <c r="E2998">
        <v>31.581499999999998</v>
      </c>
    </row>
    <row r="2999" spans="3:5" x14ac:dyDescent="0.35">
      <c r="C2999">
        <f t="shared" si="47"/>
        <v>1908</v>
      </c>
      <c r="D2999" s="7">
        <v>2998</v>
      </c>
      <c r="E2999">
        <v>31.3215</v>
      </c>
    </row>
    <row r="3000" spans="3:5" x14ac:dyDescent="0.35">
      <c r="C3000">
        <f t="shared" si="47"/>
        <v>1908</v>
      </c>
      <c r="D3000" s="7">
        <v>2999</v>
      </c>
      <c r="E3000">
        <v>33.585500000000003</v>
      </c>
    </row>
    <row r="3001" spans="3:5" x14ac:dyDescent="0.35">
      <c r="C3001">
        <f t="shared" si="47"/>
        <v>1908</v>
      </c>
      <c r="D3001" s="7">
        <v>3000</v>
      </c>
      <c r="E3001">
        <v>33.316699999999997</v>
      </c>
    </row>
    <row r="3002" spans="3:5" x14ac:dyDescent="0.35">
      <c r="C3002">
        <f t="shared" si="47"/>
        <v>1908</v>
      </c>
      <c r="D3002" s="7">
        <v>3001</v>
      </c>
      <c r="E3002">
        <v>33.252000000000002</v>
      </c>
    </row>
    <row r="3003" spans="3:5" x14ac:dyDescent="0.35">
      <c r="C3003">
        <f t="shared" si="47"/>
        <v>1908</v>
      </c>
      <c r="D3003" s="7">
        <v>3002</v>
      </c>
      <c r="E3003">
        <v>37.114400000000003</v>
      </c>
    </row>
    <row r="3004" spans="3:5" x14ac:dyDescent="0.35">
      <c r="C3004">
        <f t="shared" si="47"/>
        <v>1908</v>
      </c>
      <c r="D3004" s="7">
        <v>3003</v>
      </c>
      <c r="E3004">
        <v>35.575000000000003</v>
      </c>
    </row>
    <row r="3005" spans="3:5" x14ac:dyDescent="0.35">
      <c r="C3005">
        <f t="shared" si="47"/>
        <v>1908</v>
      </c>
      <c r="D3005" s="7">
        <v>3004</v>
      </c>
      <c r="E3005">
        <v>34.297800000000002</v>
      </c>
    </row>
    <row r="3006" spans="3:5" x14ac:dyDescent="0.35">
      <c r="C3006">
        <f t="shared" si="47"/>
        <v>1908</v>
      </c>
      <c r="D3006" s="7">
        <v>3005</v>
      </c>
      <c r="E3006">
        <v>34.181199999999997</v>
      </c>
    </row>
    <row r="3007" spans="3:5" x14ac:dyDescent="0.35">
      <c r="C3007">
        <f t="shared" si="47"/>
        <v>1908</v>
      </c>
      <c r="D3007" s="7">
        <v>3006</v>
      </c>
      <c r="E3007">
        <v>35.337800000000001</v>
      </c>
    </row>
    <row r="3008" spans="3:5" x14ac:dyDescent="0.35">
      <c r="C3008">
        <f t="shared" si="47"/>
        <v>1908</v>
      </c>
      <c r="D3008" s="7">
        <v>3007</v>
      </c>
      <c r="E3008">
        <v>34.963900000000002</v>
      </c>
    </row>
    <row r="3009" spans="3:5" x14ac:dyDescent="0.35">
      <c r="C3009">
        <f t="shared" si="47"/>
        <v>1908</v>
      </c>
      <c r="D3009" s="7">
        <v>3008</v>
      </c>
      <c r="E3009">
        <v>32.709299999999999</v>
      </c>
    </row>
    <row r="3010" spans="3:5" x14ac:dyDescent="0.35">
      <c r="C3010">
        <f t="shared" si="47"/>
        <v>1908</v>
      </c>
      <c r="D3010" s="7">
        <v>3009</v>
      </c>
      <c r="E3010">
        <v>32.639800000000001</v>
      </c>
    </row>
    <row r="3011" spans="3:5" x14ac:dyDescent="0.35">
      <c r="C3011">
        <f t="shared" ref="C3011:C3074" si="48">YEAR(D3011)</f>
        <v>1908</v>
      </c>
      <c r="D3011" s="7">
        <v>3010</v>
      </c>
      <c r="E3011">
        <v>34.330500000000001</v>
      </c>
    </row>
    <row r="3012" spans="3:5" x14ac:dyDescent="0.35">
      <c r="C3012">
        <f t="shared" si="48"/>
        <v>1908</v>
      </c>
      <c r="D3012" s="7">
        <v>3011</v>
      </c>
      <c r="E3012">
        <v>36.586599999999997</v>
      </c>
    </row>
    <row r="3013" spans="3:5" x14ac:dyDescent="0.35">
      <c r="C3013">
        <f t="shared" si="48"/>
        <v>1908</v>
      </c>
      <c r="D3013" s="7">
        <v>3012</v>
      </c>
      <c r="E3013">
        <v>36.035200000000003</v>
      </c>
    </row>
    <row r="3014" spans="3:5" x14ac:dyDescent="0.35">
      <c r="C3014">
        <f t="shared" si="48"/>
        <v>1908</v>
      </c>
      <c r="D3014" s="7">
        <v>3013</v>
      </c>
      <c r="E3014">
        <v>36.912500000000001</v>
      </c>
    </row>
    <row r="3015" spans="3:5" x14ac:dyDescent="0.35">
      <c r="C3015">
        <f t="shared" si="48"/>
        <v>1908</v>
      </c>
      <c r="D3015" s="7">
        <v>3014</v>
      </c>
      <c r="E3015">
        <v>36.799599999999998</v>
      </c>
    </row>
    <row r="3016" spans="3:5" x14ac:dyDescent="0.35">
      <c r="C3016">
        <f t="shared" si="48"/>
        <v>1908</v>
      </c>
      <c r="D3016" s="7">
        <v>3015</v>
      </c>
      <c r="E3016">
        <v>35.799799999999998</v>
      </c>
    </row>
    <row r="3017" spans="3:5" x14ac:dyDescent="0.35">
      <c r="C3017">
        <f t="shared" si="48"/>
        <v>1908</v>
      </c>
      <c r="D3017" s="7">
        <v>3016</v>
      </c>
      <c r="E3017">
        <v>34.615699999999997</v>
      </c>
    </row>
    <row r="3018" spans="3:5" x14ac:dyDescent="0.35">
      <c r="C3018">
        <f t="shared" si="48"/>
        <v>1908</v>
      </c>
      <c r="D3018" s="7">
        <v>3017</v>
      </c>
      <c r="E3018">
        <v>33.8337</v>
      </c>
    </row>
    <row r="3019" spans="3:5" x14ac:dyDescent="0.35">
      <c r="C3019">
        <f t="shared" si="48"/>
        <v>1908</v>
      </c>
      <c r="D3019" s="7">
        <v>3018</v>
      </c>
      <c r="E3019">
        <v>35.613500000000002</v>
      </c>
    </row>
    <row r="3020" spans="3:5" x14ac:dyDescent="0.35">
      <c r="C3020">
        <f t="shared" si="48"/>
        <v>1908</v>
      </c>
      <c r="D3020" s="7">
        <v>3019</v>
      </c>
      <c r="E3020">
        <v>36.113100000000003</v>
      </c>
    </row>
    <row r="3021" spans="3:5" x14ac:dyDescent="0.35">
      <c r="C3021">
        <f t="shared" si="48"/>
        <v>1908</v>
      </c>
      <c r="D3021" s="7">
        <v>3020</v>
      </c>
      <c r="E3021">
        <v>37.249000000000002</v>
      </c>
    </row>
    <row r="3022" spans="3:5" x14ac:dyDescent="0.35">
      <c r="C3022">
        <f t="shared" si="48"/>
        <v>1908</v>
      </c>
      <c r="D3022" s="7">
        <v>3021</v>
      </c>
      <c r="E3022">
        <v>37.283099999999997</v>
      </c>
    </row>
    <row r="3023" spans="3:5" x14ac:dyDescent="0.35">
      <c r="C3023">
        <f t="shared" si="48"/>
        <v>1908</v>
      </c>
      <c r="D3023" s="7">
        <v>3022</v>
      </c>
      <c r="E3023">
        <v>37.083399999999997</v>
      </c>
    </row>
    <row r="3024" spans="3:5" x14ac:dyDescent="0.35">
      <c r="C3024">
        <f t="shared" si="48"/>
        <v>1908</v>
      </c>
      <c r="D3024" s="7">
        <v>3023</v>
      </c>
      <c r="E3024">
        <v>35.2607</v>
      </c>
    </row>
    <row r="3025" spans="3:5" x14ac:dyDescent="0.35">
      <c r="C3025">
        <f t="shared" si="48"/>
        <v>1908</v>
      </c>
      <c r="D3025" s="7">
        <v>3024</v>
      </c>
      <c r="E3025">
        <v>36.9666</v>
      </c>
    </row>
    <row r="3026" spans="3:5" x14ac:dyDescent="0.35">
      <c r="C3026">
        <f t="shared" si="48"/>
        <v>1908</v>
      </c>
      <c r="D3026" s="7">
        <v>3025</v>
      </c>
      <c r="E3026">
        <v>36.188600000000001</v>
      </c>
    </row>
    <row r="3027" spans="3:5" x14ac:dyDescent="0.35">
      <c r="C3027">
        <f t="shared" si="48"/>
        <v>1908</v>
      </c>
      <c r="D3027" s="7">
        <v>3026</v>
      </c>
      <c r="E3027">
        <v>34.592399999999998</v>
      </c>
    </row>
    <row r="3028" spans="3:5" x14ac:dyDescent="0.35">
      <c r="C3028">
        <f t="shared" si="48"/>
        <v>1908</v>
      </c>
      <c r="D3028" s="7">
        <v>3027</v>
      </c>
      <c r="E3028">
        <v>35.6175</v>
      </c>
    </row>
    <row r="3029" spans="3:5" x14ac:dyDescent="0.35">
      <c r="C3029">
        <f t="shared" si="48"/>
        <v>1908</v>
      </c>
      <c r="D3029" s="7">
        <v>3028</v>
      </c>
      <c r="E3029">
        <v>34.4602</v>
      </c>
    </row>
    <row r="3030" spans="3:5" x14ac:dyDescent="0.35">
      <c r="C3030">
        <f t="shared" si="48"/>
        <v>1908</v>
      </c>
      <c r="D3030" s="7">
        <v>3029</v>
      </c>
      <c r="E3030">
        <v>33.240299999999998</v>
      </c>
    </row>
    <row r="3031" spans="3:5" x14ac:dyDescent="0.35">
      <c r="C3031">
        <f t="shared" si="48"/>
        <v>1908</v>
      </c>
      <c r="D3031" s="7">
        <v>3030</v>
      </c>
      <c r="E3031">
        <v>29.5535</v>
      </c>
    </row>
    <row r="3032" spans="3:5" x14ac:dyDescent="0.35">
      <c r="C3032">
        <f t="shared" si="48"/>
        <v>1908</v>
      </c>
      <c r="D3032" s="7">
        <v>3031</v>
      </c>
      <c r="E3032">
        <v>32.029200000000003</v>
      </c>
    </row>
    <row r="3033" spans="3:5" x14ac:dyDescent="0.35">
      <c r="C3033">
        <f t="shared" si="48"/>
        <v>1908</v>
      </c>
      <c r="D3033" s="7">
        <v>3032</v>
      </c>
      <c r="E3033">
        <v>29.9054</v>
      </c>
    </row>
    <row r="3034" spans="3:5" x14ac:dyDescent="0.35">
      <c r="C3034">
        <f t="shared" si="48"/>
        <v>1908</v>
      </c>
      <c r="D3034" s="7">
        <v>3033</v>
      </c>
      <c r="E3034">
        <v>29.329699999999999</v>
      </c>
    </row>
    <row r="3035" spans="3:5" x14ac:dyDescent="0.35">
      <c r="C3035">
        <f t="shared" si="48"/>
        <v>1908</v>
      </c>
      <c r="D3035" s="7">
        <v>3034</v>
      </c>
      <c r="E3035">
        <v>30.405899999999999</v>
      </c>
    </row>
    <row r="3036" spans="3:5" x14ac:dyDescent="0.35">
      <c r="C3036">
        <f t="shared" si="48"/>
        <v>1908</v>
      </c>
      <c r="D3036" s="7">
        <v>3035</v>
      </c>
      <c r="E3036">
        <v>29.828600000000002</v>
      </c>
    </row>
    <row r="3037" spans="3:5" x14ac:dyDescent="0.35">
      <c r="C3037">
        <f t="shared" si="48"/>
        <v>1908</v>
      </c>
      <c r="D3037" s="7">
        <v>3036</v>
      </c>
      <c r="E3037">
        <v>28.3733</v>
      </c>
    </row>
    <row r="3038" spans="3:5" x14ac:dyDescent="0.35">
      <c r="C3038">
        <f t="shared" si="48"/>
        <v>1908</v>
      </c>
      <c r="D3038" s="7">
        <v>3037</v>
      </c>
      <c r="E3038">
        <v>28.373100000000001</v>
      </c>
    </row>
    <row r="3039" spans="3:5" x14ac:dyDescent="0.35">
      <c r="C3039">
        <f t="shared" si="48"/>
        <v>1908</v>
      </c>
      <c r="D3039" s="7">
        <v>3038</v>
      </c>
      <c r="E3039">
        <v>26.825600000000001</v>
      </c>
    </row>
    <row r="3040" spans="3:5" x14ac:dyDescent="0.35">
      <c r="C3040">
        <f t="shared" si="48"/>
        <v>1908</v>
      </c>
      <c r="D3040" s="7">
        <v>3039</v>
      </c>
      <c r="E3040">
        <v>28.252099999999999</v>
      </c>
    </row>
    <row r="3041" spans="3:5" x14ac:dyDescent="0.35">
      <c r="C3041">
        <f t="shared" si="48"/>
        <v>1908</v>
      </c>
      <c r="D3041" s="7">
        <v>3040</v>
      </c>
      <c r="E3041">
        <v>27.333400000000001</v>
      </c>
    </row>
    <row r="3042" spans="3:5" x14ac:dyDescent="0.35">
      <c r="C3042">
        <f t="shared" si="48"/>
        <v>1908</v>
      </c>
      <c r="D3042" s="7">
        <v>3041</v>
      </c>
      <c r="E3042">
        <v>27.932500000000001</v>
      </c>
    </row>
    <row r="3043" spans="3:5" x14ac:dyDescent="0.35">
      <c r="C3043">
        <f t="shared" si="48"/>
        <v>1908</v>
      </c>
      <c r="D3043" s="7">
        <v>3042</v>
      </c>
      <c r="E3043">
        <v>28.645600000000002</v>
      </c>
    </row>
    <row r="3044" spans="3:5" x14ac:dyDescent="0.35">
      <c r="C3044">
        <f t="shared" si="48"/>
        <v>1908</v>
      </c>
      <c r="D3044" s="7">
        <v>3043</v>
      </c>
      <c r="E3044">
        <v>30.1938</v>
      </c>
    </row>
    <row r="3045" spans="3:5" x14ac:dyDescent="0.35">
      <c r="C3045">
        <f t="shared" si="48"/>
        <v>1908</v>
      </c>
      <c r="D3045" s="7">
        <v>3044</v>
      </c>
      <c r="E3045">
        <v>30.7164</v>
      </c>
    </row>
    <row r="3046" spans="3:5" x14ac:dyDescent="0.35">
      <c r="C3046">
        <f t="shared" si="48"/>
        <v>1908</v>
      </c>
      <c r="D3046" s="7">
        <v>3045</v>
      </c>
      <c r="E3046">
        <v>30.649100000000001</v>
      </c>
    </row>
    <row r="3047" spans="3:5" x14ac:dyDescent="0.35">
      <c r="C3047">
        <f t="shared" si="48"/>
        <v>1908</v>
      </c>
      <c r="D3047" s="7">
        <v>3046</v>
      </c>
      <c r="E3047">
        <v>30.411300000000001</v>
      </c>
    </row>
    <row r="3048" spans="3:5" x14ac:dyDescent="0.35">
      <c r="C3048">
        <f t="shared" si="48"/>
        <v>1908</v>
      </c>
      <c r="D3048" s="7">
        <v>3047</v>
      </c>
      <c r="E3048">
        <v>30.4102</v>
      </c>
    </row>
    <row r="3049" spans="3:5" x14ac:dyDescent="0.35">
      <c r="C3049">
        <f t="shared" si="48"/>
        <v>1908</v>
      </c>
      <c r="D3049" s="7">
        <v>3048</v>
      </c>
      <c r="E3049">
        <v>31.1602</v>
      </c>
    </row>
    <row r="3050" spans="3:5" x14ac:dyDescent="0.35">
      <c r="C3050">
        <f t="shared" si="48"/>
        <v>1908</v>
      </c>
      <c r="D3050" s="7">
        <v>3049</v>
      </c>
      <c r="E3050">
        <v>30.456299999999999</v>
      </c>
    </row>
    <row r="3051" spans="3:5" x14ac:dyDescent="0.35">
      <c r="C3051">
        <f t="shared" si="48"/>
        <v>1908</v>
      </c>
      <c r="D3051" s="7">
        <v>3050</v>
      </c>
      <c r="E3051">
        <v>30.072500000000002</v>
      </c>
    </row>
    <row r="3052" spans="3:5" x14ac:dyDescent="0.35">
      <c r="C3052">
        <f t="shared" si="48"/>
        <v>1908</v>
      </c>
      <c r="D3052" s="7">
        <v>3051</v>
      </c>
      <c r="E3052">
        <v>30.2166</v>
      </c>
    </row>
    <row r="3053" spans="3:5" x14ac:dyDescent="0.35">
      <c r="C3053">
        <f t="shared" si="48"/>
        <v>1908</v>
      </c>
      <c r="D3053" s="7">
        <v>3052</v>
      </c>
      <c r="E3053">
        <v>31.4284</v>
      </c>
    </row>
    <row r="3054" spans="3:5" x14ac:dyDescent="0.35">
      <c r="C3054">
        <f t="shared" si="48"/>
        <v>1908</v>
      </c>
      <c r="D3054" s="7">
        <v>3053</v>
      </c>
      <c r="E3054">
        <v>34.7271</v>
      </c>
    </row>
    <row r="3055" spans="3:5" x14ac:dyDescent="0.35">
      <c r="C3055">
        <f t="shared" si="48"/>
        <v>1908</v>
      </c>
      <c r="D3055" s="7">
        <v>3054</v>
      </c>
      <c r="E3055">
        <v>35.531500000000001</v>
      </c>
    </row>
    <row r="3056" spans="3:5" x14ac:dyDescent="0.35">
      <c r="C3056">
        <f t="shared" si="48"/>
        <v>1908</v>
      </c>
      <c r="D3056" s="7">
        <v>3055</v>
      </c>
      <c r="E3056">
        <v>35.135800000000003</v>
      </c>
    </row>
    <row r="3057" spans="3:5" x14ac:dyDescent="0.35">
      <c r="C3057">
        <f t="shared" si="48"/>
        <v>1908</v>
      </c>
      <c r="D3057" s="7">
        <v>3056</v>
      </c>
      <c r="E3057">
        <v>36.224600000000002</v>
      </c>
    </row>
    <row r="3058" spans="3:5" x14ac:dyDescent="0.35">
      <c r="C3058">
        <f t="shared" si="48"/>
        <v>1908</v>
      </c>
      <c r="D3058" s="7">
        <v>3057</v>
      </c>
      <c r="E3058">
        <v>36.762799999999999</v>
      </c>
    </row>
    <row r="3059" spans="3:5" x14ac:dyDescent="0.35">
      <c r="C3059">
        <f t="shared" si="48"/>
        <v>1908</v>
      </c>
      <c r="D3059" s="7">
        <v>3058</v>
      </c>
      <c r="E3059">
        <v>37.984400000000001</v>
      </c>
    </row>
    <row r="3060" spans="3:5" x14ac:dyDescent="0.35">
      <c r="C3060">
        <f t="shared" si="48"/>
        <v>1908</v>
      </c>
      <c r="D3060" s="7">
        <v>3059</v>
      </c>
      <c r="E3060">
        <v>38.1374</v>
      </c>
    </row>
    <row r="3061" spans="3:5" x14ac:dyDescent="0.35">
      <c r="C3061">
        <f t="shared" si="48"/>
        <v>1908</v>
      </c>
      <c r="D3061" s="7">
        <v>3060</v>
      </c>
      <c r="E3061">
        <v>38.975000000000001</v>
      </c>
    </row>
    <row r="3062" spans="3:5" x14ac:dyDescent="0.35">
      <c r="C3062">
        <f t="shared" si="48"/>
        <v>1908</v>
      </c>
      <c r="D3062" s="7">
        <v>3061</v>
      </c>
      <c r="E3062">
        <v>38.350299999999997</v>
      </c>
    </row>
    <row r="3063" spans="3:5" x14ac:dyDescent="0.35">
      <c r="C3063">
        <f t="shared" si="48"/>
        <v>1908</v>
      </c>
      <c r="D3063" s="7">
        <v>3062</v>
      </c>
      <c r="E3063">
        <v>39.2438</v>
      </c>
    </row>
    <row r="3064" spans="3:5" x14ac:dyDescent="0.35">
      <c r="C3064">
        <f t="shared" si="48"/>
        <v>1908</v>
      </c>
      <c r="D3064" s="7">
        <v>3063</v>
      </c>
      <c r="E3064">
        <v>40.051600000000001</v>
      </c>
    </row>
    <row r="3065" spans="3:5" x14ac:dyDescent="0.35">
      <c r="C3065">
        <f t="shared" si="48"/>
        <v>1908</v>
      </c>
      <c r="D3065" s="7">
        <v>3064</v>
      </c>
      <c r="E3065">
        <v>39.818899999999999</v>
      </c>
    </row>
    <row r="3066" spans="3:5" x14ac:dyDescent="0.35">
      <c r="C3066">
        <f t="shared" si="48"/>
        <v>1908</v>
      </c>
      <c r="D3066" s="7">
        <v>3065</v>
      </c>
      <c r="E3066">
        <v>40.408999999999999</v>
      </c>
    </row>
    <row r="3067" spans="3:5" x14ac:dyDescent="0.35">
      <c r="C3067">
        <f t="shared" si="48"/>
        <v>1908</v>
      </c>
      <c r="D3067" s="7">
        <v>3066</v>
      </c>
      <c r="E3067">
        <v>40.379199999999997</v>
      </c>
    </row>
    <row r="3068" spans="3:5" x14ac:dyDescent="0.35">
      <c r="C3068">
        <f t="shared" si="48"/>
        <v>1908</v>
      </c>
      <c r="D3068" s="7">
        <v>3067</v>
      </c>
      <c r="E3068">
        <v>42.103999999999999</v>
      </c>
    </row>
    <row r="3069" spans="3:5" x14ac:dyDescent="0.35">
      <c r="C3069">
        <f t="shared" si="48"/>
        <v>1908</v>
      </c>
      <c r="D3069" s="7">
        <v>3068</v>
      </c>
      <c r="E3069">
        <v>42.254100000000001</v>
      </c>
    </row>
    <row r="3070" spans="3:5" x14ac:dyDescent="0.35">
      <c r="C3070">
        <f t="shared" si="48"/>
        <v>1908</v>
      </c>
      <c r="D3070" s="7">
        <v>3069</v>
      </c>
      <c r="E3070">
        <v>43.811300000000003</v>
      </c>
    </row>
    <row r="3071" spans="3:5" x14ac:dyDescent="0.35">
      <c r="C3071">
        <f t="shared" si="48"/>
        <v>1908</v>
      </c>
      <c r="D3071" s="7">
        <v>3070</v>
      </c>
      <c r="E3071">
        <v>43.533099999999997</v>
      </c>
    </row>
    <row r="3072" spans="3:5" x14ac:dyDescent="0.35">
      <c r="C3072">
        <f t="shared" si="48"/>
        <v>1908</v>
      </c>
      <c r="D3072" s="7">
        <v>3071</v>
      </c>
      <c r="E3072">
        <v>44.116500000000002</v>
      </c>
    </row>
    <row r="3073" spans="3:5" x14ac:dyDescent="0.35">
      <c r="C3073">
        <f t="shared" si="48"/>
        <v>1908</v>
      </c>
      <c r="D3073" s="7">
        <v>3072</v>
      </c>
      <c r="E3073">
        <v>43.2988</v>
      </c>
    </row>
    <row r="3074" spans="3:5" x14ac:dyDescent="0.35">
      <c r="C3074">
        <f t="shared" si="48"/>
        <v>1908</v>
      </c>
      <c r="D3074" s="7">
        <v>3073</v>
      </c>
      <c r="E3074">
        <v>45.132800000000003</v>
      </c>
    </row>
    <row r="3075" spans="3:5" x14ac:dyDescent="0.35">
      <c r="C3075">
        <f t="shared" ref="C3075:C3138" si="49">YEAR(D3075)</f>
        <v>1908</v>
      </c>
      <c r="D3075" s="7">
        <v>3074</v>
      </c>
      <c r="E3075">
        <v>45.035200000000003</v>
      </c>
    </row>
    <row r="3076" spans="3:5" x14ac:dyDescent="0.35">
      <c r="C3076">
        <f t="shared" si="49"/>
        <v>1908</v>
      </c>
      <c r="D3076" s="7">
        <v>3075</v>
      </c>
      <c r="E3076">
        <v>45.4495</v>
      </c>
    </row>
    <row r="3077" spans="3:5" x14ac:dyDescent="0.35">
      <c r="C3077">
        <f t="shared" si="49"/>
        <v>1908</v>
      </c>
      <c r="D3077" s="7">
        <v>3076</v>
      </c>
      <c r="E3077">
        <v>48.059100000000001</v>
      </c>
    </row>
    <row r="3078" spans="3:5" x14ac:dyDescent="0.35">
      <c r="C3078">
        <f t="shared" si="49"/>
        <v>1908</v>
      </c>
      <c r="D3078" s="7">
        <v>3077</v>
      </c>
      <c r="E3078">
        <v>47.137700000000002</v>
      </c>
    </row>
    <row r="3079" spans="3:5" x14ac:dyDescent="0.35">
      <c r="C3079">
        <f t="shared" si="49"/>
        <v>1908</v>
      </c>
      <c r="D3079" s="7">
        <v>3078</v>
      </c>
      <c r="E3079">
        <v>47.419800000000002</v>
      </c>
    </row>
    <row r="3080" spans="3:5" x14ac:dyDescent="0.35">
      <c r="C3080">
        <f t="shared" si="49"/>
        <v>1908</v>
      </c>
      <c r="D3080" s="7">
        <v>3079</v>
      </c>
      <c r="E3080">
        <v>47.8093</v>
      </c>
    </row>
    <row r="3081" spans="3:5" x14ac:dyDescent="0.35">
      <c r="C3081">
        <f t="shared" si="49"/>
        <v>1908</v>
      </c>
      <c r="D3081" s="7">
        <v>3080</v>
      </c>
      <c r="E3081">
        <v>46.2303</v>
      </c>
    </row>
    <row r="3082" spans="3:5" x14ac:dyDescent="0.35">
      <c r="C3082">
        <f t="shared" si="49"/>
        <v>1908</v>
      </c>
      <c r="D3082" s="7">
        <v>3081</v>
      </c>
      <c r="E3082">
        <v>46.704000000000001</v>
      </c>
    </row>
    <row r="3083" spans="3:5" x14ac:dyDescent="0.35">
      <c r="C3083">
        <f t="shared" si="49"/>
        <v>1908</v>
      </c>
      <c r="D3083" s="7">
        <v>3082</v>
      </c>
      <c r="E3083">
        <v>47.448999999999998</v>
      </c>
    </row>
    <row r="3084" spans="3:5" x14ac:dyDescent="0.35">
      <c r="C3084">
        <f t="shared" si="49"/>
        <v>1908</v>
      </c>
      <c r="D3084" s="7">
        <v>3083</v>
      </c>
      <c r="E3084">
        <v>47.331099999999999</v>
      </c>
    </row>
    <row r="3085" spans="3:5" x14ac:dyDescent="0.35">
      <c r="C3085">
        <f t="shared" si="49"/>
        <v>1908</v>
      </c>
      <c r="D3085" s="7">
        <v>3084</v>
      </c>
      <c r="E3085">
        <v>46.143500000000003</v>
      </c>
    </row>
    <row r="3086" spans="3:5" x14ac:dyDescent="0.35">
      <c r="C3086">
        <f t="shared" si="49"/>
        <v>1908</v>
      </c>
      <c r="D3086" s="7">
        <v>3085</v>
      </c>
      <c r="E3086">
        <v>45.641300000000001</v>
      </c>
    </row>
    <row r="3087" spans="3:5" x14ac:dyDescent="0.35">
      <c r="C3087">
        <f t="shared" si="49"/>
        <v>1908</v>
      </c>
      <c r="D3087" s="7">
        <v>3086</v>
      </c>
      <c r="E3087">
        <v>45.514499999999998</v>
      </c>
    </row>
    <row r="3088" spans="3:5" x14ac:dyDescent="0.35">
      <c r="C3088">
        <f t="shared" si="49"/>
        <v>1908</v>
      </c>
      <c r="D3088" s="7">
        <v>3087</v>
      </c>
      <c r="E3088">
        <v>45.3947</v>
      </c>
    </row>
    <row r="3089" spans="3:5" x14ac:dyDescent="0.35">
      <c r="C3089">
        <f t="shared" si="49"/>
        <v>1908</v>
      </c>
      <c r="D3089" s="7">
        <v>3088</v>
      </c>
      <c r="E3089">
        <v>44.127299999999998</v>
      </c>
    </row>
    <row r="3090" spans="3:5" x14ac:dyDescent="0.35">
      <c r="C3090">
        <f t="shared" si="49"/>
        <v>1908</v>
      </c>
      <c r="D3090" s="7">
        <v>3089</v>
      </c>
      <c r="E3090">
        <v>44.647100000000002</v>
      </c>
    </row>
    <row r="3091" spans="3:5" x14ac:dyDescent="0.35">
      <c r="C3091">
        <f t="shared" si="49"/>
        <v>1908</v>
      </c>
      <c r="D3091" s="7">
        <v>3090</v>
      </c>
      <c r="E3091">
        <v>45.788200000000003</v>
      </c>
    </row>
    <row r="3092" spans="3:5" x14ac:dyDescent="0.35">
      <c r="C3092">
        <f t="shared" si="49"/>
        <v>1908</v>
      </c>
      <c r="D3092" s="7">
        <v>3091</v>
      </c>
      <c r="E3092">
        <v>46.231299999999997</v>
      </c>
    </row>
    <row r="3093" spans="3:5" x14ac:dyDescent="0.35">
      <c r="C3093">
        <f t="shared" si="49"/>
        <v>1908</v>
      </c>
      <c r="D3093" s="7">
        <v>3092</v>
      </c>
      <c r="E3093">
        <v>51.4101</v>
      </c>
    </row>
    <row r="3094" spans="3:5" x14ac:dyDescent="0.35">
      <c r="C3094">
        <f t="shared" si="49"/>
        <v>1908</v>
      </c>
      <c r="D3094" s="7">
        <v>3093</v>
      </c>
      <c r="E3094">
        <v>50.752099999999999</v>
      </c>
    </row>
    <row r="3095" spans="3:5" x14ac:dyDescent="0.35">
      <c r="C3095">
        <f t="shared" si="49"/>
        <v>1908</v>
      </c>
      <c r="D3095" s="7">
        <v>3094</v>
      </c>
      <c r="E3095">
        <v>50.264699999999998</v>
      </c>
    </row>
    <row r="3096" spans="3:5" x14ac:dyDescent="0.35">
      <c r="C3096">
        <f t="shared" si="49"/>
        <v>1908</v>
      </c>
      <c r="D3096" s="7">
        <v>3095</v>
      </c>
      <c r="E3096">
        <v>49.060200000000002</v>
      </c>
    </row>
    <row r="3097" spans="3:5" x14ac:dyDescent="0.35">
      <c r="C3097">
        <f t="shared" si="49"/>
        <v>1908</v>
      </c>
      <c r="D3097" s="7">
        <v>3096</v>
      </c>
      <c r="E3097">
        <v>49.027500000000003</v>
      </c>
    </row>
    <row r="3098" spans="3:5" x14ac:dyDescent="0.35">
      <c r="C3098">
        <f t="shared" si="49"/>
        <v>1908</v>
      </c>
      <c r="D3098" s="7">
        <v>3097</v>
      </c>
      <c r="E3098">
        <v>49.164099999999998</v>
      </c>
    </row>
    <row r="3099" spans="3:5" x14ac:dyDescent="0.35">
      <c r="C3099">
        <f t="shared" si="49"/>
        <v>1908</v>
      </c>
      <c r="D3099" s="7">
        <v>3098</v>
      </c>
      <c r="E3099">
        <v>46.604399999999998</v>
      </c>
    </row>
    <row r="3100" spans="3:5" x14ac:dyDescent="0.35">
      <c r="C3100">
        <f t="shared" si="49"/>
        <v>1908</v>
      </c>
      <c r="D3100" s="7">
        <v>3099</v>
      </c>
      <c r="E3100">
        <v>47.345500000000001</v>
      </c>
    </row>
    <row r="3101" spans="3:5" x14ac:dyDescent="0.35">
      <c r="C3101">
        <f t="shared" si="49"/>
        <v>1908</v>
      </c>
      <c r="D3101" s="7">
        <v>3100</v>
      </c>
      <c r="E3101">
        <v>45.020400000000002</v>
      </c>
    </row>
    <row r="3102" spans="3:5" x14ac:dyDescent="0.35">
      <c r="C3102">
        <f t="shared" si="49"/>
        <v>1908</v>
      </c>
      <c r="D3102" s="7">
        <v>3101</v>
      </c>
      <c r="E3102">
        <v>46.403100000000002</v>
      </c>
    </row>
    <row r="3103" spans="3:5" x14ac:dyDescent="0.35">
      <c r="C3103">
        <f t="shared" si="49"/>
        <v>1908</v>
      </c>
      <c r="D3103" s="7">
        <v>3102</v>
      </c>
      <c r="E3103">
        <v>46.642699999999998</v>
      </c>
    </row>
    <row r="3104" spans="3:5" x14ac:dyDescent="0.35">
      <c r="C3104">
        <f t="shared" si="49"/>
        <v>1908</v>
      </c>
      <c r="D3104" s="7">
        <v>3103</v>
      </c>
      <c r="E3104">
        <v>48.110900000000001</v>
      </c>
    </row>
    <row r="3105" spans="3:5" x14ac:dyDescent="0.35">
      <c r="C3105">
        <f t="shared" si="49"/>
        <v>1908</v>
      </c>
      <c r="D3105" s="7">
        <v>3104</v>
      </c>
      <c r="E3105">
        <v>46.283900000000003</v>
      </c>
    </row>
    <row r="3106" spans="3:5" x14ac:dyDescent="0.35">
      <c r="C3106">
        <f t="shared" si="49"/>
        <v>1908</v>
      </c>
      <c r="D3106" s="7">
        <v>3105</v>
      </c>
      <c r="E3106">
        <v>47.1995</v>
      </c>
    </row>
    <row r="3107" spans="3:5" x14ac:dyDescent="0.35">
      <c r="C3107">
        <f t="shared" si="49"/>
        <v>1908</v>
      </c>
      <c r="D3107" s="7">
        <v>3106</v>
      </c>
      <c r="E3107">
        <v>50.825699999999998</v>
      </c>
    </row>
    <row r="3108" spans="3:5" x14ac:dyDescent="0.35">
      <c r="C3108">
        <f t="shared" si="49"/>
        <v>1908</v>
      </c>
      <c r="D3108" s="7">
        <v>3107</v>
      </c>
      <c r="E3108">
        <v>50.881500000000003</v>
      </c>
    </row>
    <row r="3109" spans="3:5" x14ac:dyDescent="0.35">
      <c r="C3109">
        <f t="shared" si="49"/>
        <v>1908</v>
      </c>
      <c r="D3109" s="7">
        <v>3108</v>
      </c>
      <c r="E3109">
        <v>49.657699999999998</v>
      </c>
    </row>
    <row r="3110" spans="3:5" x14ac:dyDescent="0.35">
      <c r="C3110">
        <f t="shared" si="49"/>
        <v>1908</v>
      </c>
      <c r="D3110" s="7">
        <v>3109</v>
      </c>
      <c r="E3110">
        <v>49.332000000000001</v>
      </c>
    </row>
    <row r="3111" spans="3:5" x14ac:dyDescent="0.35">
      <c r="C3111">
        <f t="shared" si="49"/>
        <v>1908</v>
      </c>
      <c r="D3111" s="7">
        <v>3110</v>
      </c>
      <c r="E3111">
        <v>51.032299999999999</v>
      </c>
    </row>
    <row r="3112" spans="3:5" x14ac:dyDescent="0.35">
      <c r="C3112">
        <f t="shared" si="49"/>
        <v>1908</v>
      </c>
      <c r="D3112" s="7">
        <v>3111</v>
      </c>
      <c r="E3112">
        <v>49.633800000000001</v>
      </c>
    </row>
    <row r="3113" spans="3:5" x14ac:dyDescent="0.35">
      <c r="C3113">
        <f t="shared" si="49"/>
        <v>1908</v>
      </c>
      <c r="D3113" s="7">
        <v>3112</v>
      </c>
      <c r="E3113">
        <v>47.637500000000003</v>
      </c>
    </row>
    <row r="3114" spans="3:5" x14ac:dyDescent="0.35">
      <c r="C3114">
        <f t="shared" si="49"/>
        <v>1908</v>
      </c>
      <c r="D3114" s="7">
        <v>3113</v>
      </c>
      <c r="E3114">
        <v>48.523200000000003</v>
      </c>
    </row>
    <row r="3115" spans="3:5" x14ac:dyDescent="0.35">
      <c r="C3115">
        <f t="shared" si="49"/>
        <v>1908</v>
      </c>
      <c r="D3115" s="7">
        <v>3114</v>
      </c>
      <c r="E3115">
        <v>51.067399999999999</v>
      </c>
    </row>
    <row r="3116" spans="3:5" x14ac:dyDescent="0.35">
      <c r="C3116">
        <f t="shared" si="49"/>
        <v>1908</v>
      </c>
      <c r="D3116" s="7">
        <v>3115</v>
      </c>
      <c r="E3116">
        <v>49.453699999999998</v>
      </c>
    </row>
    <row r="3117" spans="3:5" x14ac:dyDescent="0.35">
      <c r="C3117">
        <f t="shared" si="49"/>
        <v>1908</v>
      </c>
      <c r="D3117" s="7">
        <v>3116</v>
      </c>
      <c r="E3117">
        <v>51.0593</v>
      </c>
    </row>
    <row r="3118" spans="3:5" x14ac:dyDescent="0.35">
      <c r="C3118">
        <f t="shared" si="49"/>
        <v>1908</v>
      </c>
      <c r="D3118" s="7">
        <v>3117</v>
      </c>
      <c r="E3118">
        <v>51.1571</v>
      </c>
    </row>
    <row r="3119" spans="3:5" x14ac:dyDescent="0.35">
      <c r="C3119">
        <f t="shared" si="49"/>
        <v>1908</v>
      </c>
      <c r="D3119" s="7">
        <v>3118</v>
      </c>
      <c r="E3119">
        <v>51.292400000000001</v>
      </c>
    </row>
    <row r="3120" spans="3:5" x14ac:dyDescent="0.35">
      <c r="C3120">
        <f t="shared" si="49"/>
        <v>1908</v>
      </c>
      <c r="D3120" s="7">
        <v>3119</v>
      </c>
      <c r="E3120">
        <v>51.064500000000002</v>
      </c>
    </row>
    <row r="3121" spans="3:5" x14ac:dyDescent="0.35">
      <c r="C3121">
        <f t="shared" si="49"/>
        <v>1908</v>
      </c>
      <c r="D3121" s="7">
        <v>3120</v>
      </c>
      <c r="E3121">
        <v>50.243699999999997</v>
      </c>
    </row>
    <row r="3122" spans="3:5" x14ac:dyDescent="0.35">
      <c r="C3122">
        <f t="shared" si="49"/>
        <v>1908</v>
      </c>
      <c r="D3122" s="7">
        <v>3121</v>
      </c>
      <c r="E3122">
        <v>52.453400000000002</v>
      </c>
    </row>
    <row r="3123" spans="3:5" x14ac:dyDescent="0.35">
      <c r="C3123">
        <f t="shared" si="49"/>
        <v>1908</v>
      </c>
      <c r="D3123" s="7">
        <v>3122</v>
      </c>
      <c r="E3123">
        <v>53.231000000000002</v>
      </c>
    </row>
    <row r="3124" spans="3:5" x14ac:dyDescent="0.35">
      <c r="C3124">
        <f t="shared" si="49"/>
        <v>1908</v>
      </c>
      <c r="D3124" s="7">
        <v>3123</v>
      </c>
      <c r="E3124">
        <v>53.575899999999997</v>
      </c>
    </row>
    <row r="3125" spans="3:5" x14ac:dyDescent="0.35">
      <c r="C3125">
        <f t="shared" si="49"/>
        <v>1908</v>
      </c>
      <c r="D3125" s="7">
        <v>3124</v>
      </c>
      <c r="E3125">
        <v>53.258400000000002</v>
      </c>
    </row>
    <row r="3126" spans="3:5" x14ac:dyDescent="0.35">
      <c r="C3126">
        <f t="shared" si="49"/>
        <v>1908</v>
      </c>
      <c r="D3126" s="7">
        <v>3125</v>
      </c>
      <c r="E3126">
        <v>50.865200000000002</v>
      </c>
    </row>
    <row r="3127" spans="3:5" x14ac:dyDescent="0.35">
      <c r="C3127">
        <f t="shared" si="49"/>
        <v>1908</v>
      </c>
      <c r="D3127" s="7">
        <v>3126</v>
      </c>
      <c r="E3127">
        <v>50.479199999999999</v>
      </c>
    </row>
    <row r="3128" spans="3:5" x14ac:dyDescent="0.35">
      <c r="C3128">
        <f t="shared" si="49"/>
        <v>1908</v>
      </c>
      <c r="D3128" s="7">
        <v>3127</v>
      </c>
      <c r="E3128">
        <v>49.7652</v>
      </c>
    </row>
    <row r="3129" spans="3:5" x14ac:dyDescent="0.35">
      <c r="C3129">
        <f t="shared" si="49"/>
        <v>1908</v>
      </c>
      <c r="D3129" s="7">
        <v>3128</v>
      </c>
      <c r="E3129">
        <v>50.314300000000003</v>
      </c>
    </row>
    <row r="3130" spans="3:5" x14ac:dyDescent="0.35">
      <c r="C3130">
        <f t="shared" si="49"/>
        <v>1908</v>
      </c>
      <c r="D3130" s="7">
        <v>3129</v>
      </c>
      <c r="E3130">
        <v>49.430100000000003</v>
      </c>
    </row>
    <row r="3131" spans="3:5" x14ac:dyDescent="0.35">
      <c r="C3131">
        <f t="shared" si="49"/>
        <v>1908</v>
      </c>
      <c r="D3131" s="7">
        <v>3130</v>
      </c>
      <c r="E3131">
        <v>49.552300000000002</v>
      </c>
    </row>
    <row r="3132" spans="3:5" x14ac:dyDescent="0.35">
      <c r="C3132">
        <f t="shared" si="49"/>
        <v>1908</v>
      </c>
      <c r="D3132" s="7">
        <v>3131</v>
      </c>
      <c r="E3132">
        <v>50.523099999999999</v>
      </c>
    </row>
    <row r="3133" spans="3:5" x14ac:dyDescent="0.35">
      <c r="C3133">
        <f t="shared" si="49"/>
        <v>1908</v>
      </c>
      <c r="D3133" s="7">
        <v>3132</v>
      </c>
      <c r="E3133">
        <v>51.379199999999997</v>
      </c>
    </row>
    <row r="3134" spans="3:5" x14ac:dyDescent="0.35">
      <c r="C3134">
        <f t="shared" si="49"/>
        <v>1908</v>
      </c>
      <c r="D3134" s="7">
        <v>3133</v>
      </c>
      <c r="E3134">
        <v>54.231999999999999</v>
      </c>
    </row>
    <row r="3135" spans="3:5" x14ac:dyDescent="0.35">
      <c r="C3135">
        <f t="shared" si="49"/>
        <v>1908</v>
      </c>
      <c r="D3135" s="7">
        <v>3134</v>
      </c>
      <c r="E3135">
        <v>53.634999999999998</v>
      </c>
    </row>
    <row r="3136" spans="3:5" x14ac:dyDescent="0.35">
      <c r="C3136">
        <f t="shared" si="49"/>
        <v>1908</v>
      </c>
      <c r="D3136" s="7">
        <v>3135</v>
      </c>
      <c r="E3136">
        <v>56.909500000000001</v>
      </c>
    </row>
    <row r="3137" spans="3:5" x14ac:dyDescent="0.35">
      <c r="C3137">
        <f t="shared" si="49"/>
        <v>1908</v>
      </c>
      <c r="D3137" s="7">
        <v>3136</v>
      </c>
      <c r="E3137">
        <v>57.057600000000001</v>
      </c>
    </row>
    <row r="3138" spans="3:5" x14ac:dyDescent="0.35">
      <c r="C3138">
        <f t="shared" si="49"/>
        <v>1908</v>
      </c>
      <c r="D3138" s="7">
        <v>3137</v>
      </c>
      <c r="E3138">
        <v>56.639000000000003</v>
      </c>
    </row>
    <row r="3139" spans="3:5" x14ac:dyDescent="0.35">
      <c r="C3139">
        <f t="shared" ref="C3139:C3202" si="50">YEAR(D3139)</f>
        <v>1908</v>
      </c>
      <c r="D3139" s="7">
        <v>3138</v>
      </c>
      <c r="E3139">
        <v>58.13</v>
      </c>
    </row>
    <row r="3140" spans="3:5" x14ac:dyDescent="0.35">
      <c r="C3140">
        <f t="shared" si="50"/>
        <v>1908</v>
      </c>
      <c r="D3140" s="7">
        <v>3139</v>
      </c>
      <c r="E3140">
        <v>59.713200000000001</v>
      </c>
    </row>
    <row r="3141" spans="3:5" x14ac:dyDescent="0.35">
      <c r="C3141">
        <f t="shared" si="50"/>
        <v>1908</v>
      </c>
      <c r="D3141" s="7">
        <v>3140</v>
      </c>
      <c r="E3141">
        <v>60.119700000000002</v>
      </c>
    </row>
    <row r="3142" spans="3:5" x14ac:dyDescent="0.35">
      <c r="C3142">
        <f t="shared" si="50"/>
        <v>1908</v>
      </c>
      <c r="D3142" s="7">
        <v>3141</v>
      </c>
      <c r="E3142">
        <v>61.898800000000001</v>
      </c>
    </row>
    <row r="3143" spans="3:5" x14ac:dyDescent="0.35">
      <c r="C3143">
        <f t="shared" si="50"/>
        <v>1908</v>
      </c>
      <c r="D3143" s="7">
        <v>3142</v>
      </c>
      <c r="E3143">
        <v>66.296700000000001</v>
      </c>
    </row>
    <row r="3144" spans="3:5" x14ac:dyDescent="0.35">
      <c r="C3144">
        <f t="shared" si="50"/>
        <v>1908</v>
      </c>
      <c r="D3144" s="7">
        <v>3143</v>
      </c>
      <c r="E3144">
        <v>67.791399999999996</v>
      </c>
    </row>
    <row r="3145" spans="3:5" x14ac:dyDescent="0.35">
      <c r="C3145">
        <f t="shared" si="50"/>
        <v>1908</v>
      </c>
      <c r="D3145" s="7">
        <v>3144</v>
      </c>
      <c r="E3145">
        <v>68.779600000000002</v>
      </c>
    </row>
    <row r="3146" spans="3:5" x14ac:dyDescent="0.35">
      <c r="C3146">
        <f t="shared" si="50"/>
        <v>1908</v>
      </c>
      <c r="D3146" s="7">
        <v>3145</v>
      </c>
      <c r="E3146">
        <v>67.443299999999994</v>
      </c>
    </row>
    <row r="3147" spans="3:5" x14ac:dyDescent="0.35">
      <c r="C3147">
        <f t="shared" si="50"/>
        <v>1908</v>
      </c>
      <c r="D3147" s="7">
        <v>3146</v>
      </c>
      <c r="E3147">
        <v>67.186800000000005</v>
      </c>
    </row>
    <row r="3148" spans="3:5" x14ac:dyDescent="0.35">
      <c r="C3148">
        <f t="shared" si="50"/>
        <v>1908</v>
      </c>
      <c r="D3148" s="7">
        <v>3147</v>
      </c>
      <c r="E3148">
        <v>66.731899999999996</v>
      </c>
    </row>
    <row r="3149" spans="3:5" x14ac:dyDescent="0.35">
      <c r="C3149">
        <f t="shared" si="50"/>
        <v>1908</v>
      </c>
      <c r="D3149" s="7">
        <v>3148</v>
      </c>
      <c r="E3149">
        <v>67.418400000000005</v>
      </c>
    </row>
    <row r="3150" spans="3:5" x14ac:dyDescent="0.35">
      <c r="C3150">
        <f t="shared" si="50"/>
        <v>1908</v>
      </c>
      <c r="D3150" s="7">
        <v>3149</v>
      </c>
      <c r="E3150">
        <v>68.547399999999996</v>
      </c>
    </row>
    <row r="3151" spans="3:5" x14ac:dyDescent="0.35">
      <c r="C3151">
        <f t="shared" si="50"/>
        <v>1908</v>
      </c>
      <c r="D3151" s="7">
        <v>3150</v>
      </c>
      <c r="E3151">
        <v>68.740499999999997</v>
      </c>
    </row>
    <row r="3152" spans="3:5" x14ac:dyDescent="0.35">
      <c r="C3152">
        <f t="shared" si="50"/>
        <v>1908</v>
      </c>
      <c r="D3152" s="7">
        <v>3151</v>
      </c>
      <c r="E3152">
        <v>69.453599999999994</v>
      </c>
    </row>
    <row r="3153" spans="3:5" x14ac:dyDescent="0.35">
      <c r="C3153">
        <f t="shared" si="50"/>
        <v>1908</v>
      </c>
      <c r="D3153" s="7">
        <v>3152</v>
      </c>
      <c r="E3153">
        <v>73.137</v>
      </c>
    </row>
    <row r="3154" spans="3:5" x14ac:dyDescent="0.35">
      <c r="C3154">
        <f t="shared" si="50"/>
        <v>1908</v>
      </c>
      <c r="D3154" s="7">
        <v>3153</v>
      </c>
      <c r="E3154">
        <v>71.661500000000004</v>
      </c>
    </row>
    <row r="3155" spans="3:5" x14ac:dyDescent="0.35">
      <c r="C3155">
        <f t="shared" si="50"/>
        <v>1908</v>
      </c>
      <c r="D3155" s="7">
        <v>3154</v>
      </c>
      <c r="E3155">
        <v>71.737700000000004</v>
      </c>
    </row>
    <row r="3156" spans="3:5" x14ac:dyDescent="0.35">
      <c r="C3156">
        <f t="shared" si="50"/>
        <v>1908</v>
      </c>
      <c r="D3156" s="7">
        <v>3155</v>
      </c>
      <c r="E3156">
        <v>73.964299999999994</v>
      </c>
    </row>
    <row r="3157" spans="3:5" x14ac:dyDescent="0.35">
      <c r="C3157">
        <f t="shared" si="50"/>
        <v>1908</v>
      </c>
      <c r="D3157" s="7">
        <v>3156</v>
      </c>
      <c r="E3157">
        <v>74.317899999999995</v>
      </c>
    </row>
    <row r="3158" spans="3:5" x14ac:dyDescent="0.35">
      <c r="C3158">
        <f t="shared" si="50"/>
        <v>1908</v>
      </c>
      <c r="D3158" s="7">
        <v>3157</v>
      </c>
      <c r="E3158">
        <v>72.956999999999994</v>
      </c>
    </row>
    <row r="3159" spans="3:5" x14ac:dyDescent="0.35">
      <c r="C3159">
        <f t="shared" si="50"/>
        <v>1908</v>
      </c>
      <c r="D3159" s="7">
        <v>3158</v>
      </c>
      <c r="E3159">
        <v>72.936300000000003</v>
      </c>
    </row>
    <row r="3160" spans="3:5" x14ac:dyDescent="0.35">
      <c r="C3160">
        <f t="shared" si="50"/>
        <v>1908</v>
      </c>
      <c r="D3160" s="7">
        <v>3159</v>
      </c>
      <c r="E3160">
        <v>74.033799999999999</v>
      </c>
    </row>
    <row r="3161" spans="3:5" x14ac:dyDescent="0.35">
      <c r="C3161">
        <f t="shared" si="50"/>
        <v>1908</v>
      </c>
      <c r="D3161" s="7">
        <v>3160</v>
      </c>
      <c r="E3161">
        <v>71.178100000000001</v>
      </c>
    </row>
    <row r="3162" spans="3:5" x14ac:dyDescent="0.35">
      <c r="C3162">
        <f t="shared" si="50"/>
        <v>1908</v>
      </c>
      <c r="D3162" s="7">
        <v>3161</v>
      </c>
      <c r="E3162">
        <v>74.656400000000005</v>
      </c>
    </row>
    <row r="3163" spans="3:5" x14ac:dyDescent="0.35">
      <c r="C3163">
        <f t="shared" si="50"/>
        <v>1908</v>
      </c>
      <c r="D3163" s="7">
        <v>3162</v>
      </c>
      <c r="E3163">
        <v>75.969200000000001</v>
      </c>
    </row>
    <row r="3164" spans="3:5" x14ac:dyDescent="0.35">
      <c r="C3164">
        <f t="shared" si="50"/>
        <v>1908</v>
      </c>
      <c r="D3164" s="7">
        <v>3163</v>
      </c>
      <c r="E3164">
        <v>75.296400000000006</v>
      </c>
    </row>
    <row r="3165" spans="3:5" x14ac:dyDescent="0.35">
      <c r="C3165">
        <f t="shared" si="50"/>
        <v>1908</v>
      </c>
      <c r="D3165" s="7">
        <v>3164</v>
      </c>
      <c r="E3165">
        <v>70.305599999999998</v>
      </c>
    </row>
    <row r="3166" spans="3:5" x14ac:dyDescent="0.35">
      <c r="C3166">
        <f t="shared" si="50"/>
        <v>1908</v>
      </c>
      <c r="D3166" s="7">
        <v>3165</v>
      </c>
      <c r="E3166">
        <v>74.222499999999997</v>
      </c>
    </row>
    <row r="3167" spans="3:5" x14ac:dyDescent="0.35">
      <c r="C3167">
        <f t="shared" si="50"/>
        <v>1908</v>
      </c>
      <c r="D3167" s="7">
        <v>3166</v>
      </c>
      <c r="E3167">
        <v>71.1768</v>
      </c>
    </row>
    <row r="3168" spans="3:5" x14ac:dyDescent="0.35">
      <c r="C3168">
        <f t="shared" si="50"/>
        <v>1908</v>
      </c>
      <c r="D3168" s="7">
        <v>3167</v>
      </c>
      <c r="E3168">
        <v>72.471500000000006</v>
      </c>
    </row>
    <row r="3169" spans="3:5" x14ac:dyDescent="0.35">
      <c r="C3169">
        <f t="shared" si="50"/>
        <v>1908</v>
      </c>
      <c r="D3169" s="7">
        <v>3168</v>
      </c>
      <c r="E3169">
        <v>73.038499999999999</v>
      </c>
    </row>
    <row r="3170" spans="3:5" x14ac:dyDescent="0.35">
      <c r="C3170">
        <f t="shared" si="50"/>
        <v>1908</v>
      </c>
      <c r="D3170" s="7">
        <v>3169</v>
      </c>
      <c r="E3170">
        <v>72.141599999999997</v>
      </c>
    </row>
    <row r="3171" spans="3:5" x14ac:dyDescent="0.35">
      <c r="C3171">
        <f t="shared" si="50"/>
        <v>1908</v>
      </c>
      <c r="D3171" s="7">
        <v>3170</v>
      </c>
      <c r="E3171">
        <v>73.582700000000003</v>
      </c>
    </row>
    <row r="3172" spans="3:5" x14ac:dyDescent="0.35">
      <c r="C3172">
        <f t="shared" si="50"/>
        <v>1908</v>
      </c>
      <c r="D3172" s="7">
        <v>3171</v>
      </c>
      <c r="E3172">
        <v>70.032799999999995</v>
      </c>
    </row>
    <row r="3173" spans="3:5" x14ac:dyDescent="0.35">
      <c r="C3173">
        <f t="shared" si="50"/>
        <v>1908</v>
      </c>
      <c r="D3173" s="7">
        <v>3172</v>
      </c>
      <c r="E3173">
        <v>69.454400000000007</v>
      </c>
    </row>
    <row r="3174" spans="3:5" x14ac:dyDescent="0.35">
      <c r="C3174">
        <f t="shared" si="50"/>
        <v>1908</v>
      </c>
      <c r="D3174" s="7">
        <v>3173</v>
      </c>
      <c r="E3174">
        <v>71.411000000000001</v>
      </c>
    </row>
    <row r="3175" spans="3:5" x14ac:dyDescent="0.35">
      <c r="C3175">
        <f t="shared" si="50"/>
        <v>1908</v>
      </c>
      <c r="D3175" s="7">
        <v>3174</v>
      </c>
      <c r="E3175">
        <v>77.049099999999996</v>
      </c>
    </row>
    <row r="3176" spans="3:5" x14ac:dyDescent="0.35">
      <c r="C3176">
        <f t="shared" si="50"/>
        <v>1908</v>
      </c>
      <c r="D3176" s="7">
        <v>3175</v>
      </c>
      <c r="E3176">
        <v>78.829099999999997</v>
      </c>
    </row>
    <row r="3177" spans="3:5" x14ac:dyDescent="0.35">
      <c r="C3177">
        <f t="shared" si="50"/>
        <v>1908</v>
      </c>
      <c r="D3177" s="7">
        <v>3176</v>
      </c>
      <c r="E3177">
        <v>82.994399999999999</v>
      </c>
    </row>
    <row r="3178" spans="3:5" x14ac:dyDescent="0.35">
      <c r="C3178">
        <f t="shared" si="50"/>
        <v>1908</v>
      </c>
      <c r="D3178" s="7">
        <v>3177</v>
      </c>
      <c r="E3178">
        <v>82.977400000000003</v>
      </c>
    </row>
    <row r="3179" spans="3:5" x14ac:dyDescent="0.35">
      <c r="C3179">
        <f t="shared" si="50"/>
        <v>1908</v>
      </c>
      <c r="D3179" s="7">
        <v>3178</v>
      </c>
      <c r="E3179">
        <v>82.910399999999996</v>
      </c>
    </row>
    <row r="3180" spans="3:5" x14ac:dyDescent="0.35">
      <c r="C3180">
        <f t="shared" si="50"/>
        <v>1908</v>
      </c>
      <c r="D3180" s="7">
        <v>3179</v>
      </c>
      <c r="E3180">
        <v>86.507099999999994</v>
      </c>
    </row>
    <row r="3181" spans="3:5" x14ac:dyDescent="0.35">
      <c r="C3181">
        <f t="shared" si="50"/>
        <v>1908</v>
      </c>
      <c r="D3181" s="7">
        <v>3180</v>
      </c>
      <c r="E3181">
        <v>84.250900000000001</v>
      </c>
    </row>
    <row r="3182" spans="3:5" x14ac:dyDescent="0.35">
      <c r="C3182">
        <f t="shared" si="50"/>
        <v>1908</v>
      </c>
      <c r="D3182" s="7">
        <v>3181</v>
      </c>
      <c r="E3182">
        <v>85.271299999999997</v>
      </c>
    </row>
    <row r="3183" spans="3:5" x14ac:dyDescent="0.35">
      <c r="C3183">
        <f t="shared" si="50"/>
        <v>1908</v>
      </c>
      <c r="D3183" s="7">
        <v>3182</v>
      </c>
      <c r="E3183">
        <v>88.546499999999995</v>
      </c>
    </row>
    <row r="3184" spans="3:5" x14ac:dyDescent="0.35">
      <c r="C3184">
        <f t="shared" si="50"/>
        <v>1908</v>
      </c>
      <c r="D3184" s="7">
        <v>3183</v>
      </c>
      <c r="E3184">
        <v>91.906499999999994</v>
      </c>
    </row>
    <row r="3185" spans="3:5" x14ac:dyDescent="0.35">
      <c r="C3185">
        <f t="shared" si="50"/>
        <v>1908</v>
      </c>
      <c r="D3185" s="7">
        <v>3184</v>
      </c>
      <c r="E3185">
        <v>99.424999999999997</v>
      </c>
    </row>
    <row r="3186" spans="3:5" x14ac:dyDescent="0.35">
      <c r="C3186">
        <f t="shared" si="50"/>
        <v>1908</v>
      </c>
      <c r="D3186" s="7">
        <v>3185</v>
      </c>
      <c r="E3186">
        <v>98.8917</v>
      </c>
    </row>
    <row r="3187" spans="3:5" x14ac:dyDescent="0.35">
      <c r="C3187">
        <f t="shared" si="50"/>
        <v>1908</v>
      </c>
      <c r="D3187" s="7">
        <v>3186</v>
      </c>
      <c r="E3187">
        <v>100.1853</v>
      </c>
    </row>
    <row r="3188" spans="3:5" x14ac:dyDescent="0.35">
      <c r="C3188">
        <f t="shared" si="50"/>
        <v>1908</v>
      </c>
      <c r="D3188" s="7">
        <v>3187</v>
      </c>
      <c r="E3188">
        <v>101.6041</v>
      </c>
    </row>
    <row r="3189" spans="3:5" x14ac:dyDescent="0.35">
      <c r="C3189">
        <f t="shared" si="50"/>
        <v>1908</v>
      </c>
      <c r="D3189" s="7">
        <v>3188</v>
      </c>
      <c r="E3189">
        <v>99.285899999999998</v>
      </c>
    </row>
    <row r="3190" spans="3:5" x14ac:dyDescent="0.35">
      <c r="C3190">
        <f t="shared" si="50"/>
        <v>1908</v>
      </c>
      <c r="D3190" s="7">
        <v>3189</v>
      </c>
      <c r="E3190">
        <v>101.16849999999999</v>
      </c>
    </row>
    <row r="3191" spans="3:5" x14ac:dyDescent="0.35">
      <c r="C3191">
        <f t="shared" si="50"/>
        <v>1908</v>
      </c>
      <c r="D3191" s="7">
        <v>3190</v>
      </c>
      <c r="E3191">
        <v>101.7319</v>
      </c>
    </row>
    <row r="3192" spans="3:5" x14ac:dyDescent="0.35">
      <c r="C3192">
        <f t="shared" si="50"/>
        <v>1908</v>
      </c>
      <c r="D3192" s="7">
        <v>3191</v>
      </c>
      <c r="E3192">
        <v>99.252399999999994</v>
      </c>
    </row>
    <row r="3193" spans="3:5" x14ac:dyDescent="0.35">
      <c r="C3193">
        <f t="shared" si="50"/>
        <v>1908</v>
      </c>
      <c r="D3193" s="7">
        <v>3192</v>
      </c>
      <c r="E3193">
        <v>100.14190000000001</v>
      </c>
    </row>
    <row r="3194" spans="3:5" x14ac:dyDescent="0.35">
      <c r="C3194">
        <f t="shared" si="50"/>
        <v>1908</v>
      </c>
      <c r="D3194" s="7">
        <v>3193</v>
      </c>
      <c r="E3194">
        <v>98.8322</v>
      </c>
    </row>
    <row r="3195" spans="3:5" x14ac:dyDescent="0.35">
      <c r="C3195">
        <f t="shared" si="50"/>
        <v>1908</v>
      </c>
      <c r="D3195" s="7">
        <v>3194</v>
      </c>
      <c r="E3195">
        <v>103.7004</v>
      </c>
    </row>
    <row r="3196" spans="3:5" x14ac:dyDescent="0.35">
      <c r="C3196">
        <f t="shared" si="50"/>
        <v>1908</v>
      </c>
      <c r="D3196" s="7">
        <v>3195</v>
      </c>
      <c r="E3196">
        <v>104.00190000000001</v>
      </c>
    </row>
    <row r="3197" spans="3:5" x14ac:dyDescent="0.35">
      <c r="C3197">
        <f t="shared" si="50"/>
        <v>1908</v>
      </c>
      <c r="D3197" s="7">
        <v>3196</v>
      </c>
      <c r="E3197">
        <v>102.4014</v>
      </c>
    </row>
    <row r="3198" spans="3:5" x14ac:dyDescent="0.35">
      <c r="C3198">
        <f t="shared" si="50"/>
        <v>1908</v>
      </c>
      <c r="D3198" s="7">
        <v>3197</v>
      </c>
      <c r="E3198">
        <v>104.5265</v>
      </c>
    </row>
    <row r="3199" spans="3:5" x14ac:dyDescent="0.35">
      <c r="C3199">
        <f t="shared" si="50"/>
        <v>1908</v>
      </c>
      <c r="D3199" s="7">
        <v>3198</v>
      </c>
      <c r="E3199">
        <v>104.1317</v>
      </c>
    </row>
    <row r="3200" spans="3:5" x14ac:dyDescent="0.35">
      <c r="C3200">
        <f t="shared" si="50"/>
        <v>1908</v>
      </c>
      <c r="D3200" s="7">
        <v>3199</v>
      </c>
      <c r="E3200">
        <v>106.92659999999999</v>
      </c>
    </row>
    <row r="3201" spans="3:5" x14ac:dyDescent="0.35">
      <c r="C3201">
        <f t="shared" si="50"/>
        <v>1908</v>
      </c>
      <c r="D3201" s="7">
        <v>3200</v>
      </c>
      <c r="E3201">
        <v>111.3021</v>
      </c>
    </row>
    <row r="3202" spans="3:5" x14ac:dyDescent="0.35">
      <c r="C3202">
        <f t="shared" si="50"/>
        <v>1908</v>
      </c>
      <c r="D3202" s="7">
        <v>3201</v>
      </c>
      <c r="E3202">
        <v>109.4789</v>
      </c>
    </row>
    <row r="3203" spans="3:5" x14ac:dyDescent="0.35">
      <c r="C3203">
        <f t="shared" ref="C3203:C3266" si="51">YEAR(D3203)</f>
        <v>1908</v>
      </c>
      <c r="D3203" s="7">
        <v>3202</v>
      </c>
      <c r="E3203">
        <v>108.42919999999999</v>
      </c>
    </row>
    <row r="3204" spans="3:5" x14ac:dyDescent="0.35">
      <c r="C3204">
        <f t="shared" si="51"/>
        <v>1908</v>
      </c>
      <c r="D3204" s="7">
        <v>3203</v>
      </c>
      <c r="E3204">
        <v>106.2501</v>
      </c>
    </row>
    <row r="3205" spans="3:5" x14ac:dyDescent="0.35">
      <c r="C3205">
        <f t="shared" si="51"/>
        <v>1908</v>
      </c>
      <c r="D3205" s="7">
        <v>3204</v>
      </c>
      <c r="E3205">
        <v>104.0364</v>
      </c>
    </row>
    <row r="3206" spans="3:5" x14ac:dyDescent="0.35">
      <c r="C3206">
        <f t="shared" si="51"/>
        <v>1908</v>
      </c>
      <c r="D3206" s="7">
        <v>3205</v>
      </c>
      <c r="E3206">
        <v>102.8078</v>
      </c>
    </row>
    <row r="3207" spans="3:5" x14ac:dyDescent="0.35">
      <c r="C3207">
        <f t="shared" si="51"/>
        <v>1908</v>
      </c>
      <c r="D3207" s="7">
        <v>3206</v>
      </c>
      <c r="E3207">
        <v>98.614199999999997</v>
      </c>
    </row>
    <row r="3208" spans="3:5" x14ac:dyDescent="0.35">
      <c r="C3208">
        <f t="shared" si="51"/>
        <v>1908</v>
      </c>
      <c r="D3208" s="7">
        <v>3207</v>
      </c>
      <c r="E3208">
        <v>101.7877</v>
      </c>
    </row>
    <row r="3209" spans="3:5" x14ac:dyDescent="0.35">
      <c r="C3209">
        <f t="shared" si="51"/>
        <v>1908</v>
      </c>
      <c r="D3209" s="7">
        <v>3208</v>
      </c>
      <c r="E3209">
        <v>101.7567</v>
      </c>
    </row>
    <row r="3210" spans="3:5" x14ac:dyDescent="0.35">
      <c r="C3210">
        <f t="shared" si="51"/>
        <v>1908</v>
      </c>
      <c r="D3210" s="7">
        <v>3209</v>
      </c>
      <c r="E3210">
        <v>102.8326</v>
      </c>
    </row>
    <row r="3211" spans="3:5" x14ac:dyDescent="0.35">
      <c r="C3211">
        <f t="shared" si="51"/>
        <v>1908</v>
      </c>
      <c r="D3211" s="7">
        <v>3210</v>
      </c>
      <c r="E3211">
        <v>106.9701</v>
      </c>
    </row>
    <row r="3212" spans="3:5" x14ac:dyDescent="0.35">
      <c r="C3212">
        <f t="shared" si="51"/>
        <v>1908</v>
      </c>
      <c r="D3212" s="7">
        <v>3211</v>
      </c>
      <c r="E3212">
        <v>107.74469999999999</v>
      </c>
    </row>
    <row r="3213" spans="3:5" x14ac:dyDescent="0.35">
      <c r="C3213">
        <f t="shared" si="51"/>
        <v>1908</v>
      </c>
      <c r="D3213" s="7">
        <v>3212</v>
      </c>
      <c r="E3213">
        <v>108.38200000000001</v>
      </c>
    </row>
    <row r="3214" spans="3:5" x14ac:dyDescent="0.35">
      <c r="C3214">
        <f t="shared" si="51"/>
        <v>1908</v>
      </c>
      <c r="D3214" s="7">
        <v>3213</v>
      </c>
      <c r="E3214">
        <v>110.6344</v>
      </c>
    </row>
    <row r="3215" spans="3:5" x14ac:dyDescent="0.35">
      <c r="C3215">
        <f t="shared" si="51"/>
        <v>1908</v>
      </c>
      <c r="D3215" s="7">
        <v>3214</v>
      </c>
      <c r="E3215">
        <v>113.6071</v>
      </c>
    </row>
    <row r="3216" spans="3:5" x14ac:dyDescent="0.35">
      <c r="C3216">
        <f t="shared" si="51"/>
        <v>1908</v>
      </c>
      <c r="D3216" s="7">
        <v>3215</v>
      </c>
      <c r="E3216">
        <v>114.684</v>
      </c>
    </row>
    <row r="3217" spans="3:5" x14ac:dyDescent="0.35">
      <c r="C3217">
        <f t="shared" si="51"/>
        <v>1908</v>
      </c>
      <c r="D3217" s="7">
        <v>3216</v>
      </c>
      <c r="E3217">
        <v>115.31319999999999</v>
      </c>
    </row>
    <row r="3218" spans="3:5" x14ac:dyDescent="0.35">
      <c r="C3218">
        <f t="shared" si="51"/>
        <v>1908</v>
      </c>
      <c r="D3218" s="7">
        <v>3217</v>
      </c>
      <c r="E3218">
        <v>119.256</v>
      </c>
    </row>
    <row r="3219" spans="3:5" x14ac:dyDescent="0.35">
      <c r="C3219">
        <f t="shared" si="51"/>
        <v>1908</v>
      </c>
      <c r="D3219" s="7">
        <v>3218</v>
      </c>
      <c r="E3219">
        <v>130.92080000000001</v>
      </c>
    </row>
    <row r="3220" spans="3:5" x14ac:dyDescent="0.35">
      <c r="C3220">
        <f t="shared" si="51"/>
        <v>1908</v>
      </c>
      <c r="D3220" s="7">
        <v>3219</v>
      </c>
      <c r="E3220">
        <v>127.9913</v>
      </c>
    </row>
    <row r="3221" spans="3:5" x14ac:dyDescent="0.35">
      <c r="C3221">
        <f t="shared" si="51"/>
        <v>1908</v>
      </c>
      <c r="D3221" s="7">
        <v>3220</v>
      </c>
      <c r="E3221">
        <v>125.9747</v>
      </c>
    </row>
    <row r="3222" spans="3:5" x14ac:dyDescent="0.35">
      <c r="C3222">
        <f t="shared" si="51"/>
        <v>1908</v>
      </c>
      <c r="D3222" s="7">
        <v>3221</v>
      </c>
      <c r="E3222">
        <v>126.4003</v>
      </c>
    </row>
    <row r="3223" spans="3:5" x14ac:dyDescent="0.35">
      <c r="C3223">
        <f t="shared" si="51"/>
        <v>1908</v>
      </c>
      <c r="D3223" s="7">
        <v>3222</v>
      </c>
      <c r="E3223">
        <v>130.8588</v>
      </c>
    </row>
    <row r="3224" spans="3:5" x14ac:dyDescent="0.35">
      <c r="C3224">
        <f t="shared" si="51"/>
        <v>1908</v>
      </c>
      <c r="D3224" s="7">
        <v>3223</v>
      </c>
      <c r="E3224">
        <v>136.7662</v>
      </c>
    </row>
    <row r="3225" spans="3:5" x14ac:dyDescent="0.35">
      <c r="C3225">
        <f t="shared" si="51"/>
        <v>1908</v>
      </c>
      <c r="D3225" s="7">
        <v>3224</v>
      </c>
      <c r="E3225">
        <v>132.62569999999999</v>
      </c>
    </row>
    <row r="3226" spans="3:5" x14ac:dyDescent="0.35">
      <c r="C3226">
        <f t="shared" si="51"/>
        <v>1908</v>
      </c>
      <c r="D3226" s="7">
        <v>3225</v>
      </c>
      <c r="E3226">
        <v>126.5466</v>
      </c>
    </row>
    <row r="3227" spans="3:5" x14ac:dyDescent="0.35">
      <c r="C3227">
        <f t="shared" si="51"/>
        <v>1908</v>
      </c>
      <c r="D3227" s="7">
        <v>3226</v>
      </c>
      <c r="E3227">
        <v>131.77010000000001</v>
      </c>
    </row>
    <row r="3228" spans="3:5" x14ac:dyDescent="0.35">
      <c r="C3228">
        <f t="shared" si="51"/>
        <v>1908</v>
      </c>
      <c r="D3228" s="7">
        <v>3227</v>
      </c>
      <c r="E3228">
        <v>129.73060000000001</v>
      </c>
    </row>
    <row r="3229" spans="3:5" x14ac:dyDescent="0.35">
      <c r="C3229">
        <f t="shared" si="51"/>
        <v>1908</v>
      </c>
      <c r="D3229" s="7">
        <v>3228</v>
      </c>
      <c r="E3229">
        <v>133.8793</v>
      </c>
    </row>
    <row r="3230" spans="3:5" x14ac:dyDescent="0.35">
      <c r="C3230">
        <f t="shared" si="51"/>
        <v>1908</v>
      </c>
      <c r="D3230" s="7">
        <v>3229</v>
      </c>
      <c r="E3230">
        <v>134.03110000000001</v>
      </c>
    </row>
    <row r="3231" spans="3:5" x14ac:dyDescent="0.35">
      <c r="C3231">
        <f t="shared" si="51"/>
        <v>1908</v>
      </c>
      <c r="D3231" s="7">
        <v>3230</v>
      </c>
      <c r="E3231">
        <v>131.33519999999999</v>
      </c>
    </row>
    <row r="3232" spans="3:5" x14ac:dyDescent="0.35">
      <c r="C3232">
        <f t="shared" si="51"/>
        <v>1908</v>
      </c>
      <c r="D3232" s="7">
        <v>3231</v>
      </c>
      <c r="E3232">
        <v>132.5831</v>
      </c>
    </row>
    <row r="3233" spans="3:5" x14ac:dyDescent="0.35">
      <c r="C3233">
        <f t="shared" si="51"/>
        <v>1908</v>
      </c>
      <c r="D3233" s="7">
        <v>3232</v>
      </c>
      <c r="E3233">
        <v>131.54300000000001</v>
      </c>
    </row>
    <row r="3234" spans="3:5" x14ac:dyDescent="0.35">
      <c r="C3234">
        <f t="shared" si="51"/>
        <v>1908</v>
      </c>
      <c r="D3234" s="7">
        <v>3233</v>
      </c>
      <c r="E3234">
        <v>131.45679999999999</v>
      </c>
    </row>
    <row r="3235" spans="3:5" x14ac:dyDescent="0.35">
      <c r="C3235">
        <f t="shared" si="51"/>
        <v>1908</v>
      </c>
      <c r="D3235" s="7">
        <v>3234</v>
      </c>
      <c r="E3235">
        <v>129.19069999999999</v>
      </c>
    </row>
    <row r="3236" spans="3:5" x14ac:dyDescent="0.35">
      <c r="C3236">
        <f t="shared" si="51"/>
        <v>1908</v>
      </c>
      <c r="D3236" s="7">
        <v>3235</v>
      </c>
      <c r="E3236">
        <v>130.12700000000001</v>
      </c>
    </row>
    <row r="3237" spans="3:5" x14ac:dyDescent="0.35">
      <c r="C3237">
        <f t="shared" si="51"/>
        <v>1908</v>
      </c>
      <c r="D3237" s="7">
        <v>3236</v>
      </c>
      <c r="E3237">
        <v>128.76840000000001</v>
      </c>
    </row>
    <row r="3238" spans="3:5" x14ac:dyDescent="0.35">
      <c r="C3238">
        <f t="shared" si="51"/>
        <v>1908</v>
      </c>
      <c r="D3238" s="7">
        <v>3237</v>
      </c>
      <c r="E3238">
        <v>132.95779999999999</v>
      </c>
    </row>
    <row r="3239" spans="3:5" x14ac:dyDescent="0.35">
      <c r="C3239">
        <f t="shared" si="51"/>
        <v>1908</v>
      </c>
      <c r="D3239" s="7">
        <v>3238</v>
      </c>
      <c r="E3239">
        <v>129.67240000000001</v>
      </c>
    </row>
    <row r="3240" spans="3:5" x14ac:dyDescent="0.35">
      <c r="C3240">
        <f t="shared" si="51"/>
        <v>1908</v>
      </c>
      <c r="D3240" s="7">
        <v>3239</v>
      </c>
      <c r="E3240">
        <v>128.29830000000001</v>
      </c>
    </row>
    <row r="3241" spans="3:5" x14ac:dyDescent="0.35">
      <c r="C3241">
        <f t="shared" si="51"/>
        <v>1908</v>
      </c>
      <c r="D3241" s="7">
        <v>3240</v>
      </c>
      <c r="E3241">
        <v>126.69110000000001</v>
      </c>
    </row>
    <row r="3242" spans="3:5" x14ac:dyDescent="0.35">
      <c r="C3242">
        <f t="shared" si="51"/>
        <v>1908</v>
      </c>
      <c r="D3242" s="7">
        <v>3241</v>
      </c>
      <c r="E3242">
        <v>122.4751</v>
      </c>
    </row>
    <row r="3243" spans="3:5" x14ac:dyDescent="0.35">
      <c r="C3243">
        <f t="shared" si="51"/>
        <v>1908</v>
      </c>
      <c r="D3243" s="7">
        <v>3242</v>
      </c>
      <c r="E3243">
        <v>116.2337</v>
      </c>
    </row>
    <row r="3244" spans="3:5" x14ac:dyDescent="0.35">
      <c r="C3244">
        <f t="shared" si="51"/>
        <v>1908</v>
      </c>
      <c r="D3244" s="7">
        <v>3243</v>
      </c>
      <c r="E3244">
        <v>110.85290000000001</v>
      </c>
    </row>
    <row r="3245" spans="3:5" x14ac:dyDescent="0.35">
      <c r="C3245">
        <f t="shared" si="51"/>
        <v>1908</v>
      </c>
      <c r="D3245" s="7">
        <v>3244</v>
      </c>
      <c r="E3245">
        <v>118.6977</v>
      </c>
    </row>
    <row r="3246" spans="3:5" x14ac:dyDescent="0.35">
      <c r="C3246">
        <f t="shared" si="51"/>
        <v>1908</v>
      </c>
      <c r="D3246" s="7">
        <v>3245</v>
      </c>
      <c r="E3246">
        <v>116.298</v>
      </c>
    </row>
    <row r="3247" spans="3:5" x14ac:dyDescent="0.35">
      <c r="C3247">
        <f t="shared" si="51"/>
        <v>1908</v>
      </c>
      <c r="D3247" s="7">
        <v>3246</v>
      </c>
      <c r="E3247">
        <v>128.0077</v>
      </c>
    </row>
    <row r="3248" spans="3:5" x14ac:dyDescent="0.35">
      <c r="C3248">
        <f t="shared" si="51"/>
        <v>1908</v>
      </c>
      <c r="D3248" s="7">
        <v>3247</v>
      </c>
      <c r="E3248">
        <v>129.85740000000001</v>
      </c>
    </row>
    <row r="3249" spans="3:5" x14ac:dyDescent="0.35">
      <c r="C3249">
        <f t="shared" si="51"/>
        <v>1908</v>
      </c>
      <c r="D3249" s="7">
        <v>3248</v>
      </c>
      <c r="E3249">
        <v>133.33369999999999</v>
      </c>
    </row>
    <row r="3250" spans="3:5" x14ac:dyDescent="0.35">
      <c r="C3250">
        <f t="shared" si="51"/>
        <v>1908</v>
      </c>
      <c r="D3250" s="7">
        <v>3249</v>
      </c>
      <c r="E3250">
        <v>131.36539999999999</v>
      </c>
    </row>
    <row r="3251" spans="3:5" x14ac:dyDescent="0.35">
      <c r="C3251">
        <f t="shared" si="51"/>
        <v>1908</v>
      </c>
      <c r="D3251" s="7">
        <v>3250</v>
      </c>
      <c r="E3251">
        <v>129.85319999999999</v>
      </c>
    </row>
    <row r="3252" spans="3:5" x14ac:dyDescent="0.35">
      <c r="C3252">
        <f t="shared" si="51"/>
        <v>1908</v>
      </c>
      <c r="D3252" s="7">
        <v>3251</v>
      </c>
      <c r="E3252">
        <v>128.62010000000001</v>
      </c>
    </row>
    <row r="3253" spans="3:5" x14ac:dyDescent="0.35">
      <c r="C3253">
        <f t="shared" si="51"/>
        <v>1908</v>
      </c>
      <c r="D3253" s="7">
        <v>3252</v>
      </c>
      <c r="E3253">
        <v>129.40860000000001</v>
      </c>
    </row>
    <row r="3254" spans="3:5" x14ac:dyDescent="0.35">
      <c r="C3254">
        <f t="shared" si="51"/>
        <v>1908</v>
      </c>
      <c r="D3254" s="7">
        <v>3253</v>
      </c>
      <c r="E3254">
        <v>128.7876</v>
      </c>
    </row>
    <row r="3255" spans="3:5" x14ac:dyDescent="0.35">
      <c r="C3255">
        <f t="shared" si="51"/>
        <v>1908</v>
      </c>
      <c r="D3255" s="7">
        <v>3254</v>
      </c>
      <c r="E3255">
        <v>128.43360000000001</v>
      </c>
    </row>
    <row r="3256" spans="3:5" x14ac:dyDescent="0.35">
      <c r="C3256">
        <f t="shared" si="51"/>
        <v>1908</v>
      </c>
      <c r="D3256" s="7">
        <v>3255</v>
      </c>
      <c r="E3256">
        <v>124.5936</v>
      </c>
    </row>
    <row r="3257" spans="3:5" x14ac:dyDescent="0.35">
      <c r="C3257">
        <f t="shared" si="51"/>
        <v>1908</v>
      </c>
      <c r="D3257" s="7">
        <v>3256</v>
      </c>
      <c r="E3257">
        <v>117.93429999999999</v>
      </c>
    </row>
    <row r="3258" spans="3:5" x14ac:dyDescent="0.35">
      <c r="C3258">
        <f t="shared" si="51"/>
        <v>1908</v>
      </c>
      <c r="D3258" s="7">
        <v>3257</v>
      </c>
      <c r="E3258">
        <v>112.2289</v>
      </c>
    </row>
    <row r="3259" spans="3:5" x14ac:dyDescent="0.35">
      <c r="C3259">
        <f t="shared" si="51"/>
        <v>1908</v>
      </c>
      <c r="D3259" s="7">
        <v>3258</v>
      </c>
      <c r="E3259">
        <v>116.16119999999999</v>
      </c>
    </row>
    <row r="3260" spans="3:5" x14ac:dyDescent="0.35">
      <c r="C3260">
        <f t="shared" si="51"/>
        <v>1908</v>
      </c>
      <c r="D3260" s="7">
        <v>3259</v>
      </c>
      <c r="E3260">
        <v>126.6965</v>
      </c>
    </row>
    <row r="3261" spans="3:5" x14ac:dyDescent="0.35">
      <c r="C3261">
        <f t="shared" si="51"/>
        <v>1908</v>
      </c>
      <c r="D3261" s="7">
        <v>3260</v>
      </c>
      <c r="E3261">
        <v>123.8587</v>
      </c>
    </row>
    <row r="3262" spans="3:5" x14ac:dyDescent="0.35">
      <c r="C3262">
        <f t="shared" si="51"/>
        <v>1908</v>
      </c>
      <c r="D3262" s="7">
        <v>3261</v>
      </c>
      <c r="E3262">
        <v>112.26139999999999</v>
      </c>
    </row>
    <row r="3263" spans="3:5" x14ac:dyDescent="0.35">
      <c r="C3263">
        <f t="shared" si="51"/>
        <v>1908</v>
      </c>
      <c r="D3263" s="7">
        <v>3262</v>
      </c>
      <c r="E3263">
        <v>101.1726</v>
      </c>
    </row>
    <row r="3264" spans="3:5" x14ac:dyDescent="0.35">
      <c r="C3264">
        <f t="shared" si="51"/>
        <v>1908</v>
      </c>
      <c r="D3264" s="7">
        <v>3263</v>
      </c>
      <c r="E3264">
        <v>125.895</v>
      </c>
    </row>
    <row r="3265" spans="3:5" x14ac:dyDescent="0.35">
      <c r="C3265">
        <f t="shared" si="51"/>
        <v>1908</v>
      </c>
      <c r="D3265" s="7">
        <v>3264</v>
      </c>
      <c r="E3265">
        <v>125.40860000000001</v>
      </c>
    </row>
    <row r="3266" spans="3:5" x14ac:dyDescent="0.35">
      <c r="C3266">
        <f t="shared" si="51"/>
        <v>1908</v>
      </c>
      <c r="D3266" s="7">
        <v>3265</v>
      </c>
      <c r="E3266">
        <v>126.6534</v>
      </c>
    </row>
    <row r="3267" spans="3:5" x14ac:dyDescent="0.35">
      <c r="C3267">
        <f t="shared" ref="C3267:C3330" si="52">YEAR(D3267)</f>
        <v>1908</v>
      </c>
      <c r="D3267" s="7">
        <v>3266</v>
      </c>
      <c r="E3267">
        <v>123.6879</v>
      </c>
    </row>
    <row r="3268" spans="3:5" x14ac:dyDescent="0.35">
      <c r="C3268">
        <f t="shared" si="52"/>
        <v>1908</v>
      </c>
      <c r="D3268" s="7">
        <v>3267</v>
      </c>
      <c r="E3268">
        <v>122.7706</v>
      </c>
    </row>
    <row r="3269" spans="3:5" x14ac:dyDescent="0.35">
      <c r="C3269">
        <f t="shared" si="52"/>
        <v>1908</v>
      </c>
      <c r="D3269" s="7">
        <v>3268</v>
      </c>
      <c r="E3269">
        <v>123.8154</v>
      </c>
    </row>
    <row r="3270" spans="3:5" x14ac:dyDescent="0.35">
      <c r="C3270">
        <f t="shared" si="52"/>
        <v>1908</v>
      </c>
      <c r="D3270" s="7">
        <v>3269</v>
      </c>
      <c r="E3270">
        <v>123.0668</v>
      </c>
    </row>
    <row r="3271" spans="3:5" x14ac:dyDescent="0.35">
      <c r="C3271">
        <f t="shared" si="52"/>
        <v>1908</v>
      </c>
      <c r="D3271" s="7">
        <v>3270</v>
      </c>
      <c r="E3271">
        <v>130.0035</v>
      </c>
    </row>
    <row r="3272" spans="3:5" x14ac:dyDescent="0.35">
      <c r="C3272">
        <f t="shared" si="52"/>
        <v>1908</v>
      </c>
      <c r="D3272" s="7">
        <v>3271</v>
      </c>
      <c r="E3272">
        <v>129.3228</v>
      </c>
    </row>
    <row r="3273" spans="3:5" x14ac:dyDescent="0.35">
      <c r="C3273">
        <f t="shared" si="52"/>
        <v>1908</v>
      </c>
      <c r="D3273" s="7">
        <v>3272</v>
      </c>
      <c r="E3273">
        <v>132.2116</v>
      </c>
    </row>
    <row r="3274" spans="3:5" x14ac:dyDescent="0.35">
      <c r="C3274">
        <f t="shared" si="52"/>
        <v>1908</v>
      </c>
      <c r="D3274" s="7">
        <v>3273</v>
      </c>
      <c r="E3274">
        <v>127.5665</v>
      </c>
    </row>
    <row r="3275" spans="3:5" x14ac:dyDescent="0.35">
      <c r="C3275">
        <f t="shared" si="52"/>
        <v>1908</v>
      </c>
      <c r="D3275" s="7">
        <v>3274</v>
      </c>
      <c r="E3275">
        <v>123.6292</v>
      </c>
    </row>
    <row r="3276" spans="3:5" x14ac:dyDescent="0.35">
      <c r="C3276">
        <f t="shared" si="52"/>
        <v>1908</v>
      </c>
      <c r="D3276" s="7">
        <v>3275</v>
      </c>
      <c r="E3276">
        <v>126.9059</v>
      </c>
    </row>
    <row r="3277" spans="3:5" x14ac:dyDescent="0.35">
      <c r="C3277">
        <f t="shared" si="52"/>
        <v>1908</v>
      </c>
      <c r="D3277" s="7">
        <v>3276</v>
      </c>
      <c r="E3277">
        <v>128.1285</v>
      </c>
    </row>
    <row r="3278" spans="3:5" x14ac:dyDescent="0.35">
      <c r="C3278">
        <f t="shared" si="52"/>
        <v>1908</v>
      </c>
      <c r="D3278" s="7">
        <v>3277</v>
      </c>
      <c r="E3278">
        <v>127.0703</v>
      </c>
    </row>
    <row r="3279" spans="3:5" x14ac:dyDescent="0.35">
      <c r="C3279">
        <f t="shared" si="52"/>
        <v>1908</v>
      </c>
      <c r="D3279" s="7">
        <v>3278</v>
      </c>
      <c r="E3279">
        <v>126.1253</v>
      </c>
    </row>
    <row r="3280" spans="3:5" x14ac:dyDescent="0.35">
      <c r="C3280">
        <f t="shared" si="52"/>
        <v>1908</v>
      </c>
      <c r="D3280" s="7">
        <v>3279</v>
      </c>
      <c r="E3280">
        <v>122.2512</v>
      </c>
    </row>
    <row r="3281" spans="3:5" x14ac:dyDescent="0.35">
      <c r="C3281">
        <f t="shared" si="52"/>
        <v>1908</v>
      </c>
      <c r="D3281" s="7">
        <v>3280</v>
      </c>
      <c r="E3281">
        <v>116.52500000000001</v>
      </c>
    </row>
    <row r="3282" spans="3:5" x14ac:dyDescent="0.35">
      <c r="C3282">
        <f t="shared" si="52"/>
        <v>1908</v>
      </c>
      <c r="D3282" s="7">
        <v>3281</v>
      </c>
      <c r="E3282">
        <v>113.79170000000001</v>
      </c>
    </row>
    <row r="3283" spans="3:5" x14ac:dyDescent="0.35">
      <c r="C3283">
        <f t="shared" si="52"/>
        <v>1908</v>
      </c>
      <c r="D3283" s="7">
        <v>3282</v>
      </c>
      <c r="E3283">
        <v>111.3725</v>
      </c>
    </row>
    <row r="3284" spans="3:5" x14ac:dyDescent="0.35">
      <c r="C3284">
        <f t="shared" si="52"/>
        <v>1908</v>
      </c>
      <c r="D3284" s="7">
        <v>3283</v>
      </c>
      <c r="E3284">
        <v>112.852</v>
      </c>
    </row>
    <row r="3285" spans="3:5" x14ac:dyDescent="0.35">
      <c r="C3285">
        <f t="shared" si="52"/>
        <v>1908</v>
      </c>
      <c r="D3285" s="7">
        <v>3284</v>
      </c>
      <c r="E3285">
        <v>105.1183</v>
      </c>
    </row>
    <row r="3286" spans="3:5" x14ac:dyDescent="0.35">
      <c r="C3286">
        <f t="shared" si="52"/>
        <v>1908</v>
      </c>
      <c r="D3286" s="7">
        <v>3285</v>
      </c>
      <c r="E3286">
        <v>104.256</v>
      </c>
    </row>
    <row r="3287" spans="3:5" x14ac:dyDescent="0.35">
      <c r="C3287">
        <f t="shared" si="52"/>
        <v>1908</v>
      </c>
      <c r="D3287" s="7">
        <v>3286</v>
      </c>
      <c r="E3287">
        <v>104.6097</v>
      </c>
    </row>
    <row r="3288" spans="3:5" x14ac:dyDescent="0.35">
      <c r="C3288">
        <f t="shared" si="52"/>
        <v>1908</v>
      </c>
      <c r="D3288" s="7">
        <v>3287</v>
      </c>
      <c r="E3288">
        <v>107.361</v>
      </c>
    </row>
    <row r="3289" spans="3:5" x14ac:dyDescent="0.35">
      <c r="C3289">
        <f t="shared" si="52"/>
        <v>1908</v>
      </c>
      <c r="D3289" s="7">
        <v>3288</v>
      </c>
      <c r="E3289">
        <v>106</v>
      </c>
    </row>
    <row r="3290" spans="3:5" x14ac:dyDescent="0.35">
      <c r="C3290">
        <f t="shared" si="52"/>
        <v>1909</v>
      </c>
      <c r="D3290" s="7">
        <v>3289</v>
      </c>
      <c r="E3290">
        <v>105.72790000000001</v>
      </c>
    </row>
    <row r="3291" spans="3:5" x14ac:dyDescent="0.35">
      <c r="C3291">
        <f t="shared" si="52"/>
        <v>1909</v>
      </c>
      <c r="D3291" s="7">
        <v>3290</v>
      </c>
      <c r="E3291">
        <v>104.6185</v>
      </c>
    </row>
    <row r="3292" spans="3:5" x14ac:dyDescent="0.35">
      <c r="C3292">
        <f t="shared" si="52"/>
        <v>1909</v>
      </c>
      <c r="D3292" s="7">
        <v>3291</v>
      </c>
      <c r="E3292">
        <v>98.617500000000007</v>
      </c>
    </row>
    <row r="3293" spans="3:5" x14ac:dyDescent="0.35">
      <c r="C3293">
        <f t="shared" si="52"/>
        <v>1909</v>
      </c>
      <c r="D3293" s="7">
        <v>3292</v>
      </c>
      <c r="E3293">
        <v>103.0903</v>
      </c>
    </row>
    <row r="3294" spans="3:5" x14ac:dyDescent="0.35">
      <c r="C3294">
        <f t="shared" si="52"/>
        <v>1909</v>
      </c>
      <c r="D3294" s="7">
        <v>3293</v>
      </c>
      <c r="E3294">
        <v>99.996300000000005</v>
      </c>
    </row>
    <row r="3295" spans="3:5" x14ac:dyDescent="0.35">
      <c r="C3295">
        <f t="shared" si="52"/>
        <v>1909</v>
      </c>
      <c r="D3295" s="7">
        <v>3294</v>
      </c>
      <c r="E3295">
        <v>97.618200000000002</v>
      </c>
    </row>
    <row r="3296" spans="3:5" x14ac:dyDescent="0.35">
      <c r="C3296">
        <f t="shared" si="52"/>
        <v>1909</v>
      </c>
      <c r="D3296" s="7">
        <v>3295</v>
      </c>
      <c r="E3296">
        <v>98.674000000000007</v>
      </c>
    </row>
    <row r="3297" spans="3:5" x14ac:dyDescent="0.35">
      <c r="C3297">
        <f t="shared" si="52"/>
        <v>1909</v>
      </c>
      <c r="D3297" s="7">
        <v>3296</v>
      </c>
      <c r="E3297">
        <v>102.5946</v>
      </c>
    </row>
    <row r="3298" spans="3:5" x14ac:dyDescent="0.35">
      <c r="C3298">
        <f t="shared" si="52"/>
        <v>1909</v>
      </c>
      <c r="D3298" s="7">
        <v>3297</v>
      </c>
      <c r="E3298">
        <v>100.35290000000001</v>
      </c>
    </row>
    <row r="3299" spans="3:5" x14ac:dyDescent="0.35">
      <c r="C3299">
        <f t="shared" si="52"/>
        <v>1909</v>
      </c>
      <c r="D3299" s="7">
        <v>3298</v>
      </c>
      <c r="E3299">
        <v>102.1544</v>
      </c>
    </row>
    <row r="3300" spans="3:5" x14ac:dyDescent="0.35">
      <c r="C3300">
        <f t="shared" si="52"/>
        <v>1909</v>
      </c>
      <c r="D3300" s="7">
        <v>3299</v>
      </c>
      <c r="E3300">
        <v>108.4693</v>
      </c>
    </row>
    <row r="3301" spans="3:5" x14ac:dyDescent="0.35">
      <c r="C3301">
        <f t="shared" si="52"/>
        <v>1909</v>
      </c>
      <c r="D3301" s="7">
        <v>3300</v>
      </c>
      <c r="E3301">
        <v>107.1061</v>
      </c>
    </row>
    <row r="3302" spans="3:5" x14ac:dyDescent="0.35">
      <c r="C3302">
        <f t="shared" si="52"/>
        <v>1909</v>
      </c>
      <c r="D3302" s="7">
        <v>3301</v>
      </c>
      <c r="E3302">
        <v>106.9594</v>
      </c>
    </row>
    <row r="3303" spans="3:5" x14ac:dyDescent="0.35">
      <c r="C3303">
        <f t="shared" si="52"/>
        <v>1909</v>
      </c>
      <c r="D3303" s="7">
        <v>3302</v>
      </c>
      <c r="E3303">
        <v>108.1896</v>
      </c>
    </row>
    <row r="3304" spans="3:5" x14ac:dyDescent="0.35">
      <c r="C3304">
        <f t="shared" si="52"/>
        <v>1909</v>
      </c>
      <c r="D3304" s="7">
        <v>3303</v>
      </c>
      <c r="E3304">
        <v>107.9828</v>
      </c>
    </row>
    <row r="3305" spans="3:5" x14ac:dyDescent="0.35">
      <c r="C3305">
        <f t="shared" si="52"/>
        <v>1909</v>
      </c>
      <c r="D3305" s="7">
        <v>3304</v>
      </c>
      <c r="E3305">
        <v>109.2206</v>
      </c>
    </row>
    <row r="3306" spans="3:5" x14ac:dyDescent="0.35">
      <c r="C3306">
        <f t="shared" si="52"/>
        <v>1909</v>
      </c>
      <c r="D3306" s="7">
        <v>3305</v>
      </c>
      <c r="E3306">
        <v>108.8629</v>
      </c>
    </row>
    <row r="3307" spans="3:5" x14ac:dyDescent="0.35">
      <c r="C3307">
        <f t="shared" si="52"/>
        <v>1909</v>
      </c>
      <c r="D3307" s="7">
        <v>3306</v>
      </c>
      <c r="E3307">
        <v>108.24250000000001</v>
      </c>
    </row>
    <row r="3308" spans="3:5" x14ac:dyDescent="0.35">
      <c r="C3308">
        <f t="shared" si="52"/>
        <v>1909</v>
      </c>
      <c r="D3308" s="7">
        <v>3307</v>
      </c>
      <c r="E3308">
        <v>107.0226</v>
      </c>
    </row>
    <row r="3309" spans="3:5" x14ac:dyDescent="0.35">
      <c r="C3309">
        <f t="shared" si="52"/>
        <v>1909</v>
      </c>
      <c r="D3309" s="7">
        <v>3308</v>
      </c>
      <c r="E3309">
        <v>109.8325</v>
      </c>
    </row>
    <row r="3310" spans="3:5" x14ac:dyDescent="0.35">
      <c r="C3310">
        <f t="shared" si="52"/>
        <v>1909</v>
      </c>
      <c r="D3310" s="7">
        <v>3309</v>
      </c>
      <c r="E3310">
        <v>107.4864</v>
      </c>
    </row>
    <row r="3311" spans="3:5" x14ac:dyDescent="0.35">
      <c r="C3311">
        <f t="shared" si="52"/>
        <v>1909</v>
      </c>
      <c r="D3311" s="7">
        <v>3310</v>
      </c>
      <c r="E3311">
        <v>104.8668</v>
      </c>
    </row>
    <row r="3312" spans="3:5" x14ac:dyDescent="0.35">
      <c r="C3312">
        <f t="shared" si="52"/>
        <v>1909</v>
      </c>
      <c r="D3312" s="7">
        <v>3311</v>
      </c>
      <c r="E3312">
        <v>105.26090000000001</v>
      </c>
    </row>
    <row r="3313" spans="3:5" x14ac:dyDescent="0.35">
      <c r="C3313">
        <f t="shared" si="52"/>
        <v>1909</v>
      </c>
      <c r="D3313" s="7">
        <v>3312</v>
      </c>
      <c r="E3313">
        <v>102.77079999999999</v>
      </c>
    </row>
    <row r="3314" spans="3:5" x14ac:dyDescent="0.35">
      <c r="C3314">
        <f t="shared" si="52"/>
        <v>1909</v>
      </c>
      <c r="D3314" s="7">
        <v>3313</v>
      </c>
      <c r="E3314">
        <v>100.2589</v>
      </c>
    </row>
    <row r="3315" spans="3:5" x14ac:dyDescent="0.35">
      <c r="C3315">
        <f t="shared" si="52"/>
        <v>1909</v>
      </c>
      <c r="D3315" s="7">
        <v>3314</v>
      </c>
      <c r="E3315">
        <v>101.7256</v>
      </c>
    </row>
    <row r="3316" spans="3:5" x14ac:dyDescent="0.35">
      <c r="C3316">
        <f t="shared" si="52"/>
        <v>1909</v>
      </c>
      <c r="D3316" s="7">
        <v>3315</v>
      </c>
      <c r="E3316">
        <v>99.585300000000004</v>
      </c>
    </row>
    <row r="3317" spans="3:5" x14ac:dyDescent="0.35">
      <c r="C3317">
        <f t="shared" si="52"/>
        <v>1909</v>
      </c>
      <c r="D3317" s="7">
        <v>3316</v>
      </c>
      <c r="E3317">
        <v>99.291399999999996</v>
      </c>
    </row>
    <row r="3318" spans="3:5" x14ac:dyDescent="0.35">
      <c r="C3318">
        <f t="shared" si="52"/>
        <v>1909</v>
      </c>
      <c r="D3318" s="7">
        <v>3317</v>
      </c>
      <c r="E3318">
        <v>104.5421</v>
      </c>
    </row>
    <row r="3319" spans="3:5" x14ac:dyDescent="0.35">
      <c r="C3319">
        <f t="shared" si="52"/>
        <v>1909</v>
      </c>
      <c r="D3319" s="7">
        <v>3318</v>
      </c>
      <c r="E3319">
        <v>100.8853</v>
      </c>
    </row>
    <row r="3320" spans="3:5" x14ac:dyDescent="0.35">
      <c r="C3320">
        <f t="shared" si="52"/>
        <v>1909</v>
      </c>
      <c r="D3320" s="7">
        <v>3319</v>
      </c>
      <c r="E3320">
        <v>99.505200000000002</v>
      </c>
    </row>
    <row r="3321" spans="3:5" x14ac:dyDescent="0.35">
      <c r="C3321">
        <f t="shared" si="52"/>
        <v>1909</v>
      </c>
      <c r="D3321" s="7">
        <v>3320</v>
      </c>
      <c r="E3321">
        <v>107.6904</v>
      </c>
    </row>
    <row r="3322" spans="3:5" x14ac:dyDescent="0.35">
      <c r="C3322">
        <f t="shared" si="52"/>
        <v>1909</v>
      </c>
      <c r="D3322" s="7">
        <v>3321</v>
      </c>
      <c r="E3322">
        <v>104.63760000000001</v>
      </c>
    </row>
    <row r="3323" spans="3:5" x14ac:dyDescent="0.35">
      <c r="C3323">
        <f t="shared" si="52"/>
        <v>1909</v>
      </c>
      <c r="D3323" s="7">
        <v>3322</v>
      </c>
      <c r="E3323">
        <v>97.686000000000007</v>
      </c>
    </row>
    <row r="3324" spans="3:5" x14ac:dyDescent="0.35">
      <c r="C3324">
        <f t="shared" si="52"/>
        <v>1909</v>
      </c>
      <c r="D3324" s="7">
        <v>3323</v>
      </c>
      <c r="E3324">
        <v>108.0206</v>
      </c>
    </row>
    <row r="3325" spans="3:5" x14ac:dyDescent="0.35">
      <c r="C3325">
        <f t="shared" si="52"/>
        <v>1909</v>
      </c>
      <c r="D3325" s="7">
        <v>3324</v>
      </c>
      <c r="E3325">
        <v>109.11199999999999</v>
      </c>
    </row>
    <row r="3326" spans="3:5" x14ac:dyDescent="0.35">
      <c r="C3326">
        <f t="shared" si="52"/>
        <v>1909</v>
      </c>
      <c r="D3326" s="7">
        <v>3325</v>
      </c>
      <c r="E3326">
        <v>106.657</v>
      </c>
    </row>
    <row r="3327" spans="3:5" x14ac:dyDescent="0.35">
      <c r="C3327">
        <f t="shared" si="52"/>
        <v>1909</v>
      </c>
      <c r="D3327" s="7">
        <v>3326</v>
      </c>
      <c r="E3327">
        <v>107.699</v>
      </c>
    </row>
    <row r="3328" spans="3:5" x14ac:dyDescent="0.35">
      <c r="C3328">
        <f t="shared" si="52"/>
        <v>1909</v>
      </c>
      <c r="D3328" s="7">
        <v>3327</v>
      </c>
      <c r="E3328">
        <v>106.80029999999999</v>
      </c>
    </row>
    <row r="3329" spans="3:5" x14ac:dyDescent="0.35">
      <c r="C3329">
        <f t="shared" si="52"/>
        <v>1909</v>
      </c>
      <c r="D3329" s="7">
        <v>3328</v>
      </c>
      <c r="E3329">
        <v>105.9415</v>
      </c>
    </row>
    <row r="3330" spans="3:5" x14ac:dyDescent="0.35">
      <c r="C3330">
        <f t="shared" si="52"/>
        <v>1909</v>
      </c>
      <c r="D3330" s="7">
        <v>3329</v>
      </c>
      <c r="E3330">
        <v>107.8288</v>
      </c>
    </row>
    <row r="3331" spans="3:5" x14ac:dyDescent="0.35">
      <c r="C3331">
        <f t="shared" ref="C3331:C3394" si="53">YEAR(D3331)</f>
        <v>1909</v>
      </c>
      <c r="D3331" s="7">
        <v>3330</v>
      </c>
      <c r="E3331">
        <v>113.9782</v>
      </c>
    </row>
    <row r="3332" spans="3:5" x14ac:dyDescent="0.35">
      <c r="C3332">
        <f t="shared" si="53"/>
        <v>1909</v>
      </c>
      <c r="D3332" s="7">
        <v>3331</v>
      </c>
      <c r="E3332">
        <v>116.0201</v>
      </c>
    </row>
    <row r="3333" spans="3:5" x14ac:dyDescent="0.35">
      <c r="C3333">
        <f t="shared" si="53"/>
        <v>1909</v>
      </c>
      <c r="D3333" s="7">
        <v>3332</v>
      </c>
      <c r="E3333">
        <v>110.4936</v>
      </c>
    </row>
    <row r="3334" spans="3:5" x14ac:dyDescent="0.35">
      <c r="C3334">
        <f t="shared" si="53"/>
        <v>1909</v>
      </c>
      <c r="D3334" s="7">
        <v>3333</v>
      </c>
      <c r="E3334">
        <v>111.2042</v>
      </c>
    </row>
    <row r="3335" spans="3:5" x14ac:dyDescent="0.35">
      <c r="C3335">
        <f t="shared" si="53"/>
        <v>1909</v>
      </c>
      <c r="D3335" s="7">
        <v>3334</v>
      </c>
      <c r="E3335">
        <v>114.4665</v>
      </c>
    </row>
    <row r="3336" spans="3:5" x14ac:dyDescent="0.35">
      <c r="C3336">
        <f t="shared" si="53"/>
        <v>1909</v>
      </c>
      <c r="D3336" s="7">
        <v>3335</v>
      </c>
      <c r="E3336">
        <v>123.96120000000001</v>
      </c>
    </row>
    <row r="3337" spans="3:5" x14ac:dyDescent="0.35">
      <c r="C3337">
        <f t="shared" si="53"/>
        <v>1909</v>
      </c>
      <c r="D3337" s="7">
        <v>3336</v>
      </c>
      <c r="E3337">
        <v>123.05929999999999</v>
      </c>
    </row>
    <row r="3338" spans="3:5" x14ac:dyDescent="0.35">
      <c r="C3338">
        <f t="shared" si="53"/>
        <v>1909</v>
      </c>
      <c r="D3338" s="7">
        <v>3337</v>
      </c>
      <c r="E3338">
        <v>125.9119</v>
      </c>
    </row>
    <row r="3339" spans="3:5" x14ac:dyDescent="0.35">
      <c r="C3339">
        <f t="shared" si="53"/>
        <v>1909</v>
      </c>
      <c r="D3339" s="7">
        <v>3338</v>
      </c>
      <c r="E3339">
        <v>116.6812</v>
      </c>
    </row>
    <row r="3340" spans="3:5" x14ac:dyDescent="0.35">
      <c r="C3340">
        <f t="shared" si="53"/>
        <v>1909</v>
      </c>
      <c r="D3340" s="7">
        <v>3339</v>
      </c>
      <c r="E3340">
        <v>119.3301</v>
      </c>
    </row>
    <row r="3341" spans="3:5" x14ac:dyDescent="0.35">
      <c r="C3341">
        <f t="shared" si="53"/>
        <v>1909</v>
      </c>
      <c r="D3341" s="7">
        <v>3340</v>
      </c>
      <c r="E3341">
        <v>123.3107</v>
      </c>
    </row>
    <row r="3342" spans="3:5" x14ac:dyDescent="0.35">
      <c r="C3342">
        <f t="shared" si="53"/>
        <v>1909</v>
      </c>
      <c r="D3342" s="7">
        <v>3341</v>
      </c>
      <c r="E3342">
        <v>120.19710000000001</v>
      </c>
    </row>
    <row r="3343" spans="3:5" x14ac:dyDescent="0.35">
      <c r="C3343">
        <f t="shared" si="53"/>
        <v>1909</v>
      </c>
      <c r="D3343" s="7">
        <v>3342</v>
      </c>
      <c r="E3343">
        <v>123.0806</v>
      </c>
    </row>
    <row r="3344" spans="3:5" x14ac:dyDescent="0.35">
      <c r="C3344">
        <f t="shared" si="53"/>
        <v>1909</v>
      </c>
      <c r="D3344" s="7">
        <v>3343</v>
      </c>
      <c r="E3344">
        <v>123.35590000000001</v>
      </c>
    </row>
    <row r="3345" spans="3:5" x14ac:dyDescent="0.35">
      <c r="C3345">
        <f t="shared" si="53"/>
        <v>1909</v>
      </c>
      <c r="D3345" s="7">
        <v>3344</v>
      </c>
      <c r="E3345">
        <v>121.3445</v>
      </c>
    </row>
    <row r="3346" spans="3:5" x14ac:dyDescent="0.35">
      <c r="C3346">
        <f t="shared" si="53"/>
        <v>1909</v>
      </c>
      <c r="D3346" s="7">
        <v>3345</v>
      </c>
      <c r="E3346">
        <v>116.70440000000001</v>
      </c>
    </row>
    <row r="3347" spans="3:5" x14ac:dyDescent="0.35">
      <c r="C3347">
        <f t="shared" si="53"/>
        <v>1909</v>
      </c>
      <c r="D3347" s="7">
        <v>3346</v>
      </c>
      <c r="E3347">
        <v>115.61790000000001</v>
      </c>
    </row>
    <row r="3348" spans="3:5" x14ac:dyDescent="0.35">
      <c r="C3348">
        <f t="shared" si="53"/>
        <v>1909</v>
      </c>
      <c r="D3348" s="7">
        <v>3347</v>
      </c>
      <c r="E3348">
        <v>124.474</v>
      </c>
    </row>
    <row r="3349" spans="3:5" x14ac:dyDescent="0.35">
      <c r="C3349">
        <f t="shared" si="53"/>
        <v>1909</v>
      </c>
      <c r="D3349" s="7">
        <v>3348</v>
      </c>
      <c r="E3349">
        <v>120.2927</v>
      </c>
    </row>
    <row r="3350" spans="3:5" x14ac:dyDescent="0.35">
      <c r="C3350">
        <f t="shared" si="53"/>
        <v>1909</v>
      </c>
      <c r="D3350" s="7">
        <v>3349</v>
      </c>
      <c r="E3350">
        <v>121.9774</v>
      </c>
    </row>
    <row r="3351" spans="3:5" x14ac:dyDescent="0.35">
      <c r="C3351">
        <f t="shared" si="53"/>
        <v>1909</v>
      </c>
      <c r="D3351" s="7">
        <v>3350</v>
      </c>
      <c r="E3351">
        <v>121.2522</v>
      </c>
    </row>
    <row r="3352" spans="3:5" x14ac:dyDescent="0.35">
      <c r="C3352">
        <f t="shared" si="53"/>
        <v>1909</v>
      </c>
      <c r="D3352" s="7">
        <v>3351</v>
      </c>
      <c r="E3352">
        <v>134.01679999999999</v>
      </c>
    </row>
    <row r="3353" spans="3:5" x14ac:dyDescent="0.35">
      <c r="C3353">
        <f t="shared" si="53"/>
        <v>1909</v>
      </c>
      <c r="D3353" s="7">
        <v>3352</v>
      </c>
      <c r="E3353">
        <v>135.03579999999999</v>
      </c>
    </row>
    <row r="3354" spans="3:5" x14ac:dyDescent="0.35">
      <c r="C3354">
        <f t="shared" si="53"/>
        <v>1909</v>
      </c>
      <c r="D3354" s="7">
        <v>3353</v>
      </c>
      <c r="E3354">
        <v>135.3098</v>
      </c>
    </row>
    <row r="3355" spans="3:5" x14ac:dyDescent="0.35">
      <c r="C3355">
        <f t="shared" si="53"/>
        <v>1909</v>
      </c>
      <c r="D3355" s="7">
        <v>3354</v>
      </c>
      <c r="E3355">
        <v>132.98849999999999</v>
      </c>
    </row>
    <row r="3356" spans="3:5" x14ac:dyDescent="0.35">
      <c r="C3356">
        <f t="shared" si="53"/>
        <v>1909</v>
      </c>
      <c r="D3356" s="7">
        <v>3355</v>
      </c>
      <c r="E3356">
        <v>132.65979999999999</v>
      </c>
    </row>
    <row r="3357" spans="3:5" x14ac:dyDescent="0.35">
      <c r="C3357">
        <f t="shared" si="53"/>
        <v>1909</v>
      </c>
      <c r="D3357" s="7">
        <v>3356</v>
      </c>
      <c r="E3357">
        <v>133.17089999999999</v>
      </c>
    </row>
    <row r="3358" spans="3:5" x14ac:dyDescent="0.35">
      <c r="C3358">
        <f t="shared" si="53"/>
        <v>1909</v>
      </c>
      <c r="D3358" s="7">
        <v>3357</v>
      </c>
      <c r="E3358">
        <v>128.4298</v>
      </c>
    </row>
    <row r="3359" spans="3:5" x14ac:dyDescent="0.35">
      <c r="C3359">
        <f t="shared" si="53"/>
        <v>1909</v>
      </c>
      <c r="D3359" s="7">
        <v>3358</v>
      </c>
      <c r="E3359">
        <v>126.9462</v>
      </c>
    </row>
    <row r="3360" spans="3:5" x14ac:dyDescent="0.35">
      <c r="C3360">
        <f t="shared" si="53"/>
        <v>1909</v>
      </c>
      <c r="D3360" s="7">
        <v>3359</v>
      </c>
      <c r="E3360">
        <v>130.01730000000001</v>
      </c>
    </row>
    <row r="3361" spans="3:5" x14ac:dyDescent="0.35">
      <c r="C3361">
        <f t="shared" si="53"/>
        <v>1909</v>
      </c>
      <c r="D3361" s="7">
        <v>3360</v>
      </c>
      <c r="E3361">
        <v>132.78790000000001</v>
      </c>
    </row>
    <row r="3362" spans="3:5" x14ac:dyDescent="0.35">
      <c r="C3362">
        <f t="shared" si="53"/>
        <v>1909</v>
      </c>
      <c r="D3362" s="7">
        <v>3361</v>
      </c>
      <c r="E3362">
        <v>127.6032</v>
      </c>
    </row>
    <row r="3363" spans="3:5" x14ac:dyDescent="0.35">
      <c r="C3363">
        <f t="shared" si="53"/>
        <v>1909</v>
      </c>
      <c r="D3363" s="7">
        <v>3362</v>
      </c>
      <c r="E3363">
        <v>130.50919999999999</v>
      </c>
    </row>
    <row r="3364" spans="3:5" x14ac:dyDescent="0.35">
      <c r="C3364">
        <f t="shared" si="53"/>
        <v>1909</v>
      </c>
      <c r="D3364" s="7">
        <v>3363</v>
      </c>
      <c r="E3364">
        <v>132.68430000000001</v>
      </c>
    </row>
    <row r="3365" spans="3:5" x14ac:dyDescent="0.35">
      <c r="C3365">
        <f t="shared" si="53"/>
        <v>1909</v>
      </c>
      <c r="D3365" s="7">
        <v>3364</v>
      </c>
      <c r="E3365">
        <v>131.86240000000001</v>
      </c>
    </row>
    <row r="3366" spans="3:5" x14ac:dyDescent="0.35">
      <c r="C3366">
        <f t="shared" si="53"/>
        <v>1909</v>
      </c>
      <c r="D3366" s="7">
        <v>3365</v>
      </c>
      <c r="E3366">
        <v>130.57419999999999</v>
      </c>
    </row>
    <row r="3367" spans="3:5" x14ac:dyDescent="0.35">
      <c r="C3367">
        <f t="shared" si="53"/>
        <v>1909</v>
      </c>
      <c r="D3367" s="7">
        <v>3366</v>
      </c>
      <c r="E3367">
        <v>127.7252</v>
      </c>
    </row>
    <row r="3368" spans="3:5" x14ac:dyDescent="0.35">
      <c r="C3368">
        <f t="shared" si="53"/>
        <v>1909</v>
      </c>
      <c r="D3368" s="7">
        <v>3367</v>
      </c>
      <c r="E3368">
        <v>131.49100000000001</v>
      </c>
    </row>
    <row r="3369" spans="3:5" x14ac:dyDescent="0.35">
      <c r="C3369">
        <f t="shared" si="53"/>
        <v>1909</v>
      </c>
      <c r="D3369" s="7">
        <v>3368</v>
      </c>
      <c r="E3369">
        <v>135.83250000000001</v>
      </c>
    </row>
    <row r="3370" spans="3:5" x14ac:dyDescent="0.35">
      <c r="C3370">
        <f t="shared" si="53"/>
        <v>1909</v>
      </c>
      <c r="D3370" s="7">
        <v>3369</v>
      </c>
      <c r="E3370">
        <v>138.32159999999999</v>
      </c>
    </row>
    <row r="3371" spans="3:5" x14ac:dyDescent="0.35">
      <c r="C3371">
        <f t="shared" si="53"/>
        <v>1909</v>
      </c>
      <c r="D3371" s="7">
        <v>3370</v>
      </c>
      <c r="E3371">
        <v>137.7895</v>
      </c>
    </row>
    <row r="3372" spans="3:5" x14ac:dyDescent="0.35">
      <c r="C3372">
        <f t="shared" si="53"/>
        <v>1909</v>
      </c>
      <c r="D3372" s="7">
        <v>3371</v>
      </c>
      <c r="E3372">
        <v>137.49639999999999</v>
      </c>
    </row>
    <row r="3373" spans="3:5" x14ac:dyDescent="0.35">
      <c r="C3373">
        <f t="shared" si="53"/>
        <v>1909</v>
      </c>
      <c r="D3373" s="7">
        <v>3372</v>
      </c>
      <c r="E3373">
        <v>140.76150000000001</v>
      </c>
    </row>
    <row r="3374" spans="3:5" x14ac:dyDescent="0.35">
      <c r="C3374">
        <f t="shared" si="53"/>
        <v>1909</v>
      </c>
      <c r="D3374" s="7">
        <v>3373</v>
      </c>
      <c r="E3374">
        <v>140.31790000000001</v>
      </c>
    </row>
    <row r="3375" spans="3:5" x14ac:dyDescent="0.35">
      <c r="C3375">
        <f t="shared" si="53"/>
        <v>1909</v>
      </c>
      <c r="D3375" s="7">
        <v>3374</v>
      </c>
      <c r="E3375">
        <v>147.97030000000001</v>
      </c>
    </row>
    <row r="3376" spans="3:5" x14ac:dyDescent="0.35">
      <c r="C3376">
        <f t="shared" si="53"/>
        <v>1909</v>
      </c>
      <c r="D3376" s="7">
        <v>3375</v>
      </c>
      <c r="E3376">
        <v>159.05289999999999</v>
      </c>
    </row>
    <row r="3377" spans="3:5" x14ac:dyDescent="0.35">
      <c r="C3377">
        <f t="shared" si="53"/>
        <v>1909</v>
      </c>
      <c r="D3377" s="7">
        <v>3376</v>
      </c>
      <c r="E3377">
        <v>156.7114</v>
      </c>
    </row>
    <row r="3378" spans="3:5" x14ac:dyDescent="0.35">
      <c r="C3378">
        <f t="shared" si="53"/>
        <v>1909</v>
      </c>
      <c r="D3378" s="7">
        <v>3377</v>
      </c>
      <c r="E3378">
        <v>156.80670000000001</v>
      </c>
    </row>
    <row r="3379" spans="3:5" x14ac:dyDescent="0.35">
      <c r="C3379">
        <f t="shared" si="53"/>
        <v>1909</v>
      </c>
      <c r="D3379" s="7">
        <v>3378</v>
      </c>
      <c r="E3379">
        <v>155.8571</v>
      </c>
    </row>
    <row r="3380" spans="3:5" x14ac:dyDescent="0.35">
      <c r="C3380">
        <f t="shared" si="53"/>
        <v>1909</v>
      </c>
      <c r="D3380" s="7">
        <v>3379</v>
      </c>
      <c r="E3380">
        <v>159.7063</v>
      </c>
    </row>
    <row r="3381" spans="3:5" x14ac:dyDescent="0.35">
      <c r="C3381">
        <f t="shared" si="53"/>
        <v>1909</v>
      </c>
      <c r="D3381" s="7">
        <v>3380</v>
      </c>
      <c r="E3381">
        <v>156.95689999999999</v>
      </c>
    </row>
    <row r="3382" spans="3:5" x14ac:dyDescent="0.35">
      <c r="C3382">
        <f t="shared" si="53"/>
        <v>1909</v>
      </c>
      <c r="D3382" s="7">
        <v>3381</v>
      </c>
      <c r="E3382">
        <v>156.9288</v>
      </c>
    </row>
    <row r="3383" spans="3:5" x14ac:dyDescent="0.35">
      <c r="C3383">
        <f t="shared" si="53"/>
        <v>1909</v>
      </c>
      <c r="D3383" s="7">
        <v>3382</v>
      </c>
      <c r="E3383">
        <v>154.3485</v>
      </c>
    </row>
    <row r="3384" spans="3:5" x14ac:dyDescent="0.35">
      <c r="C3384">
        <f t="shared" si="53"/>
        <v>1909</v>
      </c>
      <c r="D3384" s="7">
        <v>3383</v>
      </c>
      <c r="E3384">
        <v>159.81790000000001</v>
      </c>
    </row>
    <row r="3385" spans="3:5" x14ac:dyDescent="0.35">
      <c r="C3385">
        <f t="shared" si="53"/>
        <v>1909</v>
      </c>
      <c r="D3385" s="7">
        <v>3384</v>
      </c>
      <c r="E3385">
        <v>152.84110000000001</v>
      </c>
    </row>
    <row r="3386" spans="3:5" x14ac:dyDescent="0.35">
      <c r="C3386">
        <f t="shared" si="53"/>
        <v>1909</v>
      </c>
      <c r="D3386" s="7">
        <v>3385</v>
      </c>
      <c r="E3386">
        <v>156.78530000000001</v>
      </c>
    </row>
    <row r="3387" spans="3:5" x14ac:dyDescent="0.35">
      <c r="C3387">
        <f t="shared" si="53"/>
        <v>1909</v>
      </c>
      <c r="D3387" s="7">
        <v>3386</v>
      </c>
      <c r="E3387">
        <v>153.6712</v>
      </c>
    </row>
    <row r="3388" spans="3:5" x14ac:dyDescent="0.35">
      <c r="C3388">
        <f t="shared" si="53"/>
        <v>1909</v>
      </c>
      <c r="D3388" s="7">
        <v>3387</v>
      </c>
      <c r="E3388">
        <v>142.84610000000001</v>
      </c>
    </row>
    <row r="3389" spans="3:5" x14ac:dyDescent="0.35">
      <c r="C3389">
        <f t="shared" si="53"/>
        <v>1909</v>
      </c>
      <c r="D3389" s="7">
        <v>3388</v>
      </c>
      <c r="E3389">
        <v>137.44309999999999</v>
      </c>
    </row>
    <row r="3390" spans="3:5" x14ac:dyDescent="0.35">
      <c r="C3390">
        <f t="shared" si="53"/>
        <v>1909</v>
      </c>
      <c r="D3390" s="7">
        <v>3389</v>
      </c>
      <c r="E3390">
        <v>149.52459999999999</v>
      </c>
    </row>
    <row r="3391" spans="3:5" x14ac:dyDescent="0.35">
      <c r="C3391">
        <f t="shared" si="53"/>
        <v>1909</v>
      </c>
      <c r="D3391" s="7">
        <v>3390</v>
      </c>
      <c r="E3391">
        <v>157.5367</v>
      </c>
    </row>
    <row r="3392" spans="3:5" x14ac:dyDescent="0.35">
      <c r="C3392">
        <f t="shared" si="53"/>
        <v>1909</v>
      </c>
      <c r="D3392" s="7">
        <v>3391</v>
      </c>
      <c r="E3392">
        <v>151.3407</v>
      </c>
    </row>
    <row r="3393" spans="3:5" x14ac:dyDescent="0.35">
      <c r="C3393">
        <f t="shared" si="53"/>
        <v>1909</v>
      </c>
      <c r="D3393" s="7">
        <v>3392</v>
      </c>
      <c r="E3393">
        <v>147.35669999999999</v>
      </c>
    </row>
    <row r="3394" spans="3:5" x14ac:dyDescent="0.35">
      <c r="C3394">
        <f t="shared" si="53"/>
        <v>1909</v>
      </c>
      <c r="D3394" s="7">
        <v>3393</v>
      </c>
      <c r="E3394">
        <v>152.60599999999999</v>
      </c>
    </row>
    <row r="3395" spans="3:5" x14ac:dyDescent="0.35">
      <c r="C3395">
        <f t="shared" ref="C3395:C3458" si="54">YEAR(D3395)</f>
        <v>1909</v>
      </c>
      <c r="D3395" s="7">
        <v>3394</v>
      </c>
      <c r="E3395">
        <v>151.999</v>
      </c>
    </row>
    <row r="3396" spans="3:5" x14ac:dyDescent="0.35">
      <c r="C3396">
        <f t="shared" si="54"/>
        <v>1909</v>
      </c>
      <c r="D3396" s="7">
        <v>3395</v>
      </c>
      <c r="E3396">
        <v>148.34870000000001</v>
      </c>
    </row>
    <row r="3397" spans="3:5" x14ac:dyDescent="0.35">
      <c r="C3397">
        <f t="shared" si="54"/>
        <v>1909</v>
      </c>
      <c r="D3397" s="7">
        <v>3396</v>
      </c>
      <c r="E3397">
        <v>147.9545</v>
      </c>
    </row>
    <row r="3398" spans="3:5" x14ac:dyDescent="0.35">
      <c r="C3398">
        <f t="shared" si="54"/>
        <v>1909</v>
      </c>
      <c r="D3398" s="7">
        <v>3397</v>
      </c>
      <c r="E3398">
        <v>146.87129999999999</v>
      </c>
    </row>
    <row r="3399" spans="3:5" x14ac:dyDescent="0.35">
      <c r="C3399">
        <f t="shared" si="54"/>
        <v>1909</v>
      </c>
      <c r="D3399" s="7">
        <v>3398</v>
      </c>
      <c r="E3399">
        <v>142.22040000000001</v>
      </c>
    </row>
    <row r="3400" spans="3:5" x14ac:dyDescent="0.35">
      <c r="C3400">
        <f t="shared" si="54"/>
        <v>1909</v>
      </c>
      <c r="D3400" s="7">
        <v>3399</v>
      </c>
      <c r="E3400">
        <v>142.94710000000001</v>
      </c>
    </row>
    <row r="3401" spans="3:5" x14ac:dyDescent="0.35">
      <c r="C3401">
        <f t="shared" si="54"/>
        <v>1909</v>
      </c>
      <c r="D3401" s="7">
        <v>3400</v>
      </c>
      <c r="E3401">
        <v>140.2311</v>
      </c>
    </row>
    <row r="3402" spans="3:5" x14ac:dyDescent="0.35">
      <c r="C3402">
        <f t="shared" si="54"/>
        <v>1909</v>
      </c>
      <c r="D3402" s="7">
        <v>3401</v>
      </c>
      <c r="E3402">
        <v>144.45949999999999</v>
      </c>
    </row>
    <row r="3403" spans="3:5" x14ac:dyDescent="0.35">
      <c r="C3403">
        <f t="shared" si="54"/>
        <v>1909</v>
      </c>
      <c r="D3403" s="7">
        <v>3402</v>
      </c>
      <c r="E3403">
        <v>136.2764</v>
      </c>
    </row>
    <row r="3404" spans="3:5" x14ac:dyDescent="0.35">
      <c r="C3404">
        <f t="shared" si="54"/>
        <v>1909</v>
      </c>
      <c r="D3404" s="7">
        <v>3403</v>
      </c>
      <c r="E3404">
        <v>131.11789999999999</v>
      </c>
    </row>
    <row r="3405" spans="3:5" x14ac:dyDescent="0.35">
      <c r="C3405">
        <f t="shared" si="54"/>
        <v>1909</v>
      </c>
      <c r="D3405" s="7">
        <v>3404</v>
      </c>
      <c r="E3405">
        <v>130.40360000000001</v>
      </c>
    </row>
    <row r="3406" spans="3:5" x14ac:dyDescent="0.35">
      <c r="C3406">
        <f t="shared" si="54"/>
        <v>1909</v>
      </c>
      <c r="D3406" s="7">
        <v>3405</v>
      </c>
      <c r="E3406">
        <v>132.12540000000001</v>
      </c>
    </row>
    <row r="3407" spans="3:5" x14ac:dyDescent="0.35">
      <c r="C3407">
        <f t="shared" si="54"/>
        <v>1909</v>
      </c>
      <c r="D3407" s="7">
        <v>3406</v>
      </c>
      <c r="E3407">
        <v>139.49809999999999</v>
      </c>
    </row>
    <row r="3408" spans="3:5" x14ac:dyDescent="0.35">
      <c r="C3408">
        <f t="shared" si="54"/>
        <v>1909</v>
      </c>
      <c r="D3408" s="7">
        <v>3407</v>
      </c>
      <c r="E3408">
        <v>134.7544</v>
      </c>
    </row>
    <row r="3409" spans="3:5" x14ac:dyDescent="0.35">
      <c r="C3409">
        <f t="shared" si="54"/>
        <v>1909</v>
      </c>
      <c r="D3409" s="7">
        <v>3408</v>
      </c>
      <c r="E3409">
        <v>138.8295</v>
      </c>
    </row>
    <row r="3410" spans="3:5" x14ac:dyDescent="0.35">
      <c r="C3410">
        <f t="shared" si="54"/>
        <v>1909</v>
      </c>
      <c r="D3410" s="7">
        <v>3409</v>
      </c>
      <c r="E3410">
        <v>136.8544</v>
      </c>
    </row>
    <row r="3411" spans="3:5" x14ac:dyDescent="0.35">
      <c r="C3411">
        <f t="shared" si="54"/>
        <v>1909</v>
      </c>
      <c r="D3411" s="7">
        <v>3410</v>
      </c>
      <c r="E3411">
        <v>140.03469999999999</v>
      </c>
    </row>
    <row r="3412" spans="3:5" x14ac:dyDescent="0.35">
      <c r="C3412">
        <f t="shared" si="54"/>
        <v>1909</v>
      </c>
      <c r="D3412" s="7">
        <v>3411</v>
      </c>
      <c r="E3412">
        <v>148.7587</v>
      </c>
    </row>
    <row r="3413" spans="3:5" x14ac:dyDescent="0.35">
      <c r="C3413">
        <f t="shared" si="54"/>
        <v>1909</v>
      </c>
      <c r="D3413" s="7">
        <v>3412</v>
      </c>
      <c r="E3413">
        <v>148.63200000000001</v>
      </c>
    </row>
    <row r="3414" spans="3:5" x14ac:dyDescent="0.35">
      <c r="C3414">
        <f t="shared" si="54"/>
        <v>1909</v>
      </c>
      <c r="D3414" s="7">
        <v>3413</v>
      </c>
      <c r="E3414">
        <v>156.72229999999999</v>
      </c>
    </row>
    <row r="3415" spans="3:5" x14ac:dyDescent="0.35">
      <c r="C3415">
        <f t="shared" si="54"/>
        <v>1909</v>
      </c>
      <c r="D3415" s="7">
        <v>3414</v>
      </c>
      <c r="E3415">
        <v>153.75720000000001</v>
      </c>
    </row>
    <row r="3416" spans="3:5" x14ac:dyDescent="0.35">
      <c r="C3416">
        <f t="shared" si="54"/>
        <v>1909</v>
      </c>
      <c r="D3416" s="7">
        <v>3415</v>
      </c>
      <c r="E3416">
        <v>148.18899999999999</v>
      </c>
    </row>
    <row r="3417" spans="3:5" x14ac:dyDescent="0.35">
      <c r="C3417">
        <f t="shared" si="54"/>
        <v>1909</v>
      </c>
      <c r="D3417" s="7">
        <v>3416</v>
      </c>
      <c r="E3417">
        <v>150.06280000000001</v>
      </c>
    </row>
    <row r="3418" spans="3:5" x14ac:dyDescent="0.35">
      <c r="C3418">
        <f t="shared" si="54"/>
        <v>1909</v>
      </c>
      <c r="D3418" s="7">
        <v>3417</v>
      </c>
      <c r="E3418">
        <v>146.88650000000001</v>
      </c>
    </row>
    <row r="3419" spans="3:5" x14ac:dyDescent="0.35">
      <c r="C3419">
        <f t="shared" si="54"/>
        <v>1909</v>
      </c>
      <c r="D3419" s="7">
        <v>3418</v>
      </c>
      <c r="E3419">
        <v>137.87459999999999</v>
      </c>
    </row>
    <row r="3420" spans="3:5" x14ac:dyDescent="0.35">
      <c r="C3420">
        <f t="shared" si="54"/>
        <v>1909</v>
      </c>
      <c r="D3420" s="7">
        <v>3419</v>
      </c>
      <c r="E3420">
        <v>143.56010000000001</v>
      </c>
    </row>
    <row r="3421" spans="3:5" x14ac:dyDescent="0.35">
      <c r="C3421">
        <f t="shared" si="54"/>
        <v>1909</v>
      </c>
      <c r="D3421" s="7">
        <v>3420</v>
      </c>
      <c r="E3421">
        <v>137.8237</v>
      </c>
    </row>
    <row r="3422" spans="3:5" x14ac:dyDescent="0.35">
      <c r="C3422">
        <f t="shared" si="54"/>
        <v>1909</v>
      </c>
      <c r="D3422" s="7">
        <v>3421</v>
      </c>
      <c r="E3422">
        <v>135.12360000000001</v>
      </c>
    </row>
    <row r="3423" spans="3:5" x14ac:dyDescent="0.35">
      <c r="C3423">
        <f t="shared" si="54"/>
        <v>1909</v>
      </c>
      <c r="D3423" s="7">
        <v>3422</v>
      </c>
      <c r="E3423">
        <v>128.78829999999999</v>
      </c>
    </row>
    <row r="3424" spans="3:5" x14ac:dyDescent="0.35">
      <c r="C3424">
        <f t="shared" si="54"/>
        <v>1909</v>
      </c>
      <c r="D3424" s="7">
        <v>3423</v>
      </c>
      <c r="E3424">
        <v>130.3124</v>
      </c>
    </row>
    <row r="3425" spans="3:5" x14ac:dyDescent="0.35">
      <c r="C3425">
        <f t="shared" si="54"/>
        <v>1909</v>
      </c>
      <c r="D3425" s="7">
        <v>3424</v>
      </c>
      <c r="E3425">
        <v>130.65710000000001</v>
      </c>
    </row>
    <row r="3426" spans="3:5" x14ac:dyDescent="0.35">
      <c r="C3426">
        <f t="shared" si="54"/>
        <v>1909</v>
      </c>
      <c r="D3426" s="7">
        <v>3425</v>
      </c>
      <c r="E3426">
        <v>123.1671</v>
      </c>
    </row>
    <row r="3427" spans="3:5" x14ac:dyDescent="0.35">
      <c r="C3427">
        <f t="shared" si="54"/>
        <v>1909</v>
      </c>
      <c r="D3427" s="7">
        <v>3426</v>
      </c>
      <c r="E3427">
        <v>120.4581</v>
      </c>
    </row>
    <row r="3428" spans="3:5" x14ac:dyDescent="0.35">
      <c r="C3428">
        <f t="shared" si="54"/>
        <v>1909</v>
      </c>
      <c r="D3428" s="7">
        <v>3427</v>
      </c>
      <c r="E3428">
        <v>115.9422</v>
      </c>
    </row>
    <row r="3429" spans="3:5" x14ac:dyDescent="0.35">
      <c r="C3429">
        <f t="shared" si="54"/>
        <v>1909</v>
      </c>
      <c r="D3429" s="7">
        <v>3428</v>
      </c>
      <c r="E3429">
        <v>119.9029</v>
      </c>
    </row>
    <row r="3430" spans="3:5" x14ac:dyDescent="0.35">
      <c r="C3430">
        <f t="shared" si="54"/>
        <v>1909</v>
      </c>
      <c r="D3430" s="7">
        <v>3429</v>
      </c>
      <c r="E3430">
        <v>122.2574</v>
      </c>
    </row>
    <row r="3431" spans="3:5" x14ac:dyDescent="0.35">
      <c r="C3431">
        <f t="shared" si="54"/>
        <v>1909</v>
      </c>
      <c r="D3431" s="7">
        <v>3430</v>
      </c>
      <c r="E3431">
        <v>113.1587</v>
      </c>
    </row>
    <row r="3432" spans="3:5" x14ac:dyDescent="0.35">
      <c r="C3432">
        <f t="shared" si="54"/>
        <v>1909</v>
      </c>
      <c r="D3432" s="7">
        <v>3431</v>
      </c>
      <c r="E3432">
        <v>119.10680000000001</v>
      </c>
    </row>
    <row r="3433" spans="3:5" x14ac:dyDescent="0.35">
      <c r="C3433">
        <f t="shared" si="54"/>
        <v>1909</v>
      </c>
      <c r="D3433" s="7">
        <v>3432</v>
      </c>
      <c r="E3433">
        <v>120.61069999999999</v>
      </c>
    </row>
    <row r="3434" spans="3:5" x14ac:dyDescent="0.35">
      <c r="C3434">
        <f t="shared" si="54"/>
        <v>1909</v>
      </c>
      <c r="D3434" s="7">
        <v>3433</v>
      </c>
      <c r="E3434">
        <v>120.9367</v>
      </c>
    </row>
    <row r="3435" spans="3:5" x14ac:dyDescent="0.35">
      <c r="C3435">
        <f t="shared" si="54"/>
        <v>1909</v>
      </c>
      <c r="D3435" s="7">
        <v>3434</v>
      </c>
      <c r="E3435">
        <v>120.485</v>
      </c>
    </row>
    <row r="3436" spans="3:5" x14ac:dyDescent="0.35">
      <c r="C3436">
        <f t="shared" si="54"/>
        <v>1909</v>
      </c>
      <c r="D3436" s="7">
        <v>3435</v>
      </c>
      <c r="E3436">
        <v>121.1267</v>
      </c>
    </row>
    <row r="3437" spans="3:5" x14ac:dyDescent="0.35">
      <c r="C3437">
        <f t="shared" si="54"/>
        <v>1909</v>
      </c>
      <c r="D3437" s="7">
        <v>3436</v>
      </c>
      <c r="E3437">
        <v>123.33369999999999</v>
      </c>
    </row>
    <row r="3438" spans="3:5" x14ac:dyDescent="0.35">
      <c r="C3438">
        <f t="shared" si="54"/>
        <v>1909</v>
      </c>
      <c r="D3438" s="7">
        <v>3437</v>
      </c>
      <c r="E3438">
        <v>124.3</v>
      </c>
    </row>
    <row r="3439" spans="3:5" x14ac:dyDescent="0.35">
      <c r="C3439">
        <f t="shared" si="54"/>
        <v>1909</v>
      </c>
      <c r="D3439" s="7">
        <v>3438</v>
      </c>
      <c r="E3439">
        <v>125.0908</v>
      </c>
    </row>
    <row r="3440" spans="3:5" x14ac:dyDescent="0.35">
      <c r="C3440">
        <f t="shared" si="54"/>
        <v>1909</v>
      </c>
      <c r="D3440" s="7">
        <v>3439</v>
      </c>
      <c r="E3440">
        <v>125.6354</v>
      </c>
    </row>
    <row r="3441" spans="3:5" x14ac:dyDescent="0.35">
      <c r="C3441">
        <f t="shared" si="54"/>
        <v>1909</v>
      </c>
      <c r="D3441" s="7">
        <v>3440</v>
      </c>
      <c r="E3441">
        <v>127.8631</v>
      </c>
    </row>
    <row r="3442" spans="3:5" x14ac:dyDescent="0.35">
      <c r="C3442">
        <f t="shared" si="54"/>
        <v>1909</v>
      </c>
      <c r="D3442" s="7">
        <v>3441</v>
      </c>
      <c r="E3442">
        <v>127.8263</v>
      </c>
    </row>
    <row r="3443" spans="3:5" x14ac:dyDescent="0.35">
      <c r="C3443">
        <f t="shared" si="54"/>
        <v>1909</v>
      </c>
      <c r="D3443" s="7">
        <v>3442</v>
      </c>
      <c r="E3443">
        <v>129.25710000000001</v>
      </c>
    </row>
    <row r="3444" spans="3:5" x14ac:dyDescent="0.35">
      <c r="C3444">
        <f t="shared" si="54"/>
        <v>1909</v>
      </c>
      <c r="D3444" s="7">
        <v>3443</v>
      </c>
      <c r="E3444">
        <v>130.19290000000001</v>
      </c>
    </row>
    <row r="3445" spans="3:5" x14ac:dyDescent="0.35">
      <c r="C3445">
        <f t="shared" si="54"/>
        <v>1909</v>
      </c>
      <c r="D3445" s="7">
        <v>3444</v>
      </c>
      <c r="E3445">
        <v>131.40969999999999</v>
      </c>
    </row>
    <row r="3446" spans="3:5" x14ac:dyDescent="0.35">
      <c r="C3446">
        <f t="shared" si="54"/>
        <v>1909</v>
      </c>
      <c r="D3446" s="7">
        <v>3445</v>
      </c>
      <c r="E3446">
        <v>130.53139999999999</v>
      </c>
    </row>
    <row r="3447" spans="3:5" x14ac:dyDescent="0.35">
      <c r="C3447">
        <f t="shared" si="54"/>
        <v>1909</v>
      </c>
      <c r="D3447" s="7">
        <v>3446</v>
      </c>
      <c r="E3447">
        <v>133.54830000000001</v>
      </c>
    </row>
    <row r="3448" spans="3:5" x14ac:dyDescent="0.35">
      <c r="C3448">
        <f t="shared" si="54"/>
        <v>1909</v>
      </c>
      <c r="D3448" s="7">
        <v>3447</v>
      </c>
      <c r="E3448">
        <v>139.0412</v>
      </c>
    </row>
    <row r="3449" spans="3:5" x14ac:dyDescent="0.35">
      <c r="C3449">
        <f t="shared" si="54"/>
        <v>1909</v>
      </c>
      <c r="D3449" s="7">
        <v>3448</v>
      </c>
      <c r="E3449">
        <v>139.85290000000001</v>
      </c>
    </row>
    <row r="3450" spans="3:5" x14ac:dyDescent="0.35">
      <c r="C3450">
        <f t="shared" si="54"/>
        <v>1909</v>
      </c>
      <c r="D3450" s="7">
        <v>3449</v>
      </c>
      <c r="E3450">
        <v>145.15020000000001</v>
      </c>
    </row>
    <row r="3451" spans="3:5" x14ac:dyDescent="0.35">
      <c r="C3451">
        <f t="shared" si="54"/>
        <v>1909</v>
      </c>
      <c r="D3451" s="7">
        <v>3450</v>
      </c>
      <c r="E3451">
        <v>142.11840000000001</v>
      </c>
    </row>
    <row r="3452" spans="3:5" x14ac:dyDescent="0.35">
      <c r="C3452">
        <f t="shared" si="54"/>
        <v>1909</v>
      </c>
      <c r="D3452" s="7">
        <v>3451</v>
      </c>
      <c r="E3452">
        <v>139.9109</v>
      </c>
    </row>
    <row r="3453" spans="3:5" x14ac:dyDescent="0.35">
      <c r="C3453">
        <f t="shared" si="54"/>
        <v>1909</v>
      </c>
      <c r="D3453" s="7">
        <v>3452</v>
      </c>
      <c r="E3453">
        <v>139.63630000000001</v>
      </c>
    </row>
    <row r="3454" spans="3:5" x14ac:dyDescent="0.35">
      <c r="C3454">
        <f t="shared" si="54"/>
        <v>1909</v>
      </c>
      <c r="D3454" s="7">
        <v>3453</v>
      </c>
      <c r="E3454">
        <v>137.67160000000001</v>
      </c>
    </row>
    <row r="3455" spans="3:5" x14ac:dyDescent="0.35">
      <c r="C3455">
        <f t="shared" si="54"/>
        <v>1909</v>
      </c>
      <c r="D3455" s="7">
        <v>3454</v>
      </c>
      <c r="E3455">
        <v>133.97790000000001</v>
      </c>
    </row>
    <row r="3456" spans="3:5" x14ac:dyDescent="0.35">
      <c r="C3456">
        <f t="shared" si="54"/>
        <v>1909</v>
      </c>
      <c r="D3456" s="7">
        <v>3455</v>
      </c>
      <c r="E3456">
        <v>132.35650000000001</v>
      </c>
    </row>
    <row r="3457" spans="3:5" x14ac:dyDescent="0.35">
      <c r="C3457">
        <f t="shared" si="54"/>
        <v>1909</v>
      </c>
      <c r="D3457" s="7">
        <v>3456</v>
      </c>
      <c r="E3457">
        <v>135.56890000000001</v>
      </c>
    </row>
    <row r="3458" spans="3:5" x14ac:dyDescent="0.35">
      <c r="C3458">
        <f t="shared" si="54"/>
        <v>1909</v>
      </c>
      <c r="D3458" s="7">
        <v>3457</v>
      </c>
      <c r="E3458">
        <v>139.3278</v>
      </c>
    </row>
    <row r="3459" spans="3:5" x14ac:dyDescent="0.35">
      <c r="C3459">
        <f t="shared" ref="C3459:C3522" si="55">YEAR(D3459)</f>
        <v>1909</v>
      </c>
      <c r="D3459" s="7">
        <v>3458</v>
      </c>
      <c r="E3459">
        <v>138.01140000000001</v>
      </c>
    </row>
    <row r="3460" spans="3:5" x14ac:dyDescent="0.35">
      <c r="C3460">
        <f t="shared" si="55"/>
        <v>1909</v>
      </c>
      <c r="D3460" s="7">
        <v>3459</v>
      </c>
      <c r="E3460">
        <v>133.10480000000001</v>
      </c>
    </row>
    <row r="3461" spans="3:5" x14ac:dyDescent="0.35">
      <c r="C3461">
        <f t="shared" si="55"/>
        <v>1909</v>
      </c>
      <c r="D3461" s="7">
        <v>3460</v>
      </c>
      <c r="E3461">
        <v>137.64750000000001</v>
      </c>
    </row>
    <row r="3462" spans="3:5" x14ac:dyDescent="0.35">
      <c r="C3462">
        <f t="shared" si="55"/>
        <v>1909</v>
      </c>
      <c r="D3462" s="7">
        <v>3461</v>
      </c>
      <c r="E3462">
        <v>136.74879999999999</v>
      </c>
    </row>
    <row r="3463" spans="3:5" x14ac:dyDescent="0.35">
      <c r="C3463">
        <f t="shared" si="55"/>
        <v>1909</v>
      </c>
      <c r="D3463" s="7">
        <v>3462</v>
      </c>
      <c r="E3463">
        <v>134.12469999999999</v>
      </c>
    </row>
    <row r="3464" spans="3:5" x14ac:dyDescent="0.35">
      <c r="C3464">
        <f t="shared" si="55"/>
        <v>1909</v>
      </c>
      <c r="D3464" s="7">
        <v>3463</v>
      </c>
      <c r="E3464">
        <v>135.2107</v>
      </c>
    </row>
    <row r="3465" spans="3:5" x14ac:dyDescent="0.35">
      <c r="C3465">
        <f t="shared" si="55"/>
        <v>1909</v>
      </c>
      <c r="D3465" s="7">
        <v>3464</v>
      </c>
      <c r="E3465">
        <v>130.4348</v>
      </c>
    </row>
    <row r="3466" spans="3:5" x14ac:dyDescent="0.35">
      <c r="C3466">
        <f t="shared" si="55"/>
        <v>1909</v>
      </c>
      <c r="D3466" s="7">
        <v>3465</v>
      </c>
      <c r="E3466">
        <v>133.2989</v>
      </c>
    </row>
    <row r="3467" spans="3:5" x14ac:dyDescent="0.35">
      <c r="C3467">
        <f t="shared" si="55"/>
        <v>1909</v>
      </c>
      <c r="D3467" s="7">
        <v>3466</v>
      </c>
      <c r="E3467">
        <v>134.50040000000001</v>
      </c>
    </row>
    <row r="3468" spans="3:5" x14ac:dyDescent="0.35">
      <c r="C3468">
        <f t="shared" si="55"/>
        <v>1909</v>
      </c>
      <c r="D3468" s="7">
        <v>3467</v>
      </c>
      <c r="E3468">
        <v>130.77029999999999</v>
      </c>
    </row>
    <row r="3469" spans="3:5" x14ac:dyDescent="0.35">
      <c r="C3469">
        <f t="shared" si="55"/>
        <v>1909</v>
      </c>
      <c r="D3469" s="7">
        <v>3468</v>
      </c>
      <c r="E3469">
        <v>128.8963</v>
      </c>
    </row>
    <row r="3470" spans="3:5" x14ac:dyDescent="0.35">
      <c r="C3470">
        <f t="shared" si="55"/>
        <v>1909</v>
      </c>
      <c r="D3470" s="7">
        <v>3469</v>
      </c>
      <c r="E3470">
        <v>127.1343</v>
      </c>
    </row>
    <row r="3471" spans="3:5" x14ac:dyDescent="0.35">
      <c r="C3471">
        <f t="shared" si="55"/>
        <v>1909</v>
      </c>
      <c r="D3471" s="7">
        <v>3470</v>
      </c>
      <c r="E3471">
        <v>128.3109</v>
      </c>
    </row>
    <row r="3472" spans="3:5" x14ac:dyDescent="0.35">
      <c r="C3472">
        <f t="shared" si="55"/>
        <v>1909</v>
      </c>
      <c r="D3472" s="7">
        <v>3471</v>
      </c>
      <c r="E3472">
        <v>121.0497</v>
      </c>
    </row>
    <row r="3473" spans="3:5" x14ac:dyDescent="0.35">
      <c r="C3473">
        <f t="shared" si="55"/>
        <v>1909</v>
      </c>
      <c r="D3473" s="7">
        <v>3472</v>
      </c>
      <c r="E3473">
        <v>117.3946</v>
      </c>
    </row>
    <row r="3474" spans="3:5" x14ac:dyDescent="0.35">
      <c r="C3474">
        <f t="shared" si="55"/>
        <v>1909</v>
      </c>
      <c r="D3474" s="7">
        <v>3473</v>
      </c>
      <c r="E3474">
        <v>113.2761</v>
      </c>
    </row>
    <row r="3475" spans="3:5" x14ac:dyDescent="0.35">
      <c r="C3475">
        <f t="shared" si="55"/>
        <v>1909</v>
      </c>
      <c r="D3475" s="7">
        <v>3474</v>
      </c>
      <c r="E3475">
        <v>116.8661</v>
      </c>
    </row>
    <row r="3476" spans="3:5" x14ac:dyDescent="0.35">
      <c r="C3476">
        <f t="shared" si="55"/>
        <v>1909</v>
      </c>
      <c r="D3476" s="7">
        <v>3475</v>
      </c>
      <c r="E3476">
        <v>116.78830000000001</v>
      </c>
    </row>
    <row r="3477" spans="3:5" x14ac:dyDescent="0.35">
      <c r="C3477">
        <f t="shared" si="55"/>
        <v>1909</v>
      </c>
      <c r="D3477" s="7">
        <v>3476</v>
      </c>
      <c r="E3477">
        <v>121.0317</v>
      </c>
    </row>
    <row r="3478" spans="3:5" x14ac:dyDescent="0.35">
      <c r="C3478">
        <f t="shared" si="55"/>
        <v>1909</v>
      </c>
      <c r="D3478" s="7">
        <v>3477</v>
      </c>
      <c r="E3478">
        <v>118.2825</v>
      </c>
    </row>
    <row r="3479" spans="3:5" x14ac:dyDescent="0.35">
      <c r="C3479">
        <f t="shared" si="55"/>
        <v>1909</v>
      </c>
      <c r="D3479" s="7">
        <v>3478</v>
      </c>
      <c r="E3479">
        <v>119.3145</v>
      </c>
    </row>
    <row r="3480" spans="3:5" x14ac:dyDescent="0.35">
      <c r="C3480">
        <f t="shared" si="55"/>
        <v>1909</v>
      </c>
      <c r="D3480" s="7">
        <v>3479</v>
      </c>
      <c r="E3480">
        <v>122.07250000000001</v>
      </c>
    </row>
    <row r="3481" spans="3:5" x14ac:dyDescent="0.35">
      <c r="C3481">
        <f t="shared" si="55"/>
        <v>1909</v>
      </c>
      <c r="D3481" s="7">
        <v>3480</v>
      </c>
      <c r="E3481">
        <v>125.01</v>
      </c>
    </row>
    <row r="3482" spans="3:5" x14ac:dyDescent="0.35">
      <c r="C3482">
        <f t="shared" si="55"/>
        <v>1909</v>
      </c>
      <c r="D3482" s="7">
        <v>3481</v>
      </c>
      <c r="E3482">
        <v>124.63460000000001</v>
      </c>
    </row>
    <row r="3483" spans="3:5" x14ac:dyDescent="0.35">
      <c r="C3483">
        <f t="shared" si="55"/>
        <v>1909</v>
      </c>
      <c r="D3483" s="7">
        <v>3482</v>
      </c>
      <c r="E3483">
        <v>128.31899999999999</v>
      </c>
    </row>
    <row r="3484" spans="3:5" x14ac:dyDescent="0.35">
      <c r="C3484">
        <f t="shared" si="55"/>
        <v>1909</v>
      </c>
      <c r="D3484" s="7">
        <v>3483</v>
      </c>
      <c r="E3484">
        <v>127.5994</v>
      </c>
    </row>
    <row r="3485" spans="3:5" x14ac:dyDescent="0.35">
      <c r="C3485">
        <f t="shared" si="55"/>
        <v>1909</v>
      </c>
      <c r="D3485" s="7">
        <v>3484</v>
      </c>
      <c r="E3485">
        <v>126.88979999999999</v>
      </c>
    </row>
    <row r="3486" spans="3:5" x14ac:dyDescent="0.35">
      <c r="C3486">
        <f t="shared" si="55"/>
        <v>1909</v>
      </c>
      <c r="D3486" s="7">
        <v>3485</v>
      </c>
      <c r="E3486">
        <v>127.5228</v>
      </c>
    </row>
    <row r="3487" spans="3:5" x14ac:dyDescent="0.35">
      <c r="C3487">
        <f t="shared" si="55"/>
        <v>1909</v>
      </c>
      <c r="D3487" s="7">
        <v>3486</v>
      </c>
      <c r="E3487">
        <v>130.2114</v>
      </c>
    </row>
    <row r="3488" spans="3:5" x14ac:dyDescent="0.35">
      <c r="C3488">
        <f t="shared" si="55"/>
        <v>1909</v>
      </c>
      <c r="D3488" s="7">
        <v>3487</v>
      </c>
      <c r="E3488">
        <v>128.19999999999999</v>
      </c>
    </row>
    <row r="3489" spans="3:5" x14ac:dyDescent="0.35">
      <c r="C3489">
        <f t="shared" si="55"/>
        <v>1909</v>
      </c>
      <c r="D3489" s="7">
        <v>3488</v>
      </c>
      <c r="E3489">
        <v>127.3789</v>
      </c>
    </row>
    <row r="3490" spans="3:5" x14ac:dyDescent="0.35">
      <c r="C3490">
        <f t="shared" si="55"/>
        <v>1909</v>
      </c>
      <c r="D3490" s="7">
        <v>3489</v>
      </c>
      <c r="E3490">
        <v>127.6416</v>
      </c>
    </row>
    <row r="3491" spans="3:5" x14ac:dyDescent="0.35">
      <c r="C3491">
        <f t="shared" si="55"/>
        <v>1909</v>
      </c>
      <c r="D3491" s="7">
        <v>3490</v>
      </c>
      <c r="E3491">
        <v>126.37520000000001</v>
      </c>
    </row>
    <row r="3492" spans="3:5" x14ac:dyDescent="0.35">
      <c r="C3492">
        <f t="shared" si="55"/>
        <v>1909</v>
      </c>
      <c r="D3492" s="7">
        <v>3491</v>
      </c>
      <c r="E3492">
        <v>128.02549999999999</v>
      </c>
    </row>
    <row r="3493" spans="3:5" x14ac:dyDescent="0.35">
      <c r="C3493">
        <f t="shared" si="55"/>
        <v>1909</v>
      </c>
      <c r="D3493" s="7">
        <v>3492</v>
      </c>
      <c r="E3493">
        <v>128.60550000000001</v>
      </c>
    </row>
    <row r="3494" spans="3:5" x14ac:dyDescent="0.35">
      <c r="C3494">
        <f t="shared" si="55"/>
        <v>1909</v>
      </c>
      <c r="D3494" s="7">
        <v>3493</v>
      </c>
      <c r="E3494">
        <v>132.3475</v>
      </c>
    </row>
    <row r="3495" spans="3:5" x14ac:dyDescent="0.35">
      <c r="C3495">
        <f t="shared" si="55"/>
        <v>1909</v>
      </c>
      <c r="D3495" s="7">
        <v>3494</v>
      </c>
      <c r="E3495">
        <v>138.77010000000001</v>
      </c>
    </row>
    <row r="3496" spans="3:5" x14ac:dyDescent="0.35">
      <c r="C3496">
        <f t="shared" si="55"/>
        <v>1909</v>
      </c>
      <c r="D3496" s="7">
        <v>3495</v>
      </c>
      <c r="E3496">
        <v>137.2379</v>
      </c>
    </row>
    <row r="3497" spans="3:5" x14ac:dyDescent="0.35">
      <c r="C3497">
        <f t="shared" si="55"/>
        <v>1909</v>
      </c>
      <c r="D3497" s="7">
        <v>3496</v>
      </c>
      <c r="E3497">
        <v>136.42070000000001</v>
      </c>
    </row>
    <row r="3498" spans="3:5" x14ac:dyDescent="0.35">
      <c r="C3498">
        <f t="shared" si="55"/>
        <v>1909</v>
      </c>
      <c r="D3498" s="7">
        <v>3497</v>
      </c>
      <c r="E3498">
        <v>136.9821</v>
      </c>
    </row>
    <row r="3499" spans="3:5" x14ac:dyDescent="0.35">
      <c r="C3499">
        <f t="shared" si="55"/>
        <v>1909</v>
      </c>
      <c r="D3499" s="7">
        <v>3498</v>
      </c>
      <c r="E3499">
        <v>141.25409999999999</v>
      </c>
    </row>
    <row r="3500" spans="3:5" x14ac:dyDescent="0.35">
      <c r="C3500">
        <f t="shared" si="55"/>
        <v>1909</v>
      </c>
      <c r="D3500" s="7">
        <v>3499</v>
      </c>
      <c r="E3500">
        <v>146.57220000000001</v>
      </c>
    </row>
    <row r="3501" spans="3:5" x14ac:dyDescent="0.35">
      <c r="C3501">
        <f t="shared" si="55"/>
        <v>1909</v>
      </c>
      <c r="D3501" s="7">
        <v>3500</v>
      </c>
      <c r="E3501">
        <v>145.68709999999999</v>
      </c>
    </row>
    <row r="3502" spans="3:5" x14ac:dyDescent="0.35">
      <c r="C3502">
        <f t="shared" si="55"/>
        <v>1909</v>
      </c>
      <c r="D3502" s="7">
        <v>3501</v>
      </c>
      <c r="E3502">
        <v>143.11439999999999</v>
      </c>
    </row>
    <row r="3503" spans="3:5" x14ac:dyDescent="0.35">
      <c r="C3503">
        <f t="shared" si="55"/>
        <v>1909</v>
      </c>
      <c r="D3503" s="7">
        <v>3502</v>
      </c>
      <c r="E3503">
        <v>143.4648</v>
      </c>
    </row>
    <row r="3504" spans="3:5" x14ac:dyDescent="0.35">
      <c r="C3504">
        <f t="shared" si="55"/>
        <v>1909</v>
      </c>
      <c r="D3504" s="7">
        <v>3503</v>
      </c>
      <c r="E3504">
        <v>147.74459999999999</v>
      </c>
    </row>
    <row r="3505" spans="3:5" x14ac:dyDescent="0.35">
      <c r="C3505">
        <f t="shared" si="55"/>
        <v>1909</v>
      </c>
      <c r="D3505" s="7">
        <v>3504</v>
      </c>
      <c r="E3505">
        <v>145.95189999999999</v>
      </c>
    </row>
    <row r="3506" spans="3:5" x14ac:dyDescent="0.35">
      <c r="C3506">
        <f t="shared" si="55"/>
        <v>1909</v>
      </c>
      <c r="D3506" s="7">
        <v>3505</v>
      </c>
      <c r="E3506">
        <v>142.92080000000001</v>
      </c>
    </row>
    <row r="3507" spans="3:5" x14ac:dyDescent="0.35">
      <c r="C3507">
        <f t="shared" si="55"/>
        <v>1909</v>
      </c>
      <c r="D3507" s="7">
        <v>3506</v>
      </c>
      <c r="E3507">
        <v>143.6968</v>
      </c>
    </row>
    <row r="3508" spans="3:5" x14ac:dyDescent="0.35">
      <c r="C3508">
        <f t="shared" si="55"/>
        <v>1909</v>
      </c>
      <c r="D3508" s="7">
        <v>3507</v>
      </c>
      <c r="E3508">
        <v>143.4813</v>
      </c>
    </row>
    <row r="3509" spans="3:5" x14ac:dyDescent="0.35">
      <c r="C3509">
        <f t="shared" si="55"/>
        <v>1909</v>
      </c>
      <c r="D3509" s="7">
        <v>3508</v>
      </c>
      <c r="E3509">
        <v>141.75729999999999</v>
      </c>
    </row>
    <row r="3510" spans="3:5" x14ac:dyDescent="0.35">
      <c r="C3510">
        <f t="shared" si="55"/>
        <v>1909</v>
      </c>
      <c r="D3510" s="7">
        <v>3509</v>
      </c>
      <c r="E3510">
        <v>139.7764</v>
      </c>
    </row>
    <row r="3511" spans="3:5" x14ac:dyDescent="0.35">
      <c r="C3511">
        <f t="shared" si="55"/>
        <v>1909</v>
      </c>
      <c r="D3511" s="7">
        <v>3510</v>
      </c>
      <c r="E3511">
        <v>138.9727</v>
      </c>
    </row>
    <row r="3512" spans="3:5" x14ac:dyDescent="0.35">
      <c r="C3512">
        <f t="shared" si="55"/>
        <v>1909</v>
      </c>
      <c r="D3512" s="7">
        <v>3511</v>
      </c>
      <c r="E3512">
        <v>141.5059</v>
      </c>
    </row>
    <row r="3513" spans="3:5" x14ac:dyDescent="0.35">
      <c r="C3513">
        <f t="shared" si="55"/>
        <v>1909</v>
      </c>
      <c r="D3513" s="7">
        <v>3512</v>
      </c>
      <c r="E3513">
        <v>140.67330000000001</v>
      </c>
    </row>
    <row r="3514" spans="3:5" x14ac:dyDescent="0.35">
      <c r="C3514">
        <f t="shared" si="55"/>
        <v>1909</v>
      </c>
      <c r="D3514" s="7">
        <v>3513</v>
      </c>
      <c r="E3514">
        <v>140.79140000000001</v>
      </c>
    </row>
    <row r="3515" spans="3:5" x14ac:dyDescent="0.35">
      <c r="C3515">
        <f t="shared" si="55"/>
        <v>1909</v>
      </c>
      <c r="D3515" s="7">
        <v>3514</v>
      </c>
      <c r="E3515">
        <v>137.7295</v>
      </c>
    </row>
    <row r="3516" spans="3:5" x14ac:dyDescent="0.35">
      <c r="C3516">
        <f t="shared" si="55"/>
        <v>1909</v>
      </c>
      <c r="D3516" s="7">
        <v>3515</v>
      </c>
      <c r="E3516">
        <v>135.57560000000001</v>
      </c>
    </row>
    <row r="3517" spans="3:5" x14ac:dyDescent="0.35">
      <c r="C3517">
        <f t="shared" si="55"/>
        <v>1909</v>
      </c>
      <c r="D3517" s="7">
        <v>3516</v>
      </c>
      <c r="E3517">
        <v>137.26300000000001</v>
      </c>
    </row>
    <row r="3518" spans="3:5" x14ac:dyDescent="0.35">
      <c r="C3518">
        <f t="shared" si="55"/>
        <v>1909</v>
      </c>
      <c r="D3518" s="7">
        <v>3517</v>
      </c>
      <c r="E3518">
        <v>132.34370000000001</v>
      </c>
    </row>
    <row r="3519" spans="3:5" x14ac:dyDescent="0.35">
      <c r="C3519">
        <f t="shared" si="55"/>
        <v>1909</v>
      </c>
      <c r="D3519" s="7">
        <v>3518</v>
      </c>
      <c r="E3519">
        <v>126.5656</v>
      </c>
    </row>
    <row r="3520" spans="3:5" x14ac:dyDescent="0.35">
      <c r="C3520">
        <f t="shared" si="55"/>
        <v>1909</v>
      </c>
      <c r="D3520" s="7">
        <v>3519</v>
      </c>
      <c r="E3520">
        <v>122.48399999999999</v>
      </c>
    </row>
    <row r="3521" spans="3:5" x14ac:dyDescent="0.35">
      <c r="C3521">
        <f t="shared" si="55"/>
        <v>1909</v>
      </c>
      <c r="D3521" s="7">
        <v>3520</v>
      </c>
      <c r="E3521">
        <v>119.1391</v>
      </c>
    </row>
    <row r="3522" spans="3:5" x14ac:dyDescent="0.35">
      <c r="C3522">
        <f t="shared" si="55"/>
        <v>1909</v>
      </c>
      <c r="D3522" s="7">
        <v>3521</v>
      </c>
      <c r="E3522">
        <v>123.6324</v>
      </c>
    </row>
    <row r="3523" spans="3:5" x14ac:dyDescent="0.35">
      <c r="C3523">
        <f t="shared" ref="C3523:C3586" si="56">YEAR(D3523)</f>
        <v>1909</v>
      </c>
      <c r="D3523" s="7">
        <v>3522</v>
      </c>
      <c r="E3523">
        <v>124.84829999999999</v>
      </c>
    </row>
    <row r="3524" spans="3:5" x14ac:dyDescent="0.35">
      <c r="C3524">
        <f t="shared" si="56"/>
        <v>1909</v>
      </c>
      <c r="D3524" s="7">
        <v>3523</v>
      </c>
      <c r="E3524">
        <v>125.04730000000001</v>
      </c>
    </row>
    <row r="3525" spans="3:5" x14ac:dyDescent="0.35">
      <c r="C3525">
        <f t="shared" si="56"/>
        <v>1909</v>
      </c>
      <c r="D3525" s="7">
        <v>3524</v>
      </c>
      <c r="E3525">
        <v>123.80540000000001</v>
      </c>
    </row>
    <row r="3526" spans="3:5" x14ac:dyDescent="0.35">
      <c r="C3526">
        <f t="shared" si="56"/>
        <v>1909</v>
      </c>
      <c r="D3526" s="7">
        <v>3525</v>
      </c>
      <c r="E3526">
        <v>121.1764</v>
      </c>
    </row>
    <row r="3527" spans="3:5" x14ac:dyDescent="0.35">
      <c r="C3527">
        <f t="shared" si="56"/>
        <v>1909</v>
      </c>
      <c r="D3527" s="7">
        <v>3526</v>
      </c>
      <c r="E3527">
        <v>121.6653</v>
      </c>
    </row>
    <row r="3528" spans="3:5" x14ac:dyDescent="0.35">
      <c r="C3528">
        <f t="shared" si="56"/>
        <v>1909</v>
      </c>
      <c r="D3528" s="7">
        <v>3527</v>
      </c>
      <c r="E3528">
        <v>121.0325</v>
      </c>
    </row>
    <row r="3529" spans="3:5" x14ac:dyDescent="0.35">
      <c r="C3529">
        <f t="shared" si="56"/>
        <v>1909</v>
      </c>
      <c r="D3529" s="7">
        <v>3528</v>
      </c>
      <c r="E3529">
        <v>119.7079</v>
      </c>
    </row>
    <row r="3530" spans="3:5" x14ac:dyDescent="0.35">
      <c r="C3530">
        <f t="shared" si="56"/>
        <v>1909</v>
      </c>
      <c r="D3530" s="7">
        <v>3529</v>
      </c>
      <c r="E3530">
        <v>124.1324</v>
      </c>
    </row>
    <row r="3531" spans="3:5" x14ac:dyDescent="0.35">
      <c r="C3531">
        <f t="shared" si="56"/>
        <v>1909</v>
      </c>
      <c r="D3531" s="7">
        <v>3530</v>
      </c>
      <c r="E3531">
        <v>123.8869</v>
      </c>
    </row>
    <row r="3532" spans="3:5" x14ac:dyDescent="0.35">
      <c r="C3532">
        <f t="shared" si="56"/>
        <v>1909</v>
      </c>
      <c r="D3532" s="7">
        <v>3531</v>
      </c>
      <c r="E3532">
        <v>125.5167</v>
      </c>
    </row>
    <row r="3533" spans="3:5" x14ac:dyDescent="0.35">
      <c r="C3533">
        <f t="shared" si="56"/>
        <v>1909</v>
      </c>
      <c r="D3533" s="7">
        <v>3532</v>
      </c>
      <c r="E3533">
        <v>130.53739999999999</v>
      </c>
    </row>
    <row r="3534" spans="3:5" x14ac:dyDescent="0.35">
      <c r="C3534">
        <f t="shared" si="56"/>
        <v>1909</v>
      </c>
      <c r="D3534" s="7">
        <v>3533</v>
      </c>
      <c r="E3534">
        <v>127.3708</v>
      </c>
    </row>
    <row r="3535" spans="3:5" x14ac:dyDescent="0.35">
      <c r="C3535">
        <f t="shared" si="56"/>
        <v>1909</v>
      </c>
      <c r="D3535" s="7">
        <v>3534</v>
      </c>
      <c r="E3535">
        <v>126.7752</v>
      </c>
    </row>
    <row r="3536" spans="3:5" x14ac:dyDescent="0.35">
      <c r="C3536">
        <f t="shared" si="56"/>
        <v>1909</v>
      </c>
      <c r="D3536" s="7">
        <v>3535</v>
      </c>
      <c r="E3536">
        <v>124.646</v>
      </c>
    </row>
    <row r="3537" spans="3:5" x14ac:dyDescent="0.35">
      <c r="C3537">
        <f t="shared" si="56"/>
        <v>1909</v>
      </c>
      <c r="D3537" s="7">
        <v>3536</v>
      </c>
      <c r="E3537">
        <v>129.30590000000001</v>
      </c>
    </row>
    <row r="3538" spans="3:5" x14ac:dyDescent="0.35">
      <c r="C3538">
        <f t="shared" si="56"/>
        <v>1909</v>
      </c>
      <c r="D3538" s="7">
        <v>3537</v>
      </c>
      <c r="E3538">
        <v>130.2861</v>
      </c>
    </row>
    <row r="3539" spans="3:5" x14ac:dyDescent="0.35">
      <c r="C3539">
        <f t="shared" si="56"/>
        <v>1909</v>
      </c>
      <c r="D3539" s="7">
        <v>3538</v>
      </c>
      <c r="E3539">
        <v>126.63930000000001</v>
      </c>
    </row>
    <row r="3540" spans="3:5" x14ac:dyDescent="0.35">
      <c r="C3540">
        <f t="shared" si="56"/>
        <v>1909</v>
      </c>
      <c r="D3540" s="7">
        <v>3539</v>
      </c>
      <c r="E3540">
        <v>126.88339999999999</v>
      </c>
    </row>
    <row r="3541" spans="3:5" x14ac:dyDescent="0.35">
      <c r="C3541">
        <f t="shared" si="56"/>
        <v>1909</v>
      </c>
      <c r="D3541" s="7">
        <v>3540</v>
      </c>
      <c r="E3541">
        <v>123.3651</v>
      </c>
    </row>
    <row r="3542" spans="3:5" x14ac:dyDescent="0.35">
      <c r="C3542">
        <f t="shared" si="56"/>
        <v>1909</v>
      </c>
      <c r="D3542" s="7">
        <v>3541</v>
      </c>
      <c r="E3542">
        <v>128.63069999999999</v>
      </c>
    </row>
    <row r="3543" spans="3:5" x14ac:dyDescent="0.35">
      <c r="C3543">
        <f t="shared" si="56"/>
        <v>1909</v>
      </c>
      <c r="D3543" s="7">
        <v>3542</v>
      </c>
      <c r="E3543">
        <v>129.19479999999999</v>
      </c>
    </row>
    <row r="3544" spans="3:5" x14ac:dyDescent="0.35">
      <c r="C3544">
        <f t="shared" si="56"/>
        <v>1909</v>
      </c>
      <c r="D3544" s="7">
        <v>3543</v>
      </c>
      <c r="E3544">
        <v>121.1357</v>
      </c>
    </row>
    <row r="3545" spans="3:5" x14ac:dyDescent="0.35">
      <c r="C3545">
        <f t="shared" si="56"/>
        <v>1909</v>
      </c>
      <c r="D3545" s="7">
        <v>3544</v>
      </c>
      <c r="E3545">
        <v>119.2294</v>
      </c>
    </row>
    <row r="3546" spans="3:5" x14ac:dyDescent="0.35">
      <c r="C3546">
        <f t="shared" si="56"/>
        <v>1909</v>
      </c>
      <c r="D3546" s="7">
        <v>3545</v>
      </c>
      <c r="E3546">
        <v>119.09780000000001</v>
      </c>
    </row>
    <row r="3547" spans="3:5" x14ac:dyDescent="0.35">
      <c r="C3547">
        <f t="shared" si="56"/>
        <v>1909</v>
      </c>
      <c r="D3547" s="7">
        <v>3546</v>
      </c>
      <c r="E3547">
        <v>119.11669999999999</v>
      </c>
    </row>
    <row r="3548" spans="3:5" x14ac:dyDescent="0.35">
      <c r="C3548">
        <f t="shared" si="56"/>
        <v>1909</v>
      </c>
      <c r="D3548" s="7">
        <v>3547</v>
      </c>
      <c r="E3548">
        <v>120.4716</v>
      </c>
    </row>
    <row r="3549" spans="3:5" x14ac:dyDescent="0.35">
      <c r="C3549">
        <f t="shared" si="56"/>
        <v>1909</v>
      </c>
      <c r="D3549" s="7">
        <v>3548</v>
      </c>
      <c r="E3549">
        <v>123.8413</v>
      </c>
    </row>
    <row r="3550" spans="3:5" x14ac:dyDescent="0.35">
      <c r="C3550">
        <f t="shared" si="56"/>
        <v>1909</v>
      </c>
      <c r="D3550" s="7">
        <v>3549</v>
      </c>
      <c r="E3550">
        <v>127.48739999999999</v>
      </c>
    </row>
    <row r="3551" spans="3:5" x14ac:dyDescent="0.35">
      <c r="C3551">
        <f t="shared" si="56"/>
        <v>1909</v>
      </c>
      <c r="D3551" s="7">
        <v>3550</v>
      </c>
      <c r="E3551">
        <v>128.4126</v>
      </c>
    </row>
    <row r="3552" spans="3:5" x14ac:dyDescent="0.35">
      <c r="C3552">
        <f t="shared" si="56"/>
        <v>1909</v>
      </c>
      <c r="D3552" s="7">
        <v>3551</v>
      </c>
      <c r="E3552">
        <v>129.79679999999999</v>
      </c>
    </row>
    <row r="3553" spans="3:5" x14ac:dyDescent="0.35">
      <c r="C3553">
        <f t="shared" si="56"/>
        <v>1909</v>
      </c>
      <c r="D3553" s="7">
        <v>3552</v>
      </c>
      <c r="E3553">
        <v>132.8954</v>
      </c>
    </row>
    <row r="3554" spans="3:5" x14ac:dyDescent="0.35">
      <c r="C3554">
        <f t="shared" si="56"/>
        <v>1909</v>
      </c>
      <c r="D3554" s="7">
        <v>3553</v>
      </c>
      <c r="E3554">
        <v>136.70500000000001</v>
      </c>
    </row>
    <row r="3555" spans="3:5" x14ac:dyDescent="0.35">
      <c r="C3555">
        <f t="shared" si="56"/>
        <v>1909</v>
      </c>
      <c r="D3555" s="7">
        <v>3554</v>
      </c>
      <c r="E3555">
        <v>136.33600000000001</v>
      </c>
    </row>
    <row r="3556" spans="3:5" x14ac:dyDescent="0.35">
      <c r="C3556">
        <f t="shared" si="56"/>
        <v>1909</v>
      </c>
      <c r="D3556" s="7">
        <v>3555</v>
      </c>
      <c r="E3556">
        <v>135.6952</v>
      </c>
    </row>
    <row r="3557" spans="3:5" x14ac:dyDescent="0.35">
      <c r="C3557">
        <f t="shared" si="56"/>
        <v>1909</v>
      </c>
      <c r="D3557" s="7">
        <v>3556</v>
      </c>
      <c r="E3557">
        <v>135.20869999999999</v>
      </c>
    </row>
    <row r="3558" spans="3:5" x14ac:dyDescent="0.35">
      <c r="C3558">
        <f t="shared" si="56"/>
        <v>1909</v>
      </c>
      <c r="D3558" s="7">
        <v>3557</v>
      </c>
      <c r="E3558">
        <v>137.33019999999999</v>
      </c>
    </row>
    <row r="3559" spans="3:5" x14ac:dyDescent="0.35">
      <c r="C3559">
        <f t="shared" si="56"/>
        <v>1909</v>
      </c>
      <c r="D3559" s="7">
        <v>3558</v>
      </c>
      <c r="E3559">
        <v>136.59989999999999</v>
      </c>
    </row>
    <row r="3560" spans="3:5" x14ac:dyDescent="0.35">
      <c r="C3560">
        <f t="shared" si="56"/>
        <v>1909</v>
      </c>
      <c r="D3560" s="7">
        <v>3559</v>
      </c>
      <c r="E3560">
        <v>134.09889999999999</v>
      </c>
    </row>
    <row r="3561" spans="3:5" x14ac:dyDescent="0.35">
      <c r="C3561">
        <f t="shared" si="56"/>
        <v>1909</v>
      </c>
      <c r="D3561" s="7">
        <v>3560</v>
      </c>
      <c r="E3561">
        <v>129.42189999999999</v>
      </c>
    </row>
    <row r="3562" spans="3:5" x14ac:dyDescent="0.35">
      <c r="C3562">
        <f t="shared" si="56"/>
        <v>1909</v>
      </c>
      <c r="D3562" s="7">
        <v>3561</v>
      </c>
      <c r="E3562">
        <v>130.01410000000001</v>
      </c>
    </row>
    <row r="3563" spans="3:5" x14ac:dyDescent="0.35">
      <c r="C3563">
        <f t="shared" si="56"/>
        <v>1909</v>
      </c>
      <c r="D3563" s="7">
        <v>3562</v>
      </c>
      <c r="E3563">
        <v>127.13720000000001</v>
      </c>
    </row>
    <row r="3564" spans="3:5" x14ac:dyDescent="0.35">
      <c r="C3564">
        <f t="shared" si="56"/>
        <v>1909</v>
      </c>
      <c r="D3564" s="7">
        <v>3563</v>
      </c>
      <c r="E3564">
        <v>123.22790000000001</v>
      </c>
    </row>
    <row r="3565" spans="3:5" x14ac:dyDescent="0.35">
      <c r="C3565">
        <f t="shared" si="56"/>
        <v>1909</v>
      </c>
      <c r="D3565" s="7">
        <v>3564</v>
      </c>
      <c r="E3565">
        <v>124.7521</v>
      </c>
    </row>
    <row r="3566" spans="3:5" x14ac:dyDescent="0.35">
      <c r="C3566">
        <f t="shared" si="56"/>
        <v>1909</v>
      </c>
      <c r="D3566" s="7">
        <v>3565</v>
      </c>
      <c r="E3566">
        <v>129.29060000000001</v>
      </c>
    </row>
    <row r="3567" spans="3:5" x14ac:dyDescent="0.35">
      <c r="C3567">
        <f t="shared" si="56"/>
        <v>1909</v>
      </c>
      <c r="D3567" s="7">
        <v>3566</v>
      </c>
      <c r="E3567">
        <v>128.25829999999999</v>
      </c>
    </row>
    <row r="3568" spans="3:5" x14ac:dyDescent="0.35">
      <c r="C3568">
        <f t="shared" si="56"/>
        <v>1909</v>
      </c>
      <c r="D3568" s="7">
        <v>3567</v>
      </c>
      <c r="E3568">
        <v>128.58770000000001</v>
      </c>
    </row>
    <row r="3569" spans="3:5" x14ac:dyDescent="0.35">
      <c r="C3569">
        <f t="shared" si="56"/>
        <v>1909</v>
      </c>
      <c r="D3569" s="7">
        <v>3568</v>
      </c>
      <c r="E3569">
        <v>130.01830000000001</v>
      </c>
    </row>
    <row r="3570" spans="3:5" x14ac:dyDescent="0.35">
      <c r="C3570">
        <f t="shared" si="56"/>
        <v>1909</v>
      </c>
      <c r="D3570" s="7">
        <v>3569</v>
      </c>
      <c r="E3570">
        <v>131.5444</v>
      </c>
    </row>
    <row r="3571" spans="3:5" x14ac:dyDescent="0.35">
      <c r="C3571">
        <f t="shared" si="56"/>
        <v>1909</v>
      </c>
      <c r="D3571" s="7">
        <v>3570</v>
      </c>
      <c r="E3571">
        <v>131.7054</v>
      </c>
    </row>
    <row r="3572" spans="3:5" x14ac:dyDescent="0.35">
      <c r="C3572">
        <f t="shared" si="56"/>
        <v>1909</v>
      </c>
      <c r="D3572" s="7">
        <v>3571</v>
      </c>
      <c r="E3572">
        <v>128.32839999999999</v>
      </c>
    </row>
    <row r="3573" spans="3:5" x14ac:dyDescent="0.35">
      <c r="C3573">
        <f t="shared" si="56"/>
        <v>1909</v>
      </c>
      <c r="D3573" s="7">
        <v>3572</v>
      </c>
      <c r="E3573">
        <v>126.13979999999999</v>
      </c>
    </row>
    <row r="3574" spans="3:5" x14ac:dyDescent="0.35">
      <c r="C3574">
        <f t="shared" si="56"/>
        <v>1909</v>
      </c>
      <c r="D3574" s="7">
        <v>3573</v>
      </c>
      <c r="E3574">
        <v>125.9248</v>
      </c>
    </row>
    <row r="3575" spans="3:5" x14ac:dyDescent="0.35">
      <c r="C3575">
        <f t="shared" si="56"/>
        <v>1909</v>
      </c>
      <c r="D3575" s="7">
        <v>3574</v>
      </c>
      <c r="E3575">
        <v>125.7236</v>
      </c>
    </row>
    <row r="3576" spans="3:5" x14ac:dyDescent="0.35">
      <c r="C3576">
        <f t="shared" si="56"/>
        <v>1909</v>
      </c>
      <c r="D3576" s="7">
        <v>3575</v>
      </c>
      <c r="E3576">
        <v>128.28809999999999</v>
      </c>
    </row>
    <row r="3577" spans="3:5" x14ac:dyDescent="0.35">
      <c r="C3577">
        <f t="shared" si="56"/>
        <v>1909</v>
      </c>
      <c r="D3577" s="7">
        <v>3576</v>
      </c>
      <c r="E3577">
        <v>127.1883</v>
      </c>
    </row>
    <row r="3578" spans="3:5" x14ac:dyDescent="0.35">
      <c r="C3578">
        <f t="shared" si="56"/>
        <v>1909</v>
      </c>
      <c r="D3578" s="7">
        <v>3577</v>
      </c>
      <c r="E3578">
        <v>126.42100000000001</v>
      </c>
    </row>
    <row r="3579" spans="3:5" x14ac:dyDescent="0.35">
      <c r="C3579">
        <f t="shared" si="56"/>
        <v>1909</v>
      </c>
      <c r="D3579" s="7">
        <v>3578</v>
      </c>
      <c r="E3579">
        <v>124.2107</v>
      </c>
    </row>
    <row r="3580" spans="3:5" x14ac:dyDescent="0.35">
      <c r="C3580">
        <f t="shared" si="56"/>
        <v>1909</v>
      </c>
      <c r="D3580" s="7">
        <v>3579</v>
      </c>
      <c r="E3580">
        <v>126.4079</v>
      </c>
    </row>
    <row r="3581" spans="3:5" x14ac:dyDescent="0.35">
      <c r="C3581">
        <f t="shared" si="56"/>
        <v>1909</v>
      </c>
      <c r="D3581" s="7">
        <v>3580</v>
      </c>
      <c r="E3581">
        <v>124.67010000000001</v>
      </c>
    </row>
    <row r="3582" spans="3:5" x14ac:dyDescent="0.35">
      <c r="C3582">
        <f t="shared" si="56"/>
        <v>1909</v>
      </c>
      <c r="D3582" s="7">
        <v>3581</v>
      </c>
      <c r="E3582">
        <v>125.9153</v>
      </c>
    </row>
    <row r="3583" spans="3:5" x14ac:dyDescent="0.35">
      <c r="C3583">
        <f t="shared" si="56"/>
        <v>1909</v>
      </c>
      <c r="D3583" s="7">
        <v>3582</v>
      </c>
      <c r="E3583">
        <v>125.4764</v>
      </c>
    </row>
    <row r="3584" spans="3:5" x14ac:dyDescent="0.35">
      <c r="C3584">
        <f t="shared" si="56"/>
        <v>1909</v>
      </c>
      <c r="D3584" s="7">
        <v>3583</v>
      </c>
      <c r="E3584">
        <v>129.45419999999999</v>
      </c>
    </row>
    <row r="3585" spans="3:5" x14ac:dyDescent="0.35">
      <c r="C3585">
        <f t="shared" si="56"/>
        <v>1909</v>
      </c>
      <c r="D3585" s="7">
        <v>3584</v>
      </c>
      <c r="E3585">
        <v>128.0112</v>
      </c>
    </row>
    <row r="3586" spans="3:5" x14ac:dyDescent="0.35">
      <c r="C3586">
        <f t="shared" si="56"/>
        <v>1909</v>
      </c>
      <c r="D3586" s="7">
        <v>3585</v>
      </c>
      <c r="E3586">
        <v>128.4298</v>
      </c>
    </row>
    <row r="3587" spans="3:5" x14ac:dyDescent="0.35">
      <c r="C3587">
        <f t="shared" ref="C3587:C3650" si="57">YEAR(D3587)</f>
        <v>1909</v>
      </c>
      <c r="D3587" s="7">
        <v>3586</v>
      </c>
      <c r="E3587">
        <v>129.24639999999999</v>
      </c>
    </row>
    <row r="3588" spans="3:5" x14ac:dyDescent="0.35">
      <c r="C3588">
        <f t="shared" si="57"/>
        <v>1909</v>
      </c>
      <c r="D3588" s="7">
        <v>3587</v>
      </c>
      <c r="E3588">
        <v>126.1662</v>
      </c>
    </row>
    <row r="3589" spans="3:5" x14ac:dyDescent="0.35">
      <c r="C3589">
        <f t="shared" si="57"/>
        <v>1909</v>
      </c>
      <c r="D3589" s="7">
        <v>3588</v>
      </c>
      <c r="E3589">
        <v>124.69589999999999</v>
      </c>
    </row>
    <row r="3590" spans="3:5" x14ac:dyDescent="0.35">
      <c r="C3590">
        <f t="shared" si="57"/>
        <v>1909</v>
      </c>
      <c r="D3590" s="7">
        <v>3589</v>
      </c>
      <c r="E3590">
        <v>123.599</v>
      </c>
    </row>
    <row r="3591" spans="3:5" x14ac:dyDescent="0.35">
      <c r="C3591">
        <f t="shared" si="57"/>
        <v>1909</v>
      </c>
      <c r="D3591" s="7">
        <v>3590</v>
      </c>
      <c r="E3591">
        <v>124.5842</v>
      </c>
    </row>
    <row r="3592" spans="3:5" x14ac:dyDescent="0.35">
      <c r="C3592">
        <f t="shared" si="57"/>
        <v>1909</v>
      </c>
      <c r="D3592" s="7">
        <v>3591</v>
      </c>
      <c r="E3592">
        <v>125.4453</v>
      </c>
    </row>
    <row r="3593" spans="3:5" x14ac:dyDescent="0.35">
      <c r="C3593">
        <f t="shared" si="57"/>
        <v>1909</v>
      </c>
      <c r="D3593" s="7">
        <v>3592</v>
      </c>
      <c r="E3593">
        <v>120.59869999999999</v>
      </c>
    </row>
    <row r="3594" spans="3:5" x14ac:dyDescent="0.35">
      <c r="C3594">
        <f t="shared" si="57"/>
        <v>1909</v>
      </c>
      <c r="D3594" s="7">
        <v>3593</v>
      </c>
      <c r="E3594">
        <v>122.1104</v>
      </c>
    </row>
    <row r="3595" spans="3:5" x14ac:dyDescent="0.35">
      <c r="C3595">
        <f t="shared" si="57"/>
        <v>1909</v>
      </c>
      <c r="D3595" s="7">
        <v>3594</v>
      </c>
      <c r="E3595">
        <v>122.8201</v>
      </c>
    </row>
    <row r="3596" spans="3:5" x14ac:dyDescent="0.35">
      <c r="C3596">
        <f t="shared" si="57"/>
        <v>1909</v>
      </c>
      <c r="D3596" s="7">
        <v>3595</v>
      </c>
      <c r="E3596">
        <v>122.88849999999999</v>
      </c>
    </row>
    <row r="3597" spans="3:5" x14ac:dyDescent="0.35">
      <c r="C3597">
        <f t="shared" si="57"/>
        <v>1909</v>
      </c>
      <c r="D3597" s="7">
        <v>3596</v>
      </c>
      <c r="E3597">
        <v>123.6781</v>
      </c>
    </row>
    <row r="3598" spans="3:5" x14ac:dyDescent="0.35">
      <c r="C3598">
        <f t="shared" si="57"/>
        <v>1909</v>
      </c>
      <c r="D3598" s="7">
        <v>3597</v>
      </c>
      <c r="E3598">
        <v>125.1735</v>
      </c>
    </row>
    <row r="3599" spans="3:5" x14ac:dyDescent="0.35">
      <c r="C3599">
        <f t="shared" si="57"/>
        <v>1909</v>
      </c>
      <c r="D3599" s="7">
        <v>3598</v>
      </c>
      <c r="E3599">
        <v>121.4383</v>
      </c>
    </row>
    <row r="3600" spans="3:5" x14ac:dyDescent="0.35">
      <c r="C3600">
        <f t="shared" si="57"/>
        <v>1909</v>
      </c>
      <c r="D3600" s="7">
        <v>3599</v>
      </c>
      <c r="E3600">
        <v>121.42959999999999</v>
      </c>
    </row>
    <row r="3601" spans="3:5" x14ac:dyDescent="0.35">
      <c r="C3601">
        <f t="shared" si="57"/>
        <v>1909</v>
      </c>
      <c r="D3601" s="7">
        <v>3600</v>
      </c>
      <c r="E3601">
        <v>120.1493</v>
      </c>
    </row>
    <row r="3602" spans="3:5" x14ac:dyDescent="0.35">
      <c r="C3602">
        <f t="shared" si="57"/>
        <v>1909</v>
      </c>
      <c r="D3602" s="7">
        <v>3601</v>
      </c>
      <c r="E3602">
        <v>117.6391</v>
      </c>
    </row>
    <row r="3603" spans="3:5" x14ac:dyDescent="0.35">
      <c r="C3603">
        <f t="shared" si="57"/>
        <v>1909</v>
      </c>
      <c r="D3603" s="7">
        <v>3602</v>
      </c>
      <c r="E3603">
        <v>118.59220000000001</v>
      </c>
    </row>
    <row r="3604" spans="3:5" x14ac:dyDescent="0.35">
      <c r="C3604">
        <f t="shared" si="57"/>
        <v>1909</v>
      </c>
      <c r="D3604" s="7">
        <v>3603</v>
      </c>
      <c r="E3604">
        <v>121.3775</v>
      </c>
    </row>
    <row r="3605" spans="3:5" x14ac:dyDescent="0.35">
      <c r="C3605">
        <f t="shared" si="57"/>
        <v>1909</v>
      </c>
      <c r="D3605" s="7">
        <v>3604</v>
      </c>
      <c r="E3605">
        <v>123.8056</v>
      </c>
    </row>
    <row r="3606" spans="3:5" x14ac:dyDescent="0.35">
      <c r="C3606">
        <f t="shared" si="57"/>
        <v>1909</v>
      </c>
      <c r="D3606" s="7">
        <v>3605</v>
      </c>
      <c r="E3606">
        <v>122.06010000000001</v>
      </c>
    </row>
    <row r="3607" spans="3:5" x14ac:dyDescent="0.35">
      <c r="C3607">
        <f t="shared" si="57"/>
        <v>1909</v>
      </c>
      <c r="D3607" s="7">
        <v>3606</v>
      </c>
      <c r="E3607">
        <v>120.2116</v>
      </c>
    </row>
    <row r="3608" spans="3:5" x14ac:dyDescent="0.35">
      <c r="C3608">
        <f t="shared" si="57"/>
        <v>1909</v>
      </c>
      <c r="D3608" s="7">
        <v>3607</v>
      </c>
      <c r="E3608">
        <v>119.6969</v>
      </c>
    </row>
    <row r="3609" spans="3:5" x14ac:dyDescent="0.35">
      <c r="C3609">
        <f t="shared" si="57"/>
        <v>1909</v>
      </c>
      <c r="D3609" s="7">
        <v>3608</v>
      </c>
      <c r="E3609">
        <v>120.8523</v>
      </c>
    </row>
    <row r="3610" spans="3:5" x14ac:dyDescent="0.35">
      <c r="C3610">
        <f t="shared" si="57"/>
        <v>1909</v>
      </c>
      <c r="D3610" s="7">
        <v>3609</v>
      </c>
      <c r="E3610">
        <v>118.9803</v>
      </c>
    </row>
    <row r="3611" spans="3:5" x14ac:dyDescent="0.35">
      <c r="C3611">
        <f t="shared" si="57"/>
        <v>1909</v>
      </c>
      <c r="D3611" s="7">
        <v>3610</v>
      </c>
      <c r="E3611">
        <v>116.4777</v>
      </c>
    </row>
    <row r="3612" spans="3:5" x14ac:dyDescent="0.35">
      <c r="C3612">
        <f t="shared" si="57"/>
        <v>1909</v>
      </c>
      <c r="D3612" s="7">
        <v>3611</v>
      </c>
      <c r="E3612">
        <v>114.8308</v>
      </c>
    </row>
    <row r="3613" spans="3:5" x14ac:dyDescent="0.35">
      <c r="C3613">
        <f t="shared" si="57"/>
        <v>1909</v>
      </c>
      <c r="D3613" s="7">
        <v>3612</v>
      </c>
      <c r="E3613">
        <v>112.0196</v>
      </c>
    </row>
    <row r="3614" spans="3:5" x14ac:dyDescent="0.35">
      <c r="C3614">
        <f t="shared" si="57"/>
        <v>1909</v>
      </c>
      <c r="D3614" s="7">
        <v>3613</v>
      </c>
      <c r="E3614">
        <v>114.5442</v>
      </c>
    </row>
    <row r="3615" spans="3:5" x14ac:dyDescent="0.35">
      <c r="C3615">
        <f t="shared" si="57"/>
        <v>1909</v>
      </c>
      <c r="D3615" s="7">
        <v>3614</v>
      </c>
      <c r="E3615">
        <v>112.72110000000001</v>
      </c>
    </row>
    <row r="3616" spans="3:5" x14ac:dyDescent="0.35">
      <c r="C3616">
        <f t="shared" si="57"/>
        <v>1909</v>
      </c>
      <c r="D3616" s="7">
        <v>3615</v>
      </c>
      <c r="E3616">
        <v>107.9053</v>
      </c>
    </row>
    <row r="3617" spans="3:5" x14ac:dyDescent="0.35">
      <c r="C3617">
        <f t="shared" si="57"/>
        <v>1909</v>
      </c>
      <c r="D3617" s="7">
        <v>3616</v>
      </c>
      <c r="E3617">
        <v>108.96469999999999</v>
      </c>
    </row>
    <row r="3618" spans="3:5" x14ac:dyDescent="0.35">
      <c r="C3618">
        <f t="shared" si="57"/>
        <v>1909</v>
      </c>
      <c r="D3618" s="7">
        <v>3617</v>
      </c>
      <c r="E3618">
        <v>115.3319</v>
      </c>
    </row>
    <row r="3619" spans="3:5" x14ac:dyDescent="0.35">
      <c r="C3619">
        <f t="shared" si="57"/>
        <v>1909</v>
      </c>
      <c r="D3619" s="7">
        <v>3618</v>
      </c>
      <c r="E3619">
        <v>115.7182</v>
      </c>
    </row>
    <row r="3620" spans="3:5" x14ac:dyDescent="0.35">
      <c r="C3620">
        <f t="shared" si="57"/>
        <v>1909</v>
      </c>
      <c r="D3620" s="7">
        <v>3619</v>
      </c>
      <c r="E3620">
        <v>115.08199999999999</v>
      </c>
    </row>
    <row r="3621" spans="3:5" x14ac:dyDescent="0.35">
      <c r="C3621">
        <f t="shared" si="57"/>
        <v>1909</v>
      </c>
      <c r="D3621" s="7">
        <v>3620</v>
      </c>
      <c r="E3621">
        <v>113.1331</v>
      </c>
    </row>
    <row r="3622" spans="3:5" x14ac:dyDescent="0.35">
      <c r="C3622">
        <f t="shared" si="57"/>
        <v>1909</v>
      </c>
      <c r="D3622" s="7">
        <v>3621</v>
      </c>
      <c r="E3622">
        <v>112.2274</v>
      </c>
    </row>
    <row r="3623" spans="3:5" x14ac:dyDescent="0.35">
      <c r="C3623">
        <f t="shared" si="57"/>
        <v>1909</v>
      </c>
      <c r="D3623" s="7">
        <v>3622</v>
      </c>
      <c r="E3623">
        <v>111.01179999999999</v>
      </c>
    </row>
    <row r="3624" spans="3:5" x14ac:dyDescent="0.35">
      <c r="C3624">
        <f t="shared" si="57"/>
        <v>1909</v>
      </c>
      <c r="D3624" s="7">
        <v>3623</v>
      </c>
      <c r="E3624">
        <v>108.8935</v>
      </c>
    </row>
    <row r="3625" spans="3:5" x14ac:dyDescent="0.35">
      <c r="C3625">
        <f t="shared" si="57"/>
        <v>1909</v>
      </c>
      <c r="D3625" s="7">
        <v>3624</v>
      </c>
      <c r="E3625">
        <v>108.6146</v>
      </c>
    </row>
    <row r="3626" spans="3:5" x14ac:dyDescent="0.35">
      <c r="C3626">
        <f t="shared" si="57"/>
        <v>1909</v>
      </c>
      <c r="D3626" s="7">
        <v>3625</v>
      </c>
      <c r="E3626">
        <v>109.6066</v>
      </c>
    </row>
    <row r="3627" spans="3:5" x14ac:dyDescent="0.35">
      <c r="C3627">
        <f t="shared" si="57"/>
        <v>1909</v>
      </c>
      <c r="D3627" s="7">
        <v>3626</v>
      </c>
      <c r="E3627">
        <v>109.9722</v>
      </c>
    </row>
    <row r="3628" spans="3:5" x14ac:dyDescent="0.35">
      <c r="C3628">
        <f t="shared" si="57"/>
        <v>1909</v>
      </c>
      <c r="D3628" s="7">
        <v>3627</v>
      </c>
      <c r="E3628">
        <v>108.91379999999999</v>
      </c>
    </row>
    <row r="3629" spans="3:5" x14ac:dyDescent="0.35">
      <c r="C3629">
        <f t="shared" si="57"/>
        <v>1909</v>
      </c>
      <c r="D3629" s="7">
        <v>3628</v>
      </c>
      <c r="E3629">
        <v>108.922</v>
      </c>
    </row>
    <row r="3630" spans="3:5" x14ac:dyDescent="0.35">
      <c r="C3630">
        <f t="shared" si="57"/>
        <v>1909</v>
      </c>
      <c r="D3630" s="7">
        <v>3629</v>
      </c>
      <c r="E3630">
        <v>107.7206</v>
      </c>
    </row>
    <row r="3631" spans="3:5" x14ac:dyDescent="0.35">
      <c r="C3631">
        <f t="shared" si="57"/>
        <v>1909</v>
      </c>
      <c r="D3631" s="7">
        <v>3630</v>
      </c>
      <c r="E3631">
        <v>104.8485</v>
      </c>
    </row>
    <row r="3632" spans="3:5" x14ac:dyDescent="0.35">
      <c r="C3632">
        <f t="shared" si="57"/>
        <v>1909</v>
      </c>
      <c r="D3632" s="7">
        <v>3631</v>
      </c>
      <c r="E3632">
        <v>108.18040000000001</v>
      </c>
    </row>
    <row r="3633" spans="3:5" x14ac:dyDescent="0.35">
      <c r="C3633">
        <f t="shared" si="57"/>
        <v>1909</v>
      </c>
      <c r="D3633" s="7">
        <v>3632</v>
      </c>
      <c r="E3633">
        <v>110.50020000000001</v>
      </c>
    </row>
    <row r="3634" spans="3:5" x14ac:dyDescent="0.35">
      <c r="C3634">
        <f t="shared" si="57"/>
        <v>1909</v>
      </c>
      <c r="D3634" s="7">
        <v>3633</v>
      </c>
      <c r="E3634">
        <v>108.3967</v>
      </c>
    </row>
    <row r="3635" spans="3:5" x14ac:dyDescent="0.35">
      <c r="C3635">
        <f t="shared" si="57"/>
        <v>1909</v>
      </c>
      <c r="D3635" s="7">
        <v>3634</v>
      </c>
      <c r="E3635">
        <v>111.5168</v>
      </c>
    </row>
    <row r="3636" spans="3:5" x14ac:dyDescent="0.35">
      <c r="C3636">
        <f t="shared" si="57"/>
        <v>1909</v>
      </c>
      <c r="D3636" s="7">
        <v>3635</v>
      </c>
      <c r="E3636">
        <v>110.4423</v>
      </c>
    </row>
    <row r="3637" spans="3:5" x14ac:dyDescent="0.35">
      <c r="C3637">
        <f t="shared" si="57"/>
        <v>1909</v>
      </c>
      <c r="D3637" s="7">
        <v>3636</v>
      </c>
      <c r="E3637">
        <v>107.9783</v>
      </c>
    </row>
    <row r="3638" spans="3:5" x14ac:dyDescent="0.35">
      <c r="C3638">
        <f t="shared" si="57"/>
        <v>1909</v>
      </c>
      <c r="D3638" s="7">
        <v>3637</v>
      </c>
      <c r="E3638">
        <v>108.0013</v>
      </c>
    </row>
    <row r="3639" spans="3:5" x14ac:dyDescent="0.35">
      <c r="C3639">
        <f t="shared" si="57"/>
        <v>1909</v>
      </c>
      <c r="D3639" s="7">
        <v>3638</v>
      </c>
      <c r="E3639">
        <v>105.6866</v>
      </c>
    </row>
    <row r="3640" spans="3:5" x14ac:dyDescent="0.35">
      <c r="C3640">
        <f t="shared" si="57"/>
        <v>1909</v>
      </c>
      <c r="D3640" s="7">
        <v>3639</v>
      </c>
      <c r="E3640">
        <v>103.1232</v>
      </c>
    </row>
    <row r="3641" spans="3:5" x14ac:dyDescent="0.35">
      <c r="C3641">
        <f t="shared" si="57"/>
        <v>1909</v>
      </c>
      <c r="D3641" s="7">
        <v>3640</v>
      </c>
      <c r="E3641">
        <v>101.8321</v>
      </c>
    </row>
    <row r="3642" spans="3:5" x14ac:dyDescent="0.35">
      <c r="C3642">
        <f t="shared" si="57"/>
        <v>1909</v>
      </c>
      <c r="D3642" s="7">
        <v>3641</v>
      </c>
      <c r="E3642">
        <v>102.6459</v>
      </c>
    </row>
    <row r="3643" spans="3:5" x14ac:dyDescent="0.35">
      <c r="C3643">
        <f t="shared" si="57"/>
        <v>1909</v>
      </c>
      <c r="D3643" s="7">
        <v>3642</v>
      </c>
      <c r="E3643">
        <v>103.6504</v>
      </c>
    </row>
    <row r="3644" spans="3:5" x14ac:dyDescent="0.35">
      <c r="C3644">
        <f t="shared" si="57"/>
        <v>1909</v>
      </c>
      <c r="D3644" s="7">
        <v>3643</v>
      </c>
      <c r="E3644">
        <v>101.616</v>
      </c>
    </row>
    <row r="3645" spans="3:5" x14ac:dyDescent="0.35">
      <c r="C3645">
        <f t="shared" si="57"/>
        <v>1909</v>
      </c>
      <c r="D3645" s="7">
        <v>3644</v>
      </c>
      <c r="E3645">
        <v>103.6979</v>
      </c>
    </row>
    <row r="3646" spans="3:5" x14ac:dyDescent="0.35">
      <c r="C3646">
        <f t="shared" si="57"/>
        <v>1909</v>
      </c>
      <c r="D3646" s="7">
        <v>3645</v>
      </c>
      <c r="E3646">
        <v>103.5227</v>
      </c>
    </row>
    <row r="3647" spans="3:5" x14ac:dyDescent="0.35">
      <c r="C3647">
        <f t="shared" si="57"/>
        <v>1909</v>
      </c>
      <c r="D3647" s="7">
        <v>3646</v>
      </c>
      <c r="E3647">
        <v>106.1767</v>
      </c>
    </row>
    <row r="3648" spans="3:5" x14ac:dyDescent="0.35">
      <c r="C3648">
        <f t="shared" si="57"/>
        <v>1909</v>
      </c>
      <c r="D3648" s="7">
        <v>3647</v>
      </c>
      <c r="E3648">
        <v>104.333</v>
      </c>
    </row>
    <row r="3649" spans="3:5" x14ac:dyDescent="0.35">
      <c r="C3649">
        <f t="shared" si="57"/>
        <v>1909</v>
      </c>
      <c r="D3649" s="7">
        <v>3648</v>
      </c>
      <c r="E3649">
        <v>102.92789999999999</v>
      </c>
    </row>
    <row r="3650" spans="3:5" x14ac:dyDescent="0.35">
      <c r="C3650">
        <f t="shared" si="57"/>
        <v>1909</v>
      </c>
      <c r="D3650" s="7">
        <v>3649</v>
      </c>
      <c r="E3650">
        <v>101.7743</v>
      </c>
    </row>
    <row r="3651" spans="3:5" x14ac:dyDescent="0.35">
      <c r="C3651">
        <f t="shared" ref="C3651:C3714" si="58">YEAR(D3651)</f>
        <v>1909</v>
      </c>
      <c r="D3651" s="7">
        <v>3650</v>
      </c>
      <c r="E3651">
        <v>99.864999999999995</v>
      </c>
    </row>
    <row r="3652" spans="3:5" x14ac:dyDescent="0.35">
      <c r="C3652">
        <f t="shared" si="58"/>
        <v>1909</v>
      </c>
      <c r="D3652" s="7">
        <v>3651</v>
      </c>
      <c r="E3652">
        <v>99.323800000000006</v>
      </c>
    </row>
    <row r="3653" spans="3:5" x14ac:dyDescent="0.35">
      <c r="C3653">
        <f t="shared" si="58"/>
        <v>1909</v>
      </c>
      <c r="D3653" s="7">
        <v>3652</v>
      </c>
      <c r="E3653">
        <v>100.5864</v>
      </c>
    </row>
    <row r="3654" spans="3:5" x14ac:dyDescent="0.35">
      <c r="C3654">
        <f t="shared" si="58"/>
        <v>1909</v>
      </c>
      <c r="D3654" s="7">
        <v>3653</v>
      </c>
      <c r="E3654">
        <v>98.472200000000001</v>
      </c>
    </row>
    <row r="3655" spans="3:5" x14ac:dyDescent="0.35">
      <c r="C3655">
        <f t="shared" si="58"/>
        <v>1910</v>
      </c>
      <c r="D3655" s="7">
        <v>3654</v>
      </c>
      <c r="E3655">
        <v>94.692300000000003</v>
      </c>
    </row>
    <row r="3656" spans="3:5" x14ac:dyDescent="0.35">
      <c r="C3656">
        <f t="shared" si="58"/>
        <v>1910</v>
      </c>
      <c r="D3656" s="7">
        <v>3655</v>
      </c>
      <c r="E3656">
        <v>93.316400000000002</v>
      </c>
    </row>
    <row r="3657" spans="3:5" x14ac:dyDescent="0.35">
      <c r="C3657">
        <f t="shared" si="58"/>
        <v>1910</v>
      </c>
      <c r="D3657" s="7">
        <v>3656</v>
      </c>
      <c r="E3657">
        <v>91.904200000000003</v>
      </c>
    </row>
    <row r="3658" spans="3:5" x14ac:dyDescent="0.35">
      <c r="C3658">
        <f t="shared" si="58"/>
        <v>1910</v>
      </c>
      <c r="D3658" s="7">
        <v>3657</v>
      </c>
      <c r="E3658">
        <v>94.024299999999997</v>
      </c>
    </row>
    <row r="3659" spans="3:5" x14ac:dyDescent="0.35">
      <c r="C3659">
        <f t="shared" si="58"/>
        <v>1910</v>
      </c>
      <c r="D3659" s="7">
        <v>3658</v>
      </c>
      <c r="E3659">
        <v>92.944599999999994</v>
      </c>
    </row>
    <row r="3660" spans="3:5" x14ac:dyDescent="0.35">
      <c r="C3660">
        <f t="shared" si="58"/>
        <v>1910</v>
      </c>
      <c r="D3660" s="7">
        <v>3659</v>
      </c>
      <c r="E3660">
        <v>94.037199999999999</v>
      </c>
    </row>
    <row r="3661" spans="3:5" x14ac:dyDescent="0.35">
      <c r="C3661">
        <f t="shared" si="58"/>
        <v>1910</v>
      </c>
      <c r="D3661" s="7">
        <v>3660</v>
      </c>
      <c r="E3661">
        <v>94.138800000000003</v>
      </c>
    </row>
    <row r="3662" spans="3:5" x14ac:dyDescent="0.35">
      <c r="C3662">
        <f t="shared" si="58"/>
        <v>1910</v>
      </c>
      <c r="D3662" s="7">
        <v>3661</v>
      </c>
      <c r="E3662">
        <v>92.334999999999994</v>
      </c>
    </row>
    <row r="3663" spans="3:5" x14ac:dyDescent="0.35">
      <c r="C3663">
        <f t="shared" si="58"/>
        <v>1910</v>
      </c>
      <c r="D3663" s="7">
        <v>3662</v>
      </c>
      <c r="E3663">
        <v>90.461799999999997</v>
      </c>
    </row>
    <row r="3664" spans="3:5" x14ac:dyDescent="0.35">
      <c r="C3664">
        <f t="shared" si="58"/>
        <v>1910</v>
      </c>
      <c r="D3664" s="7">
        <v>3663</v>
      </c>
      <c r="E3664">
        <v>88.334400000000002</v>
      </c>
    </row>
    <row r="3665" spans="3:5" x14ac:dyDescent="0.35">
      <c r="C3665">
        <f t="shared" si="58"/>
        <v>1910</v>
      </c>
      <c r="D3665" s="7">
        <v>3664</v>
      </c>
      <c r="E3665">
        <v>91.442099999999996</v>
      </c>
    </row>
    <row r="3666" spans="3:5" x14ac:dyDescent="0.35">
      <c r="C3666">
        <f t="shared" si="58"/>
        <v>1910</v>
      </c>
      <c r="D3666" s="7">
        <v>3665</v>
      </c>
      <c r="E3666">
        <v>91.589100000000002</v>
      </c>
    </row>
    <row r="3667" spans="3:5" x14ac:dyDescent="0.35">
      <c r="C3667">
        <f t="shared" si="58"/>
        <v>1910</v>
      </c>
      <c r="D3667" s="7">
        <v>3666</v>
      </c>
      <c r="E3667">
        <v>92.528700000000001</v>
      </c>
    </row>
    <row r="3668" spans="3:5" x14ac:dyDescent="0.35">
      <c r="C3668">
        <f t="shared" si="58"/>
        <v>1910</v>
      </c>
      <c r="D3668" s="7">
        <v>3667</v>
      </c>
      <c r="E3668">
        <v>89.837000000000003</v>
      </c>
    </row>
    <row r="3669" spans="3:5" x14ac:dyDescent="0.35">
      <c r="C3669">
        <f t="shared" si="58"/>
        <v>1910</v>
      </c>
      <c r="D3669" s="7">
        <v>3668</v>
      </c>
      <c r="E3669">
        <v>89.807599999999994</v>
      </c>
    </row>
    <row r="3670" spans="3:5" x14ac:dyDescent="0.35">
      <c r="C3670">
        <f t="shared" si="58"/>
        <v>1910</v>
      </c>
      <c r="D3670" s="7">
        <v>3669</v>
      </c>
      <c r="E3670">
        <v>90.933800000000005</v>
      </c>
    </row>
    <row r="3671" spans="3:5" x14ac:dyDescent="0.35">
      <c r="C3671">
        <f t="shared" si="58"/>
        <v>1910</v>
      </c>
      <c r="D3671" s="7">
        <v>3670</v>
      </c>
      <c r="E3671">
        <v>89.570499999999996</v>
      </c>
    </row>
    <row r="3672" spans="3:5" x14ac:dyDescent="0.35">
      <c r="C3672">
        <f t="shared" si="58"/>
        <v>1910</v>
      </c>
      <c r="D3672" s="7">
        <v>3671</v>
      </c>
      <c r="E3672">
        <v>90.850700000000003</v>
      </c>
    </row>
    <row r="3673" spans="3:5" x14ac:dyDescent="0.35">
      <c r="C3673">
        <f t="shared" si="58"/>
        <v>1910</v>
      </c>
      <c r="D3673" s="7">
        <v>3672</v>
      </c>
      <c r="E3673">
        <v>91.345399999999998</v>
      </c>
    </row>
    <row r="3674" spans="3:5" x14ac:dyDescent="0.35">
      <c r="C3674">
        <f t="shared" si="58"/>
        <v>1910</v>
      </c>
      <c r="D3674" s="7">
        <v>3673</v>
      </c>
      <c r="E3674">
        <v>91.951999999999998</v>
      </c>
    </row>
    <row r="3675" spans="3:5" x14ac:dyDescent="0.35">
      <c r="C3675">
        <f t="shared" si="58"/>
        <v>1910</v>
      </c>
      <c r="D3675" s="7">
        <v>3674</v>
      </c>
      <c r="E3675">
        <v>90.308099999999996</v>
      </c>
    </row>
    <row r="3676" spans="3:5" x14ac:dyDescent="0.35">
      <c r="C3676">
        <f t="shared" si="58"/>
        <v>1910</v>
      </c>
      <c r="D3676" s="7">
        <v>3675</v>
      </c>
      <c r="E3676">
        <v>90.284499999999994</v>
      </c>
    </row>
    <row r="3677" spans="3:5" x14ac:dyDescent="0.35">
      <c r="C3677">
        <f t="shared" si="58"/>
        <v>1910</v>
      </c>
      <c r="D3677" s="7">
        <v>3676</v>
      </c>
      <c r="E3677">
        <v>90.412400000000005</v>
      </c>
    </row>
    <row r="3678" spans="3:5" x14ac:dyDescent="0.35">
      <c r="C3678">
        <f t="shared" si="58"/>
        <v>1910</v>
      </c>
      <c r="D3678" s="7">
        <v>3677</v>
      </c>
      <c r="E3678">
        <v>88.914199999999994</v>
      </c>
    </row>
    <row r="3679" spans="3:5" x14ac:dyDescent="0.35">
      <c r="C3679">
        <f t="shared" si="58"/>
        <v>1910</v>
      </c>
      <c r="D3679" s="7">
        <v>3678</v>
      </c>
      <c r="E3679">
        <v>89.961100000000002</v>
      </c>
    </row>
    <row r="3680" spans="3:5" x14ac:dyDescent="0.35">
      <c r="C3680">
        <f t="shared" si="58"/>
        <v>1910</v>
      </c>
      <c r="D3680" s="7">
        <v>3679</v>
      </c>
      <c r="E3680">
        <v>94.226100000000002</v>
      </c>
    </row>
    <row r="3681" spans="3:5" x14ac:dyDescent="0.35">
      <c r="C3681">
        <f t="shared" si="58"/>
        <v>1910</v>
      </c>
      <c r="D3681" s="7">
        <v>3680</v>
      </c>
      <c r="E3681">
        <v>95.294499999999999</v>
      </c>
    </row>
    <row r="3682" spans="3:5" x14ac:dyDescent="0.35">
      <c r="C3682">
        <f t="shared" si="58"/>
        <v>1910</v>
      </c>
      <c r="D3682" s="7">
        <v>3681</v>
      </c>
      <c r="E3682">
        <v>97.821100000000001</v>
      </c>
    </row>
    <row r="3683" spans="3:5" x14ac:dyDescent="0.35">
      <c r="C3683">
        <f t="shared" si="58"/>
        <v>1910</v>
      </c>
      <c r="D3683" s="7">
        <v>3682</v>
      </c>
      <c r="E3683">
        <v>99.866600000000005</v>
      </c>
    </row>
    <row r="3684" spans="3:5" x14ac:dyDescent="0.35">
      <c r="C3684">
        <f t="shared" si="58"/>
        <v>1910</v>
      </c>
      <c r="D3684" s="7">
        <v>3683</v>
      </c>
      <c r="E3684">
        <v>99.845799999999997</v>
      </c>
    </row>
    <row r="3685" spans="3:5" x14ac:dyDescent="0.35">
      <c r="C3685">
        <f t="shared" si="58"/>
        <v>1910</v>
      </c>
      <c r="D3685" s="7">
        <v>3684</v>
      </c>
      <c r="E3685">
        <v>99.495000000000005</v>
      </c>
    </row>
    <row r="3686" spans="3:5" x14ac:dyDescent="0.35">
      <c r="C3686">
        <f t="shared" si="58"/>
        <v>1910</v>
      </c>
      <c r="D3686" s="7">
        <v>3685</v>
      </c>
      <c r="E3686">
        <v>101.0274</v>
      </c>
    </row>
    <row r="3687" spans="3:5" x14ac:dyDescent="0.35">
      <c r="C3687">
        <f t="shared" si="58"/>
        <v>1910</v>
      </c>
      <c r="D3687" s="7">
        <v>3686</v>
      </c>
      <c r="E3687">
        <v>102.41759999999999</v>
      </c>
    </row>
    <row r="3688" spans="3:5" x14ac:dyDescent="0.35">
      <c r="C3688">
        <f t="shared" si="58"/>
        <v>1910</v>
      </c>
      <c r="D3688" s="7">
        <v>3687</v>
      </c>
      <c r="E3688">
        <v>100.15519999999999</v>
      </c>
    </row>
    <row r="3689" spans="3:5" x14ac:dyDescent="0.35">
      <c r="C3689">
        <f t="shared" si="58"/>
        <v>1910</v>
      </c>
      <c r="D3689" s="7">
        <v>3688</v>
      </c>
      <c r="E3689">
        <v>95.546000000000006</v>
      </c>
    </row>
    <row r="3690" spans="3:5" x14ac:dyDescent="0.35">
      <c r="C3690">
        <f t="shared" si="58"/>
        <v>1910</v>
      </c>
      <c r="D3690" s="7">
        <v>3689</v>
      </c>
      <c r="E3690">
        <v>92.260900000000007</v>
      </c>
    </row>
    <row r="3691" spans="3:5" x14ac:dyDescent="0.35">
      <c r="C3691">
        <f t="shared" si="58"/>
        <v>1910</v>
      </c>
      <c r="D3691" s="7">
        <v>3690</v>
      </c>
      <c r="E3691">
        <v>94.470200000000006</v>
      </c>
    </row>
    <row r="3692" spans="3:5" x14ac:dyDescent="0.35">
      <c r="C3692">
        <f t="shared" si="58"/>
        <v>1910</v>
      </c>
      <c r="D3692" s="7">
        <v>3691</v>
      </c>
      <c r="E3692">
        <v>92.913300000000007</v>
      </c>
    </row>
    <row r="3693" spans="3:5" x14ac:dyDescent="0.35">
      <c r="C3693">
        <f t="shared" si="58"/>
        <v>1910</v>
      </c>
      <c r="D3693" s="7">
        <v>3692</v>
      </c>
      <c r="E3693">
        <v>102.30240000000001</v>
      </c>
    </row>
    <row r="3694" spans="3:5" x14ac:dyDescent="0.35">
      <c r="C3694">
        <f t="shared" si="58"/>
        <v>1910</v>
      </c>
      <c r="D3694" s="7">
        <v>3693</v>
      </c>
      <c r="E3694">
        <v>100.86960000000001</v>
      </c>
    </row>
    <row r="3695" spans="3:5" x14ac:dyDescent="0.35">
      <c r="C3695">
        <f t="shared" si="58"/>
        <v>1910</v>
      </c>
      <c r="D3695" s="7">
        <v>3694</v>
      </c>
      <c r="E3695">
        <v>99.448800000000006</v>
      </c>
    </row>
    <row r="3696" spans="3:5" x14ac:dyDescent="0.35">
      <c r="C3696">
        <f t="shared" si="58"/>
        <v>1910</v>
      </c>
      <c r="D3696" s="7">
        <v>3695</v>
      </c>
      <c r="E3696">
        <v>96.289699999999996</v>
      </c>
    </row>
    <row r="3697" spans="3:5" x14ac:dyDescent="0.35">
      <c r="C3697">
        <f t="shared" si="58"/>
        <v>1910</v>
      </c>
      <c r="D3697" s="7">
        <v>3696</v>
      </c>
      <c r="E3697">
        <v>97.141400000000004</v>
      </c>
    </row>
    <row r="3698" spans="3:5" x14ac:dyDescent="0.35">
      <c r="C3698">
        <f t="shared" si="58"/>
        <v>1910</v>
      </c>
      <c r="D3698" s="7">
        <v>3697</v>
      </c>
      <c r="E3698">
        <v>97.137299999999996</v>
      </c>
    </row>
    <row r="3699" spans="3:5" x14ac:dyDescent="0.35">
      <c r="C3699">
        <f t="shared" si="58"/>
        <v>1910</v>
      </c>
      <c r="D3699" s="7">
        <v>3698</v>
      </c>
      <c r="E3699">
        <v>97.479699999999994</v>
      </c>
    </row>
    <row r="3700" spans="3:5" x14ac:dyDescent="0.35">
      <c r="C3700">
        <f t="shared" si="58"/>
        <v>1910</v>
      </c>
      <c r="D3700" s="7">
        <v>3699</v>
      </c>
      <c r="E3700">
        <v>100.0547</v>
      </c>
    </row>
    <row r="3701" spans="3:5" x14ac:dyDescent="0.35">
      <c r="C3701">
        <f t="shared" si="58"/>
        <v>1910</v>
      </c>
      <c r="D3701" s="7">
        <v>3700</v>
      </c>
      <c r="E3701">
        <v>101.8862</v>
      </c>
    </row>
    <row r="3702" spans="3:5" x14ac:dyDescent="0.35">
      <c r="C3702">
        <f t="shared" si="58"/>
        <v>1910</v>
      </c>
      <c r="D3702" s="7">
        <v>3701</v>
      </c>
      <c r="E3702">
        <v>100.84569999999999</v>
      </c>
    </row>
    <row r="3703" spans="3:5" x14ac:dyDescent="0.35">
      <c r="C3703">
        <f t="shared" si="58"/>
        <v>1910</v>
      </c>
      <c r="D3703" s="7">
        <v>3702</v>
      </c>
      <c r="E3703">
        <v>99.0929</v>
      </c>
    </row>
    <row r="3704" spans="3:5" x14ac:dyDescent="0.35">
      <c r="C3704">
        <f t="shared" si="58"/>
        <v>1910</v>
      </c>
      <c r="D3704" s="7">
        <v>3703</v>
      </c>
      <c r="E3704">
        <v>98.362099999999998</v>
      </c>
    </row>
    <row r="3705" spans="3:5" x14ac:dyDescent="0.35">
      <c r="C3705">
        <f t="shared" si="58"/>
        <v>1910</v>
      </c>
      <c r="D3705" s="7">
        <v>3704</v>
      </c>
      <c r="E3705">
        <v>99.087599999999995</v>
      </c>
    </row>
    <row r="3706" spans="3:5" x14ac:dyDescent="0.35">
      <c r="C3706">
        <f t="shared" si="58"/>
        <v>1910</v>
      </c>
      <c r="D3706" s="7">
        <v>3705</v>
      </c>
      <c r="E3706">
        <v>100.2791</v>
      </c>
    </row>
    <row r="3707" spans="3:5" x14ac:dyDescent="0.35">
      <c r="C3707">
        <f t="shared" si="58"/>
        <v>1910</v>
      </c>
      <c r="D3707" s="7">
        <v>3706</v>
      </c>
      <c r="E3707">
        <v>99.184200000000004</v>
      </c>
    </row>
    <row r="3708" spans="3:5" x14ac:dyDescent="0.35">
      <c r="C3708">
        <f t="shared" si="58"/>
        <v>1910</v>
      </c>
      <c r="D3708" s="7">
        <v>3707</v>
      </c>
      <c r="E3708">
        <v>100.1855</v>
      </c>
    </row>
    <row r="3709" spans="3:5" x14ac:dyDescent="0.35">
      <c r="C3709">
        <f t="shared" si="58"/>
        <v>1910</v>
      </c>
      <c r="D3709" s="7">
        <v>3708</v>
      </c>
      <c r="E3709">
        <v>97.891300000000001</v>
      </c>
    </row>
    <row r="3710" spans="3:5" x14ac:dyDescent="0.35">
      <c r="C3710">
        <f t="shared" si="58"/>
        <v>1910</v>
      </c>
      <c r="D3710" s="7">
        <v>3709</v>
      </c>
      <c r="E3710">
        <v>99.109099999999998</v>
      </c>
    </row>
    <row r="3711" spans="3:5" x14ac:dyDescent="0.35">
      <c r="C3711">
        <f t="shared" si="58"/>
        <v>1910</v>
      </c>
      <c r="D3711" s="7">
        <v>3710</v>
      </c>
      <c r="E3711">
        <v>97.565100000000001</v>
      </c>
    </row>
    <row r="3712" spans="3:5" x14ac:dyDescent="0.35">
      <c r="C3712">
        <f t="shared" si="58"/>
        <v>1910</v>
      </c>
      <c r="D3712" s="7">
        <v>3711</v>
      </c>
      <c r="E3712">
        <v>96.930400000000006</v>
      </c>
    </row>
    <row r="3713" spans="3:5" x14ac:dyDescent="0.35">
      <c r="C3713">
        <f t="shared" si="58"/>
        <v>1910</v>
      </c>
      <c r="D3713" s="7">
        <v>3712</v>
      </c>
      <c r="E3713">
        <v>96.201499999999996</v>
      </c>
    </row>
    <row r="3714" spans="3:5" x14ac:dyDescent="0.35">
      <c r="C3714">
        <f t="shared" si="58"/>
        <v>1910</v>
      </c>
      <c r="D3714" s="7">
        <v>3713</v>
      </c>
      <c r="E3714">
        <v>97.331299999999999</v>
      </c>
    </row>
    <row r="3715" spans="3:5" x14ac:dyDescent="0.35">
      <c r="C3715">
        <f t="shared" ref="C3715:C3778" si="59">YEAR(D3715)</f>
        <v>1910</v>
      </c>
      <c r="D3715" s="7">
        <v>3714</v>
      </c>
      <c r="E3715">
        <v>98.067800000000005</v>
      </c>
    </row>
    <row r="3716" spans="3:5" x14ac:dyDescent="0.35">
      <c r="C3716">
        <f t="shared" si="59"/>
        <v>1910</v>
      </c>
      <c r="D3716" s="7">
        <v>3715</v>
      </c>
      <c r="E3716">
        <v>95.807500000000005</v>
      </c>
    </row>
    <row r="3717" spans="3:5" x14ac:dyDescent="0.35">
      <c r="C3717">
        <f t="shared" si="59"/>
        <v>1910</v>
      </c>
      <c r="D3717" s="7">
        <v>3716</v>
      </c>
      <c r="E3717">
        <v>94.156999999999996</v>
      </c>
    </row>
    <row r="3718" spans="3:5" x14ac:dyDescent="0.35">
      <c r="C3718">
        <f t="shared" si="59"/>
        <v>1910</v>
      </c>
      <c r="D3718" s="7">
        <v>3717</v>
      </c>
      <c r="E3718">
        <v>95.073800000000006</v>
      </c>
    </row>
    <row r="3719" spans="3:5" x14ac:dyDescent="0.35">
      <c r="C3719">
        <f t="shared" si="59"/>
        <v>1910</v>
      </c>
      <c r="D3719" s="7">
        <v>3718</v>
      </c>
      <c r="E3719">
        <v>99.013000000000005</v>
      </c>
    </row>
    <row r="3720" spans="3:5" x14ac:dyDescent="0.35">
      <c r="C3720">
        <f t="shared" si="59"/>
        <v>1910</v>
      </c>
      <c r="D3720" s="7">
        <v>3719</v>
      </c>
      <c r="E3720">
        <v>99.216099999999997</v>
      </c>
    </row>
    <row r="3721" spans="3:5" x14ac:dyDescent="0.35">
      <c r="C3721">
        <f t="shared" si="59"/>
        <v>1910</v>
      </c>
      <c r="D3721" s="7">
        <v>3720</v>
      </c>
      <c r="E3721">
        <v>97.218599999999995</v>
      </c>
    </row>
    <row r="3722" spans="3:5" x14ac:dyDescent="0.35">
      <c r="C3722">
        <f t="shared" si="59"/>
        <v>1910</v>
      </c>
      <c r="D3722" s="7">
        <v>3721</v>
      </c>
      <c r="E3722">
        <v>96.831800000000001</v>
      </c>
    </row>
    <row r="3723" spans="3:5" x14ac:dyDescent="0.35">
      <c r="C3723">
        <f t="shared" si="59"/>
        <v>1910</v>
      </c>
      <c r="D3723" s="7">
        <v>3722</v>
      </c>
      <c r="E3723">
        <v>96.633099999999999</v>
      </c>
    </row>
    <row r="3724" spans="3:5" x14ac:dyDescent="0.35">
      <c r="C3724">
        <f t="shared" si="59"/>
        <v>1910</v>
      </c>
      <c r="D3724" s="7">
        <v>3723</v>
      </c>
      <c r="E3724">
        <v>95.262799999999999</v>
      </c>
    </row>
    <row r="3725" spans="3:5" x14ac:dyDescent="0.35">
      <c r="C3725">
        <f t="shared" si="59"/>
        <v>1910</v>
      </c>
      <c r="D3725" s="7">
        <v>3724</v>
      </c>
      <c r="E3725">
        <v>95.248699999999999</v>
      </c>
    </row>
    <row r="3726" spans="3:5" x14ac:dyDescent="0.35">
      <c r="C3726">
        <f t="shared" si="59"/>
        <v>1910</v>
      </c>
      <c r="D3726" s="7">
        <v>3725</v>
      </c>
      <c r="E3726">
        <v>96.084400000000002</v>
      </c>
    </row>
    <row r="3727" spans="3:5" x14ac:dyDescent="0.35">
      <c r="C3727">
        <f t="shared" si="59"/>
        <v>1910</v>
      </c>
      <c r="D3727" s="7">
        <v>3726</v>
      </c>
      <c r="E3727">
        <v>95.369100000000003</v>
      </c>
    </row>
    <row r="3728" spans="3:5" x14ac:dyDescent="0.35">
      <c r="C3728">
        <f t="shared" si="59"/>
        <v>1910</v>
      </c>
      <c r="D3728" s="7">
        <v>3727</v>
      </c>
      <c r="E3728">
        <v>95.060599999999994</v>
      </c>
    </row>
    <row r="3729" spans="3:5" x14ac:dyDescent="0.35">
      <c r="C3729">
        <f t="shared" si="59"/>
        <v>1910</v>
      </c>
      <c r="D3729" s="7">
        <v>3728</v>
      </c>
      <c r="E3729">
        <v>96.770799999999994</v>
      </c>
    </row>
    <row r="3730" spans="3:5" x14ac:dyDescent="0.35">
      <c r="C3730">
        <f t="shared" si="59"/>
        <v>1910</v>
      </c>
      <c r="D3730" s="7">
        <v>3729</v>
      </c>
      <c r="E3730">
        <v>95.588899999999995</v>
      </c>
    </row>
    <row r="3731" spans="3:5" x14ac:dyDescent="0.35">
      <c r="C3731">
        <f t="shared" si="59"/>
        <v>1910</v>
      </c>
      <c r="D3731" s="7">
        <v>3730</v>
      </c>
      <c r="E3731">
        <v>96.268900000000002</v>
      </c>
    </row>
    <row r="3732" spans="3:5" x14ac:dyDescent="0.35">
      <c r="C3732">
        <f t="shared" si="59"/>
        <v>1910</v>
      </c>
      <c r="D3732" s="7">
        <v>3731</v>
      </c>
      <c r="E3732">
        <v>97.820300000000003</v>
      </c>
    </row>
    <row r="3733" spans="3:5" x14ac:dyDescent="0.35">
      <c r="C3733">
        <f t="shared" si="59"/>
        <v>1910</v>
      </c>
      <c r="D3733" s="7">
        <v>3732</v>
      </c>
      <c r="E3733">
        <v>97.004000000000005</v>
      </c>
    </row>
    <row r="3734" spans="3:5" x14ac:dyDescent="0.35">
      <c r="C3734">
        <f t="shared" si="59"/>
        <v>1910</v>
      </c>
      <c r="D3734" s="7">
        <v>3733</v>
      </c>
      <c r="E3734">
        <v>97.839399999999998</v>
      </c>
    </row>
    <row r="3735" spans="3:5" x14ac:dyDescent="0.35">
      <c r="C3735">
        <f t="shared" si="59"/>
        <v>1910</v>
      </c>
      <c r="D3735" s="7">
        <v>3734</v>
      </c>
      <c r="E3735">
        <v>98.0244</v>
      </c>
    </row>
    <row r="3736" spans="3:5" x14ac:dyDescent="0.35">
      <c r="C3736">
        <f t="shared" si="59"/>
        <v>1910</v>
      </c>
      <c r="D3736" s="7">
        <v>3735</v>
      </c>
      <c r="E3736">
        <v>98.471500000000006</v>
      </c>
    </row>
    <row r="3737" spans="3:5" x14ac:dyDescent="0.35">
      <c r="C3737">
        <f t="shared" si="59"/>
        <v>1910</v>
      </c>
      <c r="D3737" s="7">
        <v>3736</v>
      </c>
      <c r="E3737">
        <v>96.349299999999999</v>
      </c>
    </row>
    <row r="3738" spans="3:5" x14ac:dyDescent="0.35">
      <c r="C3738">
        <f t="shared" si="59"/>
        <v>1910</v>
      </c>
      <c r="D3738" s="7">
        <v>3737</v>
      </c>
      <c r="E3738">
        <v>97.78</v>
      </c>
    </row>
    <row r="3739" spans="3:5" x14ac:dyDescent="0.35">
      <c r="C3739">
        <f t="shared" si="59"/>
        <v>1910</v>
      </c>
      <c r="D3739" s="7">
        <v>3738</v>
      </c>
      <c r="E3739">
        <v>95.996399999999994</v>
      </c>
    </row>
    <row r="3740" spans="3:5" x14ac:dyDescent="0.35">
      <c r="C3740">
        <f t="shared" si="59"/>
        <v>1910</v>
      </c>
      <c r="D3740" s="7">
        <v>3739</v>
      </c>
      <c r="E3740">
        <v>91.968500000000006</v>
      </c>
    </row>
    <row r="3741" spans="3:5" x14ac:dyDescent="0.35">
      <c r="C3741">
        <f t="shared" si="59"/>
        <v>1910</v>
      </c>
      <c r="D3741" s="7">
        <v>3740</v>
      </c>
      <c r="E3741">
        <v>91.467600000000004</v>
      </c>
    </row>
    <row r="3742" spans="3:5" x14ac:dyDescent="0.35">
      <c r="C3742">
        <f t="shared" si="59"/>
        <v>1910</v>
      </c>
      <c r="D3742" s="7">
        <v>3741</v>
      </c>
      <c r="E3742">
        <v>95.075699999999998</v>
      </c>
    </row>
    <row r="3743" spans="3:5" x14ac:dyDescent="0.35">
      <c r="C3743">
        <f t="shared" si="59"/>
        <v>1910</v>
      </c>
      <c r="D3743" s="7">
        <v>3742</v>
      </c>
      <c r="E3743">
        <v>97.221599999999995</v>
      </c>
    </row>
    <row r="3744" spans="3:5" x14ac:dyDescent="0.35">
      <c r="C3744">
        <f t="shared" si="59"/>
        <v>1910</v>
      </c>
      <c r="D3744" s="7">
        <v>3743</v>
      </c>
      <c r="E3744">
        <v>95.207999999999998</v>
      </c>
    </row>
    <row r="3745" spans="3:5" x14ac:dyDescent="0.35">
      <c r="C3745">
        <f t="shared" si="59"/>
        <v>1910</v>
      </c>
      <c r="D3745" s="7">
        <v>3744</v>
      </c>
      <c r="E3745">
        <v>94.798299999999998</v>
      </c>
    </row>
    <row r="3746" spans="3:5" x14ac:dyDescent="0.35">
      <c r="C3746">
        <f t="shared" si="59"/>
        <v>1910</v>
      </c>
      <c r="D3746" s="7">
        <v>3745</v>
      </c>
      <c r="E3746">
        <v>94.164299999999997</v>
      </c>
    </row>
    <row r="3747" spans="3:5" x14ac:dyDescent="0.35">
      <c r="C3747">
        <f t="shared" si="59"/>
        <v>1910</v>
      </c>
      <c r="D3747" s="7">
        <v>3746</v>
      </c>
      <c r="E3747">
        <v>93.968199999999996</v>
      </c>
    </row>
    <row r="3748" spans="3:5" x14ac:dyDescent="0.35">
      <c r="C3748">
        <f t="shared" si="59"/>
        <v>1910</v>
      </c>
      <c r="D3748" s="7">
        <v>3747</v>
      </c>
      <c r="E3748">
        <v>94.390100000000004</v>
      </c>
    </row>
    <row r="3749" spans="3:5" x14ac:dyDescent="0.35">
      <c r="C3749">
        <f t="shared" si="59"/>
        <v>1910</v>
      </c>
      <c r="D3749" s="7">
        <v>3748</v>
      </c>
      <c r="E3749">
        <v>95.165700000000001</v>
      </c>
    </row>
    <row r="3750" spans="3:5" x14ac:dyDescent="0.35">
      <c r="C3750">
        <f t="shared" si="59"/>
        <v>1910</v>
      </c>
      <c r="D3750" s="7">
        <v>3749</v>
      </c>
      <c r="E3750">
        <v>93.4251</v>
      </c>
    </row>
    <row r="3751" spans="3:5" x14ac:dyDescent="0.35">
      <c r="C3751">
        <f t="shared" si="59"/>
        <v>1910</v>
      </c>
      <c r="D3751" s="7">
        <v>3750</v>
      </c>
      <c r="E3751">
        <v>92.005200000000002</v>
      </c>
    </row>
    <row r="3752" spans="3:5" x14ac:dyDescent="0.35">
      <c r="C3752">
        <f t="shared" si="59"/>
        <v>1910</v>
      </c>
      <c r="D3752" s="7">
        <v>3751</v>
      </c>
      <c r="E3752">
        <v>89.990399999999994</v>
      </c>
    </row>
    <row r="3753" spans="3:5" x14ac:dyDescent="0.35">
      <c r="C3753">
        <f t="shared" si="59"/>
        <v>1910</v>
      </c>
      <c r="D3753" s="7">
        <v>3752</v>
      </c>
      <c r="E3753">
        <v>89.597399999999993</v>
      </c>
    </row>
    <row r="3754" spans="3:5" x14ac:dyDescent="0.35">
      <c r="C3754">
        <f t="shared" si="59"/>
        <v>1910</v>
      </c>
      <c r="D3754" s="7">
        <v>3753</v>
      </c>
      <c r="E3754">
        <v>89.522499999999994</v>
      </c>
    </row>
    <row r="3755" spans="3:5" x14ac:dyDescent="0.35">
      <c r="C3755">
        <f t="shared" si="59"/>
        <v>1910</v>
      </c>
      <c r="D3755" s="7">
        <v>3754</v>
      </c>
      <c r="E3755">
        <v>90.151600000000002</v>
      </c>
    </row>
    <row r="3756" spans="3:5" x14ac:dyDescent="0.35">
      <c r="C3756">
        <f t="shared" si="59"/>
        <v>1910</v>
      </c>
      <c r="D3756" s="7">
        <v>3755</v>
      </c>
      <c r="E3756">
        <v>93.426100000000005</v>
      </c>
    </row>
    <row r="3757" spans="3:5" x14ac:dyDescent="0.35">
      <c r="C3757">
        <f t="shared" si="59"/>
        <v>1910</v>
      </c>
      <c r="D3757" s="7">
        <v>3756</v>
      </c>
      <c r="E3757">
        <v>92.550600000000003</v>
      </c>
    </row>
    <row r="3758" spans="3:5" x14ac:dyDescent="0.35">
      <c r="C3758">
        <f t="shared" si="59"/>
        <v>1910</v>
      </c>
      <c r="D3758" s="7">
        <v>3757</v>
      </c>
      <c r="E3758">
        <v>92.71</v>
      </c>
    </row>
    <row r="3759" spans="3:5" x14ac:dyDescent="0.35">
      <c r="C3759">
        <f t="shared" si="59"/>
        <v>1910</v>
      </c>
      <c r="D3759" s="7">
        <v>3758</v>
      </c>
      <c r="E3759">
        <v>93.075199999999995</v>
      </c>
    </row>
    <row r="3760" spans="3:5" x14ac:dyDescent="0.35">
      <c r="C3760">
        <f t="shared" si="59"/>
        <v>1910</v>
      </c>
      <c r="D3760" s="7">
        <v>3759</v>
      </c>
      <c r="E3760">
        <v>95.540499999999994</v>
      </c>
    </row>
    <row r="3761" spans="3:5" x14ac:dyDescent="0.35">
      <c r="C3761">
        <f t="shared" si="59"/>
        <v>1910</v>
      </c>
      <c r="D3761" s="7">
        <v>3760</v>
      </c>
      <c r="E3761">
        <v>98.408600000000007</v>
      </c>
    </row>
    <row r="3762" spans="3:5" x14ac:dyDescent="0.35">
      <c r="C3762">
        <f t="shared" si="59"/>
        <v>1910</v>
      </c>
      <c r="D3762" s="7">
        <v>3761</v>
      </c>
      <c r="E3762">
        <v>98.531999999999996</v>
      </c>
    </row>
    <row r="3763" spans="3:5" x14ac:dyDescent="0.35">
      <c r="C3763">
        <f t="shared" si="59"/>
        <v>1910</v>
      </c>
      <c r="D3763" s="7">
        <v>3762</v>
      </c>
      <c r="E3763">
        <v>98.193100000000001</v>
      </c>
    </row>
    <row r="3764" spans="3:5" x14ac:dyDescent="0.35">
      <c r="C3764">
        <f t="shared" si="59"/>
        <v>1910</v>
      </c>
      <c r="D3764" s="7">
        <v>3763</v>
      </c>
      <c r="E3764">
        <v>96.497</v>
      </c>
    </row>
    <row r="3765" spans="3:5" x14ac:dyDescent="0.35">
      <c r="C3765">
        <f t="shared" si="59"/>
        <v>1910</v>
      </c>
      <c r="D3765" s="7">
        <v>3764</v>
      </c>
      <c r="E3765">
        <v>96.439499999999995</v>
      </c>
    </row>
    <row r="3766" spans="3:5" x14ac:dyDescent="0.35">
      <c r="C3766">
        <f t="shared" si="59"/>
        <v>1910</v>
      </c>
      <c r="D3766" s="7">
        <v>3765</v>
      </c>
      <c r="E3766">
        <v>96.199399999999997</v>
      </c>
    </row>
    <row r="3767" spans="3:5" x14ac:dyDescent="0.35">
      <c r="C3767">
        <f t="shared" si="59"/>
        <v>1910</v>
      </c>
      <c r="D3767" s="7">
        <v>3766</v>
      </c>
      <c r="E3767">
        <v>95.431200000000004</v>
      </c>
    </row>
    <row r="3768" spans="3:5" x14ac:dyDescent="0.35">
      <c r="C3768">
        <f t="shared" si="59"/>
        <v>1910</v>
      </c>
      <c r="D3768" s="7">
        <v>3767</v>
      </c>
      <c r="E3768">
        <v>94.5124</v>
      </c>
    </row>
    <row r="3769" spans="3:5" x14ac:dyDescent="0.35">
      <c r="C3769">
        <f t="shared" si="59"/>
        <v>1910</v>
      </c>
      <c r="D3769" s="7">
        <v>3768</v>
      </c>
      <c r="E3769">
        <v>91.479399999999998</v>
      </c>
    </row>
    <row r="3770" spans="3:5" x14ac:dyDescent="0.35">
      <c r="C3770">
        <f t="shared" si="59"/>
        <v>1910</v>
      </c>
      <c r="D3770" s="7">
        <v>3769</v>
      </c>
      <c r="E3770">
        <v>84.107500000000002</v>
      </c>
    </row>
    <row r="3771" spans="3:5" x14ac:dyDescent="0.35">
      <c r="C3771">
        <f t="shared" si="59"/>
        <v>1910</v>
      </c>
      <c r="D3771" s="7">
        <v>3770</v>
      </c>
      <c r="E3771">
        <v>82.943200000000004</v>
      </c>
    </row>
    <row r="3772" spans="3:5" x14ac:dyDescent="0.35">
      <c r="C3772">
        <f t="shared" si="59"/>
        <v>1910</v>
      </c>
      <c r="D3772" s="7">
        <v>3771</v>
      </c>
      <c r="E3772">
        <v>77.603700000000003</v>
      </c>
    </row>
    <row r="3773" spans="3:5" x14ac:dyDescent="0.35">
      <c r="C3773">
        <f t="shared" si="59"/>
        <v>1910</v>
      </c>
      <c r="D3773" s="7">
        <v>3772</v>
      </c>
      <c r="E3773">
        <v>82.360900000000001</v>
      </c>
    </row>
    <row r="3774" spans="3:5" x14ac:dyDescent="0.35">
      <c r="C3774">
        <f t="shared" si="59"/>
        <v>1910</v>
      </c>
      <c r="D3774" s="7">
        <v>3773</v>
      </c>
      <c r="E3774">
        <v>84.796099999999996</v>
      </c>
    </row>
    <row r="3775" spans="3:5" x14ac:dyDescent="0.35">
      <c r="C3775">
        <f t="shared" si="59"/>
        <v>1910</v>
      </c>
      <c r="D3775" s="7">
        <v>3774</v>
      </c>
      <c r="E3775">
        <v>83.955100000000002</v>
      </c>
    </row>
    <row r="3776" spans="3:5" x14ac:dyDescent="0.35">
      <c r="C3776">
        <f t="shared" si="59"/>
        <v>1910</v>
      </c>
      <c r="D3776" s="7">
        <v>3775</v>
      </c>
      <c r="E3776">
        <v>82.466700000000003</v>
      </c>
    </row>
    <row r="3777" spans="3:5" x14ac:dyDescent="0.35">
      <c r="C3777">
        <f t="shared" si="59"/>
        <v>1910</v>
      </c>
      <c r="D3777" s="7">
        <v>3776</v>
      </c>
      <c r="E3777">
        <v>82.467399999999998</v>
      </c>
    </row>
    <row r="3778" spans="3:5" x14ac:dyDescent="0.35">
      <c r="C3778">
        <f t="shared" si="59"/>
        <v>1910</v>
      </c>
      <c r="D3778" s="7">
        <v>3777</v>
      </c>
      <c r="E3778">
        <v>79.590500000000006</v>
      </c>
    </row>
    <row r="3779" spans="3:5" x14ac:dyDescent="0.35">
      <c r="C3779">
        <f t="shared" ref="C3779:C3842" si="60">YEAR(D3779)</f>
        <v>1910</v>
      </c>
      <c r="D3779" s="7">
        <v>3778</v>
      </c>
      <c r="E3779">
        <v>80.462100000000007</v>
      </c>
    </row>
    <row r="3780" spans="3:5" x14ac:dyDescent="0.35">
      <c r="C3780">
        <f t="shared" si="60"/>
        <v>1910</v>
      </c>
      <c r="D3780" s="7">
        <v>3779</v>
      </c>
      <c r="E3780">
        <v>82.803600000000003</v>
      </c>
    </row>
    <row r="3781" spans="3:5" x14ac:dyDescent="0.35">
      <c r="C3781">
        <f t="shared" si="60"/>
        <v>1910</v>
      </c>
      <c r="D3781" s="7">
        <v>3780</v>
      </c>
      <c r="E3781">
        <v>85.973299999999995</v>
      </c>
    </row>
    <row r="3782" spans="3:5" x14ac:dyDescent="0.35">
      <c r="C3782">
        <f t="shared" si="60"/>
        <v>1910</v>
      </c>
      <c r="D3782" s="7">
        <v>3781</v>
      </c>
      <c r="E3782">
        <v>84.986800000000002</v>
      </c>
    </row>
    <row r="3783" spans="3:5" x14ac:dyDescent="0.35">
      <c r="C3783">
        <f t="shared" si="60"/>
        <v>1910</v>
      </c>
      <c r="D3783" s="7">
        <v>3782</v>
      </c>
      <c r="E3783">
        <v>81.927800000000005</v>
      </c>
    </row>
    <row r="3784" spans="3:5" x14ac:dyDescent="0.35">
      <c r="C3784">
        <f t="shared" si="60"/>
        <v>1910</v>
      </c>
      <c r="D3784" s="7">
        <v>3783</v>
      </c>
      <c r="E3784">
        <v>79.459199999999996</v>
      </c>
    </row>
    <row r="3785" spans="3:5" x14ac:dyDescent="0.35">
      <c r="C3785">
        <f t="shared" si="60"/>
        <v>1910</v>
      </c>
      <c r="D3785" s="7">
        <v>3784</v>
      </c>
      <c r="E3785">
        <v>78.673500000000004</v>
      </c>
    </row>
    <row r="3786" spans="3:5" x14ac:dyDescent="0.35">
      <c r="C3786">
        <f t="shared" si="60"/>
        <v>1910</v>
      </c>
      <c r="D3786" s="7">
        <v>3785</v>
      </c>
      <c r="E3786">
        <v>80.036100000000005</v>
      </c>
    </row>
    <row r="3787" spans="3:5" x14ac:dyDescent="0.35">
      <c r="C3787">
        <f t="shared" si="60"/>
        <v>1910</v>
      </c>
      <c r="D3787" s="7">
        <v>3786</v>
      </c>
      <c r="E3787">
        <v>81.293599999999998</v>
      </c>
    </row>
    <row r="3788" spans="3:5" x14ac:dyDescent="0.35">
      <c r="C3788">
        <f t="shared" si="60"/>
        <v>1910</v>
      </c>
      <c r="D3788" s="7">
        <v>3787</v>
      </c>
      <c r="E3788">
        <v>78.3232</v>
      </c>
    </row>
    <row r="3789" spans="3:5" x14ac:dyDescent="0.35">
      <c r="C3789">
        <f t="shared" si="60"/>
        <v>1910</v>
      </c>
      <c r="D3789" s="7">
        <v>3788</v>
      </c>
      <c r="E3789">
        <v>79.727199999999996</v>
      </c>
    </row>
    <row r="3790" spans="3:5" x14ac:dyDescent="0.35">
      <c r="C3790">
        <f t="shared" si="60"/>
        <v>1910</v>
      </c>
      <c r="D3790" s="7">
        <v>3789</v>
      </c>
      <c r="E3790">
        <v>76.543400000000005</v>
      </c>
    </row>
    <row r="3791" spans="3:5" x14ac:dyDescent="0.35">
      <c r="C3791">
        <f t="shared" si="60"/>
        <v>1910</v>
      </c>
      <c r="D3791" s="7">
        <v>3790</v>
      </c>
      <c r="E3791">
        <v>78.388000000000005</v>
      </c>
    </row>
    <row r="3792" spans="3:5" x14ac:dyDescent="0.35">
      <c r="C3792">
        <f t="shared" si="60"/>
        <v>1910</v>
      </c>
      <c r="D3792" s="7">
        <v>3791</v>
      </c>
      <c r="E3792">
        <v>78.379499999999993</v>
      </c>
    </row>
    <row r="3793" spans="3:5" x14ac:dyDescent="0.35">
      <c r="C3793">
        <f t="shared" si="60"/>
        <v>1910</v>
      </c>
      <c r="D3793" s="7">
        <v>3792</v>
      </c>
      <c r="E3793">
        <v>75.968599999999995</v>
      </c>
    </row>
    <row r="3794" spans="3:5" x14ac:dyDescent="0.35">
      <c r="C3794">
        <f t="shared" si="60"/>
        <v>1910</v>
      </c>
      <c r="D3794" s="7">
        <v>3793</v>
      </c>
      <c r="E3794">
        <v>72.590299999999999</v>
      </c>
    </row>
    <row r="3795" spans="3:5" x14ac:dyDescent="0.35">
      <c r="C3795">
        <f t="shared" si="60"/>
        <v>1910</v>
      </c>
      <c r="D3795" s="7">
        <v>3794</v>
      </c>
      <c r="E3795">
        <v>69.483900000000006</v>
      </c>
    </row>
    <row r="3796" spans="3:5" x14ac:dyDescent="0.35">
      <c r="C3796">
        <f t="shared" si="60"/>
        <v>1910</v>
      </c>
      <c r="D3796" s="7">
        <v>3795</v>
      </c>
      <c r="E3796">
        <v>73.068299999999994</v>
      </c>
    </row>
    <row r="3797" spans="3:5" x14ac:dyDescent="0.35">
      <c r="C3797">
        <f t="shared" si="60"/>
        <v>1910</v>
      </c>
      <c r="D3797" s="7">
        <v>3796</v>
      </c>
      <c r="E3797">
        <v>71.596000000000004</v>
      </c>
    </row>
    <row r="3798" spans="3:5" x14ac:dyDescent="0.35">
      <c r="C3798">
        <f t="shared" si="60"/>
        <v>1910</v>
      </c>
      <c r="D3798" s="7">
        <v>3797</v>
      </c>
      <c r="E3798">
        <v>68.894099999999995</v>
      </c>
    </row>
    <row r="3799" spans="3:5" x14ac:dyDescent="0.35">
      <c r="C3799">
        <f t="shared" si="60"/>
        <v>1910</v>
      </c>
      <c r="D3799" s="7">
        <v>3798</v>
      </c>
      <c r="E3799">
        <v>66.369799999999998</v>
      </c>
    </row>
    <row r="3800" spans="3:5" x14ac:dyDescent="0.35">
      <c r="C3800">
        <f t="shared" si="60"/>
        <v>1910</v>
      </c>
      <c r="D3800" s="7">
        <v>3799</v>
      </c>
      <c r="E3800">
        <v>69.583200000000005</v>
      </c>
    </row>
    <row r="3801" spans="3:5" x14ac:dyDescent="0.35">
      <c r="C3801">
        <f t="shared" si="60"/>
        <v>1910</v>
      </c>
      <c r="D3801" s="7">
        <v>3800</v>
      </c>
      <c r="E3801">
        <v>70.798299999999998</v>
      </c>
    </row>
    <row r="3802" spans="3:5" x14ac:dyDescent="0.35">
      <c r="C3802">
        <f t="shared" si="60"/>
        <v>1910</v>
      </c>
      <c r="D3802" s="7">
        <v>3801</v>
      </c>
      <c r="E3802">
        <v>77.170699999999997</v>
      </c>
    </row>
    <row r="3803" spans="3:5" x14ac:dyDescent="0.35">
      <c r="C3803">
        <f t="shared" si="60"/>
        <v>1910</v>
      </c>
      <c r="D3803" s="7">
        <v>3802</v>
      </c>
      <c r="E3803">
        <v>75.351600000000005</v>
      </c>
    </row>
    <row r="3804" spans="3:5" x14ac:dyDescent="0.35">
      <c r="C3804">
        <f t="shared" si="60"/>
        <v>1910</v>
      </c>
      <c r="D3804" s="7">
        <v>3803</v>
      </c>
      <c r="E3804">
        <v>75.421499999999995</v>
      </c>
    </row>
    <row r="3805" spans="3:5" x14ac:dyDescent="0.35">
      <c r="C3805">
        <f t="shared" si="60"/>
        <v>1910</v>
      </c>
      <c r="D3805" s="7">
        <v>3804</v>
      </c>
      <c r="E3805">
        <v>73.175700000000006</v>
      </c>
    </row>
    <row r="3806" spans="3:5" x14ac:dyDescent="0.35">
      <c r="C3806">
        <f t="shared" si="60"/>
        <v>1910</v>
      </c>
      <c r="D3806" s="7">
        <v>3805</v>
      </c>
      <c r="E3806">
        <v>73.746300000000005</v>
      </c>
    </row>
    <row r="3807" spans="3:5" x14ac:dyDescent="0.35">
      <c r="C3807">
        <f t="shared" si="60"/>
        <v>1910</v>
      </c>
      <c r="D3807" s="7">
        <v>3806</v>
      </c>
      <c r="E3807">
        <v>69.992500000000007</v>
      </c>
    </row>
    <row r="3808" spans="3:5" x14ac:dyDescent="0.35">
      <c r="C3808">
        <f t="shared" si="60"/>
        <v>1910</v>
      </c>
      <c r="D3808" s="7">
        <v>3807</v>
      </c>
      <c r="E3808">
        <v>67.704300000000003</v>
      </c>
    </row>
    <row r="3809" spans="3:5" x14ac:dyDescent="0.35">
      <c r="C3809">
        <f t="shared" si="60"/>
        <v>1910</v>
      </c>
      <c r="D3809" s="7">
        <v>3808</v>
      </c>
      <c r="E3809">
        <v>69.157899999999998</v>
      </c>
    </row>
    <row r="3810" spans="3:5" x14ac:dyDescent="0.35">
      <c r="C3810">
        <f t="shared" si="60"/>
        <v>1910</v>
      </c>
      <c r="D3810" s="7">
        <v>3809</v>
      </c>
      <c r="E3810">
        <v>66.273399999999995</v>
      </c>
    </row>
    <row r="3811" spans="3:5" x14ac:dyDescent="0.35">
      <c r="C3811">
        <f t="shared" si="60"/>
        <v>1910</v>
      </c>
      <c r="D3811" s="7">
        <v>3810</v>
      </c>
      <c r="E3811">
        <v>66.489000000000004</v>
      </c>
    </row>
    <row r="3812" spans="3:5" x14ac:dyDescent="0.35">
      <c r="C3812">
        <f t="shared" si="60"/>
        <v>1910</v>
      </c>
      <c r="D3812" s="7">
        <v>3811</v>
      </c>
      <c r="E3812">
        <v>66.850800000000007</v>
      </c>
    </row>
    <row r="3813" spans="3:5" x14ac:dyDescent="0.35">
      <c r="C3813">
        <f t="shared" si="60"/>
        <v>1910</v>
      </c>
      <c r="D3813" s="7">
        <v>3812</v>
      </c>
      <c r="E3813">
        <v>66.797899999999998</v>
      </c>
    </row>
    <row r="3814" spans="3:5" x14ac:dyDescent="0.35">
      <c r="C3814">
        <f t="shared" si="60"/>
        <v>1910</v>
      </c>
      <c r="D3814" s="7">
        <v>3813</v>
      </c>
      <c r="E3814">
        <v>65.908100000000005</v>
      </c>
    </row>
    <row r="3815" spans="3:5" x14ac:dyDescent="0.35">
      <c r="C3815">
        <f t="shared" si="60"/>
        <v>1910</v>
      </c>
      <c r="D3815" s="7">
        <v>3814</v>
      </c>
      <c r="E3815">
        <v>64.822999999999993</v>
      </c>
    </row>
    <row r="3816" spans="3:5" x14ac:dyDescent="0.35">
      <c r="C3816">
        <f t="shared" si="60"/>
        <v>1910</v>
      </c>
      <c r="D3816" s="7">
        <v>3815</v>
      </c>
      <c r="E3816">
        <v>67.296899999999994</v>
      </c>
    </row>
    <row r="3817" spans="3:5" x14ac:dyDescent="0.35">
      <c r="C3817">
        <f t="shared" si="60"/>
        <v>1910</v>
      </c>
      <c r="D3817" s="7">
        <v>3816</v>
      </c>
      <c r="E3817">
        <v>67.598699999999994</v>
      </c>
    </row>
    <row r="3818" spans="3:5" x14ac:dyDescent="0.35">
      <c r="C3818">
        <f t="shared" si="60"/>
        <v>1910</v>
      </c>
      <c r="D3818" s="7">
        <v>3817</v>
      </c>
      <c r="E3818">
        <v>67.732900000000001</v>
      </c>
    </row>
    <row r="3819" spans="3:5" x14ac:dyDescent="0.35">
      <c r="C3819">
        <f t="shared" si="60"/>
        <v>1910</v>
      </c>
      <c r="D3819" s="7">
        <v>3818</v>
      </c>
      <c r="E3819">
        <v>69.352699999999999</v>
      </c>
    </row>
    <row r="3820" spans="3:5" x14ac:dyDescent="0.35">
      <c r="C3820">
        <f t="shared" si="60"/>
        <v>1910</v>
      </c>
      <c r="D3820" s="7">
        <v>3819</v>
      </c>
      <c r="E3820">
        <v>69.408100000000005</v>
      </c>
    </row>
    <row r="3821" spans="3:5" x14ac:dyDescent="0.35">
      <c r="C3821">
        <f t="shared" si="60"/>
        <v>1910</v>
      </c>
      <c r="D3821" s="7">
        <v>3820</v>
      </c>
      <c r="E3821">
        <v>65.537099999999995</v>
      </c>
    </row>
    <row r="3822" spans="3:5" x14ac:dyDescent="0.35">
      <c r="C3822">
        <f t="shared" si="60"/>
        <v>1910</v>
      </c>
      <c r="D3822" s="7">
        <v>3821</v>
      </c>
      <c r="E3822">
        <v>60.688699999999997</v>
      </c>
    </row>
    <row r="3823" spans="3:5" x14ac:dyDescent="0.35">
      <c r="C3823">
        <f t="shared" si="60"/>
        <v>1910</v>
      </c>
      <c r="D3823" s="7">
        <v>3822</v>
      </c>
      <c r="E3823">
        <v>61.702500000000001</v>
      </c>
    </row>
    <row r="3824" spans="3:5" x14ac:dyDescent="0.35">
      <c r="C3824">
        <f t="shared" si="60"/>
        <v>1910</v>
      </c>
      <c r="D3824" s="7">
        <v>3823</v>
      </c>
      <c r="E3824">
        <v>61.034100000000002</v>
      </c>
    </row>
    <row r="3825" spans="3:5" x14ac:dyDescent="0.35">
      <c r="C3825">
        <f t="shared" si="60"/>
        <v>1910</v>
      </c>
      <c r="D3825" s="7">
        <v>3824</v>
      </c>
      <c r="E3825">
        <v>59.725999999999999</v>
      </c>
    </row>
    <row r="3826" spans="3:5" x14ac:dyDescent="0.35">
      <c r="C3826">
        <f t="shared" si="60"/>
        <v>1910</v>
      </c>
      <c r="D3826" s="7">
        <v>3825</v>
      </c>
      <c r="E3826">
        <v>59.777999999999999</v>
      </c>
    </row>
    <row r="3827" spans="3:5" x14ac:dyDescent="0.35">
      <c r="C3827">
        <f t="shared" si="60"/>
        <v>1910</v>
      </c>
      <c r="D3827" s="7">
        <v>3826</v>
      </c>
      <c r="E3827">
        <v>58.653500000000001</v>
      </c>
    </row>
    <row r="3828" spans="3:5" x14ac:dyDescent="0.35">
      <c r="C3828">
        <f t="shared" si="60"/>
        <v>1910</v>
      </c>
      <c r="D3828" s="7">
        <v>3827</v>
      </c>
      <c r="E3828">
        <v>64.876000000000005</v>
      </c>
    </row>
    <row r="3829" spans="3:5" x14ac:dyDescent="0.35">
      <c r="C3829">
        <f t="shared" si="60"/>
        <v>1910</v>
      </c>
      <c r="D3829" s="7">
        <v>3828</v>
      </c>
      <c r="E3829">
        <v>64.054500000000004</v>
      </c>
    </row>
    <row r="3830" spans="3:5" x14ac:dyDescent="0.35">
      <c r="C3830">
        <f t="shared" si="60"/>
        <v>1910</v>
      </c>
      <c r="D3830" s="7">
        <v>3829</v>
      </c>
      <c r="E3830">
        <v>62.249099999999999</v>
      </c>
    </row>
    <row r="3831" spans="3:5" x14ac:dyDescent="0.35">
      <c r="C3831">
        <f t="shared" si="60"/>
        <v>1910</v>
      </c>
      <c r="D3831" s="7">
        <v>3830</v>
      </c>
      <c r="E3831">
        <v>63.83</v>
      </c>
    </row>
    <row r="3832" spans="3:5" x14ac:dyDescent="0.35">
      <c r="C3832">
        <f t="shared" si="60"/>
        <v>1910</v>
      </c>
      <c r="D3832" s="7">
        <v>3831</v>
      </c>
      <c r="E3832">
        <v>67.0989</v>
      </c>
    </row>
    <row r="3833" spans="3:5" x14ac:dyDescent="0.35">
      <c r="C3833">
        <f t="shared" si="60"/>
        <v>1910</v>
      </c>
      <c r="D3833" s="7">
        <v>3832</v>
      </c>
      <c r="E3833">
        <v>67.993099999999998</v>
      </c>
    </row>
    <row r="3834" spans="3:5" x14ac:dyDescent="0.35">
      <c r="C3834">
        <f t="shared" si="60"/>
        <v>1910</v>
      </c>
      <c r="D3834" s="7">
        <v>3833</v>
      </c>
      <c r="E3834">
        <v>67.859499999999997</v>
      </c>
    </row>
    <row r="3835" spans="3:5" x14ac:dyDescent="0.35">
      <c r="C3835">
        <f t="shared" si="60"/>
        <v>1910</v>
      </c>
      <c r="D3835" s="7">
        <v>3834</v>
      </c>
      <c r="E3835">
        <v>68.197900000000004</v>
      </c>
    </row>
    <row r="3836" spans="3:5" x14ac:dyDescent="0.35">
      <c r="C3836">
        <f t="shared" si="60"/>
        <v>1910</v>
      </c>
      <c r="D3836" s="7">
        <v>3835</v>
      </c>
      <c r="E3836">
        <v>68.616399999999999</v>
      </c>
    </row>
    <row r="3837" spans="3:5" x14ac:dyDescent="0.35">
      <c r="C3837">
        <f t="shared" si="60"/>
        <v>1910</v>
      </c>
      <c r="D3837" s="7">
        <v>3836</v>
      </c>
      <c r="E3837">
        <v>67.171999999999997</v>
      </c>
    </row>
    <row r="3838" spans="3:5" x14ac:dyDescent="0.35">
      <c r="C3838">
        <f t="shared" si="60"/>
        <v>1910</v>
      </c>
      <c r="D3838" s="7">
        <v>3837</v>
      </c>
      <c r="E3838">
        <v>65.949799999999996</v>
      </c>
    </row>
    <row r="3839" spans="3:5" x14ac:dyDescent="0.35">
      <c r="C3839">
        <f t="shared" si="60"/>
        <v>1910</v>
      </c>
      <c r="D3839" s="7">
        <v>3838</v>
      </c>
      <c r="E3839">
        <v>67.281300000000002</v>
      </c>
    </row>
    <row r="3840" spans="3:5" x14ac:dyDescent="0.35">
      <c r="C3840">
        <f t="shared" si="60"/>
        <v>1910</v>
      </c>
      <c r="D3840" s="7">
        <v>3839</v>
      </c>
      <c r="E3840">
        <v>68.130600000000001</v>
      </c>
    </row>
    <row r="3841" spans="3:5" x14ac:dyDescent="0.35">
      <c r="C3841">
        <f t="shared" si="60"/>
        <v>1910</v>
      </c>
      <c r="D3841" s="7">
        <v>3840</v>
      </c>
      <c r="E3841">
        <v>67.619299999999996</v>
      </c>
    </row>
    <row r="3842" spans="3:5" x14ac:dyDescent="0.35">
      <c r="C3842">
        <f t="shared" si="60"/>
        <v>1910</v>
      </c>
      <c r="D3842" s="7">
        <v>3841</v>
      </c>
      <c r="E3842">
        <v>67.188599999999994</v>
      </c>
    </row>
    <row r="3843" spans="3:5" x14ac:dyDescent="0.35">
      <c r="C3843">
        <f t="shared" ref="C3843:C3906" si="61">YEAR(D3843)</f>
        <v>1910</v>
      </c>
      <c r="D3843" s="7">
        <v>3842</v>
      </c>
      <c r="E3843">
        <v>65.686000000000007</v>
      </c>
    </row>
    <row r="3844" spans="3:5" x14ac:dyDescent="0.35">
      <c r="C3844">
        <f t="shared" si="61"/>
        <v>1910</v>
      </c>
      <c r="D3844" s="7">
        <v>3843</v>
      </c>
      <c r="E3844">
        <v>66.935699999999997</v>
      </c>
    </row>
    <row r="3845" spans="3:5" x14ac:dyDescent="0.35">
      <c r="C3845">
        <f t="shared" si="61"/>
        <v>1910</v>
      </c>
      <c r="D3845" s="7">
        <v>3844</v>
      </c>
      <c r="E3845">
        <v>66.463099999999997</v>
      </c>
    </row>
    <row r="3846" spans="3:5" x14ac:dyDescent="0.35">
      <c r="C3846">
        <f t="shared" si="61"/>
        <v>1910</v>
      </c>
      <c r="D3846" s="7">
        <v>3845</v>
      </c>
      <c r="E3846">
        <v>66.544600000000003</v>
      </c>
    </row>
    <row r="3847" spans="3:5" x14ac:dyDescent="0.35">
      <c r="C3847">
        <f t="shared" si="61"/>
        <v>1910</v>
      </c>
      <c r="D3847" s="7">
        <v>3846</v>
      </c>
      <c r="E3847">
        <v>66.534199999999998</v>
      </c>
    </row>
    <row r="3848" spans="3:5" x14ac:dyDescent="0.35">
      <c r="C3848">
        <f t="shared" si="61"/>
        <v>1910</v>
      </c>
      <c r="D3848" s="7">
        <v>3847</v>
      </c>
      <c r="E3848">
        <v>66.745699999999999</v>
      </c>
    </row>
    <row r="3849" spans="3:5" x14ac:dyDescent="0.35">
      <c r="C3849">
        <f t="shared" si="61"/>
        <v>1910</v>
      </c>
      <c r="D3849" s="7">
        <v>3848</v>
      </c>
      <c r="E3849">
        <v>67.516800000000003</v>
      </c>
    </row>
    <row r="3850" spans="3:5" x14ac:dyDescent="0.35">
      <c r="C3850">
        <f t="shared" si="61"/>
        <v>1910</v>
      </c>
      <c r="D3850" s="7">
        <v>3849</v>
      </c>
      <c r="E3850">
        <v>67.432699999999997</v>
      </c>
    </row>
    <row r="3851" spans="3:5" x14ac:dyDescent="0.35">
      <c r="C3851">
        <f t="shared" si="61"/>
        <v>1910</v>
      </c>
      <c r="D3851" s="7">
        <v>3850</v>
      </c>
      <c r="E3851">
        <v>67.295299999999997</v>
      </c>
    </row>
    <row r="3852" spans="3:5" x14ac:dyDescent="0.35">
      <c r="C3852">
        <f t="shared" si="61"/>
        <v>1910</v>
      </c>
      <c r="D3852" s="7">
        <v>3851</v>
      </c>
      <c r="E3852">
        <v>65.816699999999997</v>
      </c>
    </row>
    <row r="3853" spans="3:5" x14ac:dyDescent="0.35">
      <c r="C3853">
        <f t="shared" si="61"/>
        <v>1910</v>
      </c>
      <c r="D3853" s="7">
        <v>3852</v>
      </c>
      <c r="E3853">
        <v>66.816199999999995</v>
      </c>
    </row>
    <row r="3854" spans="3:5" x14ac:dyDescent="0.35">
      <c r="C3854">
        <f t="shared" si="61"/>
        <v>1910</v>
      </c>
      <c r="D3854" s="7">
        <v>3853</v>
      </c>
      <c r="E3854">
        <v>67.018799999999999</v>
      </c>
    </row>
    <row r="3855" spans="3:5" x14ac:dyDescent="0.35">
      <c r="C3855">
        <f t="shared" si="61"/>
        <v>1910</v>
      </c>
      <c r="D3855" s="7">
        <v>3854</v>
      </c>
      <c r="E3855">
        <v>65.976200000000006</v>
      </c>
    </row>
    <row r="3856" spans="3:5" x14ac:dyDescent="0.35">
      <c r="C3856">
        <f t="shared" si="61"/>
        <v>1910</v>
      </c>
      <c r="D3856" s="7">
        <v>3855</v>
      </c>
      <c r="E3856">
        <v>66.733000000000004</v>
      </c>
    </row>
    <row r="3857" spans="3:5" x14ac:dyDescent="0.35">
      <c r="C3857">
        <f t="shared" si="61"/>
        <v>1910</v>
      </c>
      <c r="D3857" s="7">
        <v>3856</v>
      </c>
      <c r="E3857">
        <v>66.815899999999999</v>
      </c>
    </row>
    <row r="3858" spans="3:5" x14ac:dyDescent="0.35">
      <c r="C3858">
        <f t="shared" si="61"/>
        <v>1910</v>
      </c>
      <c r="D3858" s="7">
        <v>3857</v>
      </c>
      <c r="E3858">
        <v>69.804599999999994</v>
      </c>
    </row>
    <row r="3859" spans="3:5" x14ac:dyDescent="0.35">
      <c r="C3859">
        <f t="shared" si="61"/>
        <v>1910</v>
      </c>
      <c r="D3859" s="7">
        <v>3858</v>
      </c>
      <c r="E3859">
        <v>69.516800000000003</v>
      </c>
    </row>
    <row r="3860" spans="3:5" x14ac:dyDescent="0.35">
      <c r="C3860">
        <f t="shared" si="61"/>
        <v>1910</v>
      </c>
      <c r="D3860" s="7">
        <v>3859</v>
      </c>
      <c r="E3860">
        <v>69.906099999999995</v>
      </c>
    </row>
    <row r="3861" spans="3:5" x14ac:dyDescent="0.35">
      <c r="C3861">
        <f t="shared" si="61"/>
        <v>1910</v>
      </c>
      <c r="D3861" s="7">
        <v>3860</v>
      </c>
      <c r="E3861">
        <v>71.879900000000006</v>
      </c>
    </row>
    <row r="3862" spans="3:5" x14ac:dyDescent="0.35">
      <c r="C3862">
        <f t="shared" si="61"/>
        <v>1910</v>
      </c>
      <c r="D3862" s="7">
        <v>3861</v>
      </c>
      <c r="E3862">
        <v>72.894199999999998</v>
      </c>
    </row>
    <row r="3863" spans="3:5" x14ac:dyDescent="0.35">
      <c r="C3863">
        <f t="shared" si="61"/>
        <v>1910</v>
      </c>
      <c r="D3863" s="7">
        <v>3862</v>
      </c>
      <c r="E3863">
        <v>73.677899999999994</v>
      </c>
    </row>
    <row r="3864" spans="3:5" x14ac:dyDescent="0.35">
      <c r="C3864">
        <f t="shared" si="61"/>
        <v>1910</v>
      </c>
      <c r="D3864" s="7">
        <v>3863</v>
      </c>
      <c r="E3864">
        <v>74.548299999999998</v>
      </c>
    </row>
    <row r="3865" spans="3:5" x14ac:dyDescent="0.35">
      <c r="C3865">
        <f t="shared" si="61"/>
        <v>1910</v>
      </c>
      <c r="D3865" s="7">
        <v>3864</v>
      </c>
      <c r="E3865">
        <v>75.553100000000001</v>
      </c>
    </row>
    <row r="3866" spans="3:5" x14ac:dyDescent="0.35">
      <c r="C3866">
        <f t="shared" si="61"/>
        <v>1910</v>
      </c>
      <c r="D3866" s="7">
        <v>3865</v>
      </c>
      <c r="E3866">
        <v>76.239199999999997</v>
      </c>
    </row>
    <row r="3867" spans="3:5" x14ac:dyDescent="0.35">
      <c r="C3867">
        <f t="shared" si="61"/>
        <v>1910</v>
      </c>
      <c r="D3867" s="7">
        <v>3866</v>
      </c>
      <c r="E3867">
        <v>77.723100000000002</v>
      </c>
    </row>
    <row r="3868" spans="3:5" x14ac:dyDescent="0.35">
      <c r="C3868">
        <f t="shared" si="61"/>
        <v>1910</v>
      </c>
      <c r="D3868" s="7">
        <v>3867</v>
      </c>
      <c r="E3868">
        <v>77.108099999999993</v>
      </c>
    </row>
    <row r="3869" spans="3:5" x14ac:dyDescent="0.35">
      <c r="C3869">
        <f t="shared" si="61"/>
        <v>1910</v>
      </c>
      <c r="D3869" s="7">
        <v>3868</v>
      </c>
      <c r="E3869">
        <v>76.779899999999998</v>
      </c>
    </row>
    <row r="3870" spans="3:5" x14ac:dyDescent="0.35">
      <c r="C3870">
        <f t="shared" si="61"/>
        <v>1910</v>
      </c>
      <c r="D3870" s="7">
        <v>3869</v>
      </c>
      <c r="E3870">
        <v>75.861599999999996</v>
      </c>
    </row>
    <row r="3871" spans="3:5" x14ac:dyDescent="0.35">
      <c r="C3871">
        <f t="shared" si="61"/>
        <v>1910</v>
      </c>
      <c r="D3871" s="7">
        <v>3870</v>
      </c>
      <c r="E3871">
        <v>76.131500000000003</v>
      </c>
    </row>
    <row r="3872" spans="3:5" x14ac:dyDescent="0.35">
      <c r="C3872">
        <f t="shared" si="61"/>
        <v>1910</v>
      </c>
      <c r="D3872" s="7">
        <v>3871</v>
      </c>
      <c r="E3872">
        <v>76.894400000000005</v>
      </c>
    </row>
    <row r="3873" spans="3:5" x14ac:dyDescent="0.35">
      <c r="C3873">
        <f t="shared" si="61"/>
        <v>1910</v>
      </c>
      <c r="D3873" s="7">
        <v>3872</v>
      </c>
      <c r="E3873">
        <v>75.412199999999999</v>
      </c>
    </row>
    <row r="3874" spans="3:5" x14ac:dyDescent="0.35">
      <c r="C3874">
        <f t="shared" si="61"/>
        <v>1910</v>
      </c>
      <c r="D3874" s="7">
        <v>3873</v>
      </c>
      <c r="E3874">
        <v>75.0642</v>
      </c>
    </row>
    <row r="3875" spans="3:5" x14ac:dyDescent="0.35">
      <c r="C3875">
        <f t="shared" si="61"/>
        <v>1910</v>
      </c>
      <c r="D3875" s="7">
        <v>3874</v>
      </c>
      <c r="E3875">
        <v>72.910899999999998</v>
      </c>
    </row>
    <row r="3876" spans="3:5" x14ac:dyDescent="0.35">
      <c r="C3876">
        <f t="shared" si="61"/>
        <v>1910</v>
      </c>
      <c r="D3876" s="7">
        <v>3875</v>
      </c>
      <c r="E3876">
        <v>69.754300000000001</v>
      </c>
    </row>
    <row r="3877" spans="3:5" x14ac:dyDescent="0.35">
      <c r="C3877">
        <f t="shared" si="61"/>
        <v>1910</v>
      </c>
      <c r="D3877" s="7">
        <v>3876</v>
      </c>
      <c r="E3877">
        <v>69.233000000000004</v>
      </c>
    </row>
    <row r="3878" spans="3:5" x14ac:dyDescent="0.35">
      <c r="C3878">
        <f t="shared" si="61"/>
        <v>1910</v>
      </c>
      <c r="D3878" s="7">
        <v>3877</v>
      </c>
      <c r="E3878">
        <v>68.347300000000004</v>
      </c>
    </row>
    <row r="3879" spans="3:5" x14ac:dyDescent="0.35">
      <c r="C3879">
        <f t="shared" si="61"/>
        <v>1910</v>
      </c>
      <c r="D3879" s="7">
        <v>3878</v>
      </c>
      <c r="E3879">
        <v>66.679199999999994</v>
      </c>
    </row>
    <row r="3880" spans="3:5" x14ac:dyDescent="0.35">
      <c r="C3880">
        <f t="shared" si="61"/>
        <v>1910</v>
      </c>
      <c r="D3880" s="7">
        <v>3879</v>
      </c>
      <c r="E3880">
        <v>64.033900000000003</v>
      </c>
    </row>
    <row r="3881" spans="3:5" x14ac:dyDescent="0.35">
      <c r="C3881">
        <f t="shared" si="61"/>
        <v>1910</v>
      </c>
      <c r="D3881" s="7">
        <v>3880</v>
      </c>
      <c r="E3881">
        <v>65.537099999999995</v>
      </c>
    </row>
    <row r="3882" spans="3:5" x14ac:dyDescent="0.35">
      <c r="C3882">
        <f t="shared" si="61"/>
        <v>1910</v>
      </c>
      <c r="D3882" s="7">
        <v>3881</v>
      </c>
      <c r="E3882">
        <v>66.727900000000005</v>
      </c>
    </row>
    <row r="3883" spans="3:5" x14ac:dyDescent="0.35">
      <c r="C3883">
        <f t="shared" si="61"/>
        <v>1910</v>
      </c>
      <c r="D3883" s="7">
        <v>3882</v>
      </c>
      <c r="E3883">
        <v>65.474699999999999</v>
      </c>
    </row>
    <row r="3884" spans="3:5" x14ac:dyDescent="0.35">
      <c r="C3884">
        <f t="shared" si="61"/>
        <v>1910</v>
      </c>
      <c r="D3884" s="7">
        <v>3883</v>
      </c>
      <c r="E3884">
        <v>64.731800000000007</v>
      </c>
    </row>
    <row r="3885" spans="3:5" x14ac:dyDescent="0.35">
      <c r="C3885">
        <f t="shared" si="61"/>
        <v>1910</v>
      </c>
      <c r="D3885" s="7">
        <v>3884</v>
      </c>
      <c r="E3885">
        <v>67.887799999999999</v>
      </c>
    </row>
    <row r="3886" spans="3:5" x14ac:dyDescent="0.35">
      <c r="C3886">
        <f t="shared" si="61"/>
        <v>1910</v>
      </c>
      <c r="D3886" s="7">
        <v>3885</v>
      </c>
      <c r="E3886">
        <v>66.746600000000001</v>
      </c>
    </row>
    <row r="3887" spans="3:5" x14ac:dyDescent="0.35">
      <c r="C3887">
        <f t="shared" si="61"/>
        <v>1910</v>
      </c>
      <c r="D3887" s="7">
        <v>3886</v>
      </c>
      <c r="E3887">
        <v>65.751099999999994</v>
      </c>
    </row>
    <row r="3888" spans="3:5" x14ac:dyDescent="0.35">
      <c r="C3888">
        <f t="shared" si="61"/>
        <v>1910</v>
      </c>
      <c r="D3888" s="7">
        <v>3887</v>
      </c>
      <c r="E3888">
        <v>65.673599999999993</v>
      </c>
    </row>
    <row r="3889" spans="3:5" x14ac:dyDescent="0.35">
      <c r="C3889">
        <f t="shared" si="61"/>
        <v>1910</v>
      </c>
      <c r="D3889" s="7">
        <v>3888</v>
      </c>
      <c r="E3889">
        <v>65.434299999999993</v>
      </c>
    </row>
    <row r="3890" spans="3:5" x14ac:dyDescent="0.35">
      <c r="C3890">
        <f t="shared" si="61"/>
        <v>1910</v>
      </c>
      <c r="D3890" s="7">
        <v>3889</v>
      </c>
      <c r="E3890">
        <v>65.462199999999996</v>
      </c>
    </row>
    <row r="3891" spans="3:5" x14ac:dyDescent="0.35">
      <c r="C3891">
        <f t="shared" si="61"/>
        <v>1910</v>
      </c>
      <c r="D3891" s="7">
        <v>3890</v>
      </c>
      <c r="E3891">
        <v>64.547899999999998</v>
      </c>
    </row>
    <row r="3892" spans="3:5" x14ac:dyDescent="0.35">
      <c r="C3892">
        <f t="shared" si="61"/>
        <v>1910</v>
      </c>
      <c r="D3892" s="7">
        <v>3891</v>
      </c>
      <c r="E3892">
        <v>65.1935</v>
      </c>
    </row>
    <row r="3893" spans="3:5" x14ac:dyDescent="0.35">
      <c r="C3893">
        <f t="shared" si="61"/>
        <v>1910</v>
      </c>
      <c r="D3893" s="7">
        <v>3892</v>
      </c>
      <c r="E3893">
        <v>65.882900000000006</v>
      </c>
    </row>
    <row r="3894" spans="3:5" x14ac:dyDescent="0.35">
      <c r="C3894">
        <f t="shared" si="61"/>
        <v>1910</v>
      </c>
      <c r="D3894" s="7">
        <v>3893</v>
      </c>
      <c r="E3894">
        <v>63.379800000000003</v>
      </c>
    </row>
    <row r="3895" spans="3:5" x14ac:dyDescent="0.35">
      <c r="C3895">
        <f t="shared" si="61"/>
        <v>1910</v>
      </c>
      <c r="D3895" s="7">
        <v>3894</v>
      </c>
      <c r="E3895">
        <v>62.529899999999998</v>
      </c>
    </row>
    <row r="3896" spans="3:5" x14ac:dyDescent="0.35">
      <c r="C3896">
        <f t="shared" si="61"/>
        <v>1910</v>
      </c>
      <c r="D3896" s="7">
        <v>3895</v>
      </c>
      <c r="E3896">
        <v>61.354900000000001</v>
      </c>
    </row>
    <row r="3897" spans="3:5" x14ac:dyDescent="0.35">
      <c r="C3897">
        <f t="shared" si="61"/>
        <v>1910</v>
      </c>
      <c r="D3897" s="7">
        <v>3896</v>
      </c>
      <c r="E3897">
        <v>61.067399999999999</v>
      </c>
    </row>
    <row r="3898" spans="3:5" x14ac:dyDescent="0.35">
      <c r="C3898">
        <f t="shared" si="61"/>
        <v>1910</v>
      </c>
      <c r="D3898" s="7">
        <v>3897</v>
      </c>
      <c r="E3898">
        <v>61.346600000000002</v>
      </c>
    </row>
    <row r="3899" spans="3:5" x14ac:dyDescent="0.35">
      <c r="C3899">
        <f t="shared" si="61"/>
        <v>1910</v>
      </c>
      <c r="D3899" s="7">
        <v>3898</v>
      </c>
      <c r="E3899">
        <v>59.857500000000002</v>
      </c>
    </row>
    <row r="3900" spans="3:5" x14ac:dyDescent="0.35">
      <c r="C3900">
        <f t="shared" si="61"/>
        <v>1910</v>
      </c>
      <c r="D3900" s="7">
        <v>3899</v>
      </c>
      <c r="E3900">
        <v>57.726399999999998</v>
      </c>
    </row>
    <row r="3901" spans="3:5" x14ac:dyDescent="0.35">
      <c r="C3901">
        <f t="shared" si="61"/>
        <v>1910</v>
      </c>
      <c r="D3901" s="7">
        <v>3900</v>
      </c>
      <c r="E3901">
        <v>58.8444</v>
      </c>
    </row>
    <row r="3902" spans="3:5" x14ac:dyDescent="0.35">
      <c r="C3902">
        <f t="shared" si="61"/>
        <v>1910</v>
      </c>
      <c r="D3902" s="7">
        <v>3901</v>
      </c>
      <c r="E3902">
        <v>57.209499999999998</v>
      </c>
    </row>
    <row r="3903" spans="3:5" x14ac:dyDescent="0.35">
      <c r="C3903">
        <f t="shared" si="61"/>
        <v>1910</v>
      </c>
      <c r="D3903" s="7">
        <v>3902</v>
      </c>
      <c r="E3903">
        <v>59.021799999999999</v>
      </c>
    </row>
    <row r="3904" spans="3:5" x14ac:dyDescent="0.35">
      <c r="C3904">
        <f t="shared" si="61"/>
        <v>1910</v>
      </c>
      <c r="D3904" s="7">
        <v>3903</v>
      </c>
      <c r="E3904">
        <v>58.687800000000003</v>
      </c>
    </row>
    <row r="3905" spans="3:5" x14ac:dyDescent="0.35">
      <c r="C3905">
        <f t="shared" si="61"/>
        <v>1910</v>
      </c>
      <c r="D3905" s="7">
        <v>3904</v>
      </c>
      <c r="E3905">
        <v>55.9452</v>
      </c>
    </row>
    <row r="3906" spans="3:5" x14ac:dyDescent="0.35">
      <c r="C3906">
        <f t="shared" si="61"/>
        <v>1910</v>
      </c>
      <c r="D3906" s="7">
        <v>3905</v>
      </c>
      <c r="E3906">
        <v>54.280999999999999</v>
      </c>
    </row>
    <row r="3907" spans="3:5" x14ac:dyDescent="0.35">
      <c r="C3907">
        <f t="shared" ref="C3907:C3970" si="62">YEAR(D3907)</f>
        <v>1910</v>
      </c>
      <c r="D3907" s="7">
        <v>3906</v>
      </c>
      <c r="E3907">
        <v>53.553199999999997</v>
      </c>
    </row>
    <row r="3908" spans="3:5" x14ac:dyDescent="0.35">
      <c r="C3908">
        <f t="shared" si="62"/>
        <v>1910</v>
      </c>
      <c r="D3908" s="7">
        <v>3907</v>
      </c>
      <c r="E3908">
        <v>51.396000000000001</v>
      </c>
    </row>
    <row r="3909" spans="3:5" x14ac:dyDescent="0.35">
      <c r="C3909">
        <f t="shared" si="62"/>
        <v>1910</v>
      </c>
      <c r="D3909" s="7">
        <v>3908</v>
      </c>
      <c r="E3909">
        <v>51.738399999999999</v>
      </c>
    </row>
    <row r="3910" spans="3:5" x14ac:dyDescent="0.35">
      <c r="C3910">
        <f t="shared" si="62"/>
        <v>1910</v>
      </c>
      <c r="D3910" s="7">
        <v>3909</v>
      </c>
      <c r="E3910">
        <v>50.933399999999999</v>
      </c>
    </row>
    <row r="3911" spans="3:5" x14ac:dyDescent="0.35">
      <c r="C3911">
        <f t="shared" si="62"/>
        <v>1910</v>
      </c>
      <c r="D3911" s="7">
        <v>3910</v>
      </c>
      <c r="E3911">
        <v>53.444400000000002</v>
      </c>
    </row>
    <row r="3912" spans="3:5" x14ac:dyDescent="0.35">
      <c r="C3912">
        <f t="shared" si="62"/>
        <v>1910</v>
      </c>
      <c r="D3912" s="7">
        <v>3911</v>
      </c>
      <c r="E3912">
        <v>52.774900000000002</v>
      </c>
    </row>
    <row r="3913" spans="3:5" x14ac:dyDescent="0.35">
      <c r="C3913">
        <f t="shared" si="62"/>
        <v>1910</v>
      </c>
      <c r="D3913" s="7">
        <v>3912</v>
      </c>
      <c r="E3913">
        <v>51.053800000000003</v>
      </c>
    </row>
    <row r="3914" spans="3:5" x14ac:dyDescent="0.35">
      <c r="C3914">
        <f t="shared" si="62"/>
        <v>1910</v>
      </c>
      <c r="D3914" s="7">
        <v>3913</v>
      </c>
      <c r="E3914">
        <v>53.366199999999999</v>
      </c>
    </row>
    <row r="3915" spans="3:5" x14ac:dyDescent="0.35">
      <c r="C3915">
        <f t="shared" si="62"/>
        <v>1910</v>
      </c>
      <c r="D3915" s="7">
        <v>3914</v>
      </c>
      <c r="E3915">
        <v>54.600499999999997</v>
      </c>
    </row>
    <row r="3916" spans="3:5" x14ac:dyDescent="0.35">
      <c r="C3916">
        <f t="shared" si="62"/>
        <v>1910</v>
      </c>
      <c r="D3916" s="7">
        <v>3915</v>
      </c>
      <c r="E3916">
        <v>54.574300000000001</v>
      </c>
    </row>
    <row r="3917" spans="3:5" x14ac:dyDescent="0.35">
      <c r="C3917">
        <f t="shared" si="62"/>
        <v>1910</v>
      </c>
      <c r="D3917" s="7">
        <v>3916</v>
      </c>
      <c r="E3917">
        <v>53.804299999999998</v>
      </c>
    </row>
    <row r="3918" spans="3:5" x14ac:dyDescent="0.35">
      <c r="C3918">
        <f t="shared" si="62"/>
        <v>1910</v>
      </c>
      <c r="D3918" s="7">
        <v>3917</v>
      </c>
      <c r="E3918">
        <v>54.174900000000001</v>
      </c>
    </row>
    <row r="3919" spans="3:5" x14ac:dyDescent="0.35">
      <c r="C3919">
        <f t="shared" si="62"/>
        <v>1910</v>
      </c>
      <c r="D3919" s="7">
        <v>3918</v>
      </c>
      <c r="E3919">
        <v>54.375700000000002</v>
      </c>
    </row>
    <row r="3920" spans="3:5" x14ac:dyDescent="0.35">
      <c r="C3920">
        <f t="shared" si="62"/>
        <v>1910</v>
      </c>
      <c r="D3920" s="7">
        <v>3919</v>
      </c>
      <c r="E3920">
        <v>54.124699999999997</v>
      </c>
    </row>
    <row r="3921" spans="3:5" x14ac:dyDescent="0.35">
      <c r="C3921">
        <f t="shared" si="62"/>
        <v>1910</v>
      </c>
      <c r="D3921" s="7">
        <v>3920</v>
      </c>
      <c r="E3921">
        <v>53.863999999999997</v>
      </c>
    </row>
    <row r="3922" spans="3:5" x14ac:dyDescent="0.35">
      <c r="C3922">
        <f t="shared" si="62"/>
        <v>1910</v>
      </c>
      <c r="D3922" s="7">
        <v>3921</v>
      </c>
      <c r="E3922">
        <v>54.283200000000001</v>
      </c>
    </row>
    <row r="3923" spans="3:5" x14ac:dyDescent="0.35">
      <c r="C3923">
        <f t="shared" si="62"/>
        <v>1910</v>
      </c>
      <c r="D3923" s="7">
        <v>3922</v>
      </c>
      <c r="E3923">
        <v>53.396599999999999</v>
      </c>
    </row>
    <row r="3924" spans="3:5" x14ac:dyDescent="0.35">
      <c r="C3924">
        <f t="shared" si="62"/>
        <v>1910</v>
      </c>
      <c r="D3924" s="7">
        <v>3923</v>
      </c>
      <c r="E3924">
        <v>49.841200000000001</v>
      </c>
    </row>
    <row r="3925" spans="3:5" x14ac:dyDescent="0.35">
      <c r="C3925">
        <f t="shared" si="62"/>
        <v>1910</v>
      </c>
      <c r="D3925" s="7">
        <v>3924</v>
      </c>
      <c r="E3925">
        <v>48.9559</v>
      </c>
    </row>
    <row r="3926" spans="3:5" x14ac:dyDescent="0.35">
      <c r="C3926">
        <f t="shared" si="62"/>
        <v>1910</v>
      </c>
      <c r="D3926" s="7">
        <v>3925</v>
      </c>
      <c r="E3926">
        <v>46.939399999999999</v>
      </c>
    </row>
    <row r="3927" spans="3:5" x14ac:dyDescent="0.35">
      <c r="C3927">
        <f t="shared" si="62"/>
        <v>1910</v>
      </c>
      <c r="D3927" s="7">
        <v>3926</v>
      </c>
      <c r="E3927">
        <v>47.651400000000002</v>
      </c>
    </row>
    <row r="3928" spans="3:5" x14ac:dyDescent="0.35">
      <c r="C3928">
        <f t="shared" si="62"/>
        <v>1910</v>
      </c>
      <c r="D3928" s="7">
        <v>3927</v>
      </c>
      <c r="E3928">
        <v>48.406599999999997</v>
      </c>
    </row>
    <row r="3929" spans="3:5" x14ac:dyDescent="0.35">
      <c r="C3929">
        <f t="shared" si="62"/>
        <v>1910</v>
      </c>
      <c r="D3929" s="7">
        <v>3928</v>
      </c>
      <c r="E3929">
        <v>48.515099999999997</v>
      </c>
    </row>
    <row r="3930" spans="3:5" x14ac:dyDescent="0.35">
      <c r="C3930">
        <f t="shared" si="62"/>
        <v>1910</v>
      </c>
      <c r="D3930" s="7">
        <v>3929</v>
      </c>
      <c r="E3930">
        <v>48.410200000000003</v>
      </c>
    </row>
    <row r="3931" spans="3:5" x14ac:dyDescent="0.35">
      <c r="C3931">
        <f t="shared" si="62"/>
        <v>1910</v>
      </c>
      <c r="D3931" s="7">
        <v>3930</v>
      </c>
      <c r="E3931">
        <v>50.008099999999999</v>
      </c>
    </row>
    <row r="3932" spans="3:5" x14ac:dyDescent="0.35">
      <c r="C3932">
        <f t="shared" si="62"/>
        <v>1910</v>
      </c>
      <c r="D3932" s="7">
        <v>3931</v>
      </c>
      <c r="E3932">
        <v>50.024099999999997</v>
      </c>
    </row>
    <row r="3933" spans="3:5" x14ac:dyDescent="0.35">
      <c r="C3933">
        <f t="shared" si="62"/>
        <v>1910</v>
      </c>
      <c r="D3933" s="7">
        <v>3932</v>
      </c>
      <c r="E3933">
        <v>49.079599999999999</v>
      </c>
    </row>
    <row r="3934" spans="3:5" x14ac:dyDescent="0.35">
      <c r="C3934">
        <f t="shared" si="62"/>
        <v>1910</v>
      </c>
      <c r="D3934" s="7">
        <v>3933</v>
      </c>
      <c r="E3934">
        <v>48.453800000000001</v>
      </c>
    </row>
    <row r="3935" spans="3:5" x14ac:dyDescent="0.35">
      <c r="C3935">
        <f t="shared" si="62"/>
        <v>1910</v>
      </c>
      <c r="D3935" s="7">
        <v>3934</v>
      </c>
      <c r="E3935">
        <v>48.378500000000003</v>
      </c>
    </row>
    <row r="3936" spans="3:5" x14ac:dyDescent="0.35">
      <c r="C3936">
        <f t="shared" si="62"/>
        <v>1910</v>
      </c>
      <c r="D3936" s="7">
        <v>3935</v>
      </c>
      <c r="E3936">
        <v>48.23</v>
      </c>
    </row>
    <row r="3937" spans="3:5" x14ac:dyDescent="0.35">
      <c r="C3937">
        <f t="shared" si="62"/>
        <v>1910</v>
      </c>
      <c r="D3937" s="7">
        <v>3936</v>
      </c>
      <c r="E3937">
        <v>47.3369</v>
      </c>
    </row>
    <row r="3938" spans="3:5" x14ac:dyDescent="0.35">
      <c r="C3938">
        <f t="shared" si="62"/>
        <v>1910</v>
      </c>
      <c r="D3938" s="7">
        <v>3937</v>
      </c>
      <c r="E3938">
        <v>47.767600000000002</v>
      </c>
    </row>
    <row r="3939" spans="3:5" x14ac:dyDescent="0.35">
      <c r="C3939">
        <f t="shared" si="62"/>
        <v>1910</v>
      </c>
      <c r="D3939" s="7">
        <v>3938</v>
      </c>
      <c r="E3939">
        <v>48.865400000000001</v>
      </c>
    </row>
    <row r="3940" spans="3:5" x14ac:dyDescent="0.35">
      <c r="C3940">
        <f t="shared" si="62"/>
        <v>1910</v>
      </c>
      <c r="D3940" s="7">
        <v>3939</v>
      </c>
      <c r="E3940">
        <v>48.067700000000002</v>
      </c>
    </row>
    <row r="3941" spans="3:5" x14ac:dyDescent="0.35">
      <c r="C3941">
        <f t="shared" si="62"/>
        <v>1910</v>
      </c>
      <c r="D3941" s="7">
        <v>3940</v>
      </c>
      <c r="E3941">
        <v>46.9741</v>
      </c>
    </row>
    <row r="3942" spans="3:5" x14ac:dyDescent="0.35">
      <c r="C3942">
        <f t="shared" si="62"/>
        <v>1910</v>
      </c>
      <c r="D3942" s="7">
        <v>3941</v>
      </c>
      <c r="E3942">
        <v>46.946599999999997</v>
      </c>
    </row>
    <row r="3943" spans="3:5" x14ac:dyDescent="0.35">
      <c r="C3943">
        <f t="shared" si="62"/>
        <v>1910</v>
      </c>
      <c r="D3943" s="7">
        <v>3942</v>
      </c>
      <c r="E3943">
        <v>47.567599999999999</v>
      </c>
    </row>
    <row r="3944" spans="3:5" x14ac:dyDescent="0.35">
      <c r="C3944">
        <f t="shared" si="62"/>
        <v>1910</v>
      </c>
      <c r="D3944" s="7">
        <v>3943</v>
      </c>
      <c r="E3944">
        <v>47.173499999999997</v>
      </c>
    </row>
    <row r="3945" spans="3:5" x14ac:dyDescent="0.35">
      <c r="C3945">
        <f t="shared" si="62"/>
        <v>1910</v>
      </c>
      <c r="D3945" s="7">
        <v>3944</v>
      </c>
      <c r="E3945">
        <v>47.120100000000001</v>
      </c>
    </row>
    <row r="3946" spans="3:5" x14ac:dyDescent="0.35">
      <c r="C3946">
        <f t="shared" si="62"/>
        <v>1910</v>
      </c>
      <c r="D3946" s="7">
        <v>3945</v>
      </c>
      <c r="E3946">
        <v>45.902700000000003</v>
      </c>
    </row>
    <row r="3947" spans="3:5" x14ac:dyDescent="0.35">
      <c r="C3947">
        <f t="shared" si="62"/>
        <v>1910</v>
      </c>
      <c r="D3947" s="7">
        <v>3946</v>
      </c>
      <c r="E3947">
        <v>46.191200000000002</v>
      </c>
    </row>
    <row r="3948" spans="3:5" x14ac:dyDescent="0.35">
      <c r="C3948">
        <f t="shared" si="62"/>
        <v>1910</v>
      </c>
      <c r="D3948" s="7">
        <v>3947</v>
      </c>
      <c r="E3948">
        <v>46.405000000000001</v>
      </c>
    </row>
    <row r="3949" spans="3:5" x14ac:dyDescent="0.35">
      <c r="C3949">
        <f t="shared" si="62"/>
        <v>1910</v>
      </c>
      <c r="D3949" s="7">
        <v>3948</v>
      </c>
      <c r="E3949">
        <v>46.246699999999997</v>
      </c>
    </row>
    <row r="3950" spans="3:5" x14ac:dyDescent="0.35">
      <c r="C3950">
        <f t="shared" si="62"/>
        <v>1910</v>
      </c>
      <c r="D3950" s="7">
        <v>3949</v>
      </c>
      <c r="E3950">
        <v>45.900300000000001</v>
      </c>
    </row>
    <row r="3951" spans="3:5" x14ac:dyDescent="0.35">
      <c r="C3951">
        <f t="shared" si="62"/>
        <v>1910</v>
      </c>
      <c r="D3951" s="7">
        <v>3950</v>
      </c>
      <c r="E3951">
        <v>46.045099999999998</v>
      </c>
    </row>
    <row r="3952" spans="3:5" x14ac:dyDescent="0.35">
      <c r="C3952">
        <f t="shared" si="62"/>
        <v>1910</v>
      </c>
      <c r="D3952" s="7">
        <v>3951</v>
      </c>
      <c r="E3952">
        <v>46.212600000000002</v>
      </c>
    </row>
    <row r="3953" spans="3:5" x14ac:dyDescent="0.35">
      <c r="C3953">
        <f t="shared" si="62"/>
        <v>1910</v>
      </c>
      <c r="D3953" s="7">
        <v>3952</v>
      </c>
      <c r="E3953">
        <v>44.4664</v>
      </c>
    </row>
    <row r="3954" spans="3:5" x14ac:dyDescent="0.35">
      <c r="C3954">
        <f t="shared" si="62"/>
        <v>1910</v>
      </c>
      <c r="D3954" s="7">
        <v>3953</v>
      </c>
      <c r="E3954">
        <v>43.8352</v>
      </c>
    </row>
    <row r="3955" spans="3:5" x14ac:dyDescent="0.35">
      <c r="C3955">
        <f t="shared" si="62"/>
        <v>1910</v>
      </c>
      <c r="D3955" s="7">
        <v>3954</v>
      </c>
      <c r="E3955">
        <v>43.945300000000003</v>
      </c>
    </row>
    <row r="3956" spans="3:5" x14ac:dyDescent="0.35">
      <c r="C3956">
        <f t="shared" si="62"/>
        <v>1910</v>
      </c>
      <c r="D3956" s="7">
        <v>3955</v>
      </c>
      <c r="E3956">
        <v>42.947299999999998</v>
      </c>
    </row>
    <row r="3957" spans="3:5" x14ac:dyDescent="0.35">
      <c r="C3957">
        <f t="shared" si="62"/>
        <v>1910</v>
      </c>
      <c r="D3957" s="7">
        <v>3956</v>
      </c>
      <c r="E3957">
        <v>44.334299999999999</v>
      </c>
    </row>
    <row r="3958" spans="3:5" x14ac:dyDescent="0.35">
      <c r="C3958">
        <f t="shared" si="62"/>
        <v>1910</v>
      </c>
      <c r="D3958" s="7">
        <v>3957</v>
      </c>
      <c r="E3958">
        <v>44.3842</v>
      </c>
    </row>
    <row r="3959" spans="3:5" x14ac:dyDescent="0.35">
      <c r="C3959">
        <f t="shared" si="62"/>
        <v>1910</v>
      </c>
      <c r="D3959" s="7">
        <v>3958</v>
      </c>
      <c r="E3959">
        <v>44.949399999999997</v>
      </c>
    </row>
    <row r="3960" spans="3:5" x14ac:dyDescent="0.35">
      <c r="C3960">
        <f t="shared" si="62"/>
        <v>1910</v>
      </c>
      <c r="D3960" s="7">
        <v>3959</v>
      </c>
      <c r="E3960">
        <v>45.986199999999997</v>
      </c>
    </row>
    <row r="3961" spans="3:5" x14ac:dyDescent="0.35">
      <c r="C3961">
        <f t="shared" si="62"/>
        <v>1910</v>
      </c>
      <c r="D3961" s="7">
        <v>3960</v>
      </c>
      <c r="E3961">
        <v>45.269100000000002</v>
      </c>
    </row>
    <row r="3962" spans="3:5" x14ac:dyDescent="0.35">
      <c r="C3962">
        <f t="shared" si="62"/>
        <v>1910</v>
      </c>
      <c r="D3962" s="7">
        <v>3961</v>
      </c>
      <c r="E3962">
        <v>46.515700000000002</v>
      </c>
    </row>
    <row r="3963" spans="3:5" x14ac:dyDescent="0.35">
      <c r="C3963">
        <f t="shared" si="62"/>
        <v>1910</v>
      </c>
      <c r="D3963" s="7">
        <v>3962</v>
      </c>
      <c r="E3963">
        <v>47.223599999999998</v>
      </c>
    </row>
    <row r="3964" spans="3:5" x14ac:dyDescent="0.35">
      <c r="C3964">
        <f t="shared" si="62"/>
        <v>1910</v>
      </c>
      <c r="D3964" s="7">
        <v>3963</v>
      </c>
      <c r="E3964">
        <v>47.832799999999999</v>
      </c>
    </row>
    <row r="3965" spans="3:5" x14ac:dyDescent="0.35">
      <c r="C3965">
        <f t="shared" si="62"/>
        <v>1910</v>
      </c>
      <c r="D3965" s="7">
        <v>3964</v>
      </c>
      <c r="E3965">
        <v>46.817100000000003</v>
      </c>
    </row>
    <row r="3966" spans="3:5" x14ac:dyDescent="0.35">
      <c r="C3966">
        <f t="shared" si="62"/>
        <v>1910</v>
      </c>
      <c r="D3966" s="7">
        <v>3965</v>
      </c>
      <c r="E3966">
        <v>45.6828</v>
      </c>
    </row>
    <row r="3967" spans="3:5" x14ac:dyDescent="0.35">
      <c r="C3967">
        <f t="shared" si="62"/>
        <v>1910</v>
      </c>
      <c r="D3967" s="7">
        <v>3966</v>
      </c>
      <c r="E3967">
        <v>45.087499999999999</v>
      </c>
    </row>
    <row r="3968" spans="3:5" x14ac:dyDescent="0.35">
      <c r="C3968">
        <f t="shared" si="62"/>
        <v>1910</v>
      </c>
      <c r="D3968" s="7">
        <v>3967</v>
      </c>
      <c r="E3968">
        <v>43.6633</v>
      </c>
    </row>
    <row r="3969" spans="3:5" x14ac:dyDescent="0.35">
      <c r="C3969">
        <f t="shared" si="62"/>
        <v>1910</v>
      </c>
      <c r="D3969" s="7">
        <v>3968</v>
      </c>
      <c r="E3969">
        <v>44.911000000000001</v>
      </c>
    </row>
    <row r="3970" spans="3:5" x14ac:dyDescent="0.35">
      <c r="C3970">
        <f t="shared" si="62"/>
        <v>1910</v>
      </c>
      <c r="D3970" s="7">
        <v>3969</v>
      </c>
      <c r="E3970">
        <v>45.742699999999999</v>
      </c>
    </row>
    <row r="3971" spans="3:5" x14ac:dyDescent="0.35">
      <c r="C3971">
        <f t="shared" ref="C3971:C4034" si="63">YEAR(D3971)</f>
        <v>1910</v>
      </c>
      <c r="D3971" s="7">
        <v>3970</v>
      </c>
      <c r="E3971">
        <v>44.093400000000003</v>
      </c>
    </row>
    <row r="3972" spans="3:5" x14ac:dyDescent="0.35">
      <c r="C3972">
        <f t="shared" si="63"/>
        <v>1910</v>
      </c>
      <c r="D3972" s="7">
        <v>3971</v>
      </c>
      <c r="E3972">
        <v>44.164700000000003</v>
      </c>
    </row>
    <row r="3973" spans="3:5" x14ac:dyDescent="0.35">
      <c r="C3973">
        <f t="shared" si="63"/>
        <v>1910</v>
      </c>
      <c r="D3973" s="7">
        <v>3972</v>
      </c>
      <c r="E3973">
        <v>43.758200000000002</v>
      </c>
    </row>
    <row r="3974" spans="3:5" x14ac:dyDescent="0.35">
      <c r="C3974">
        <f t="shared" si="63"/>
        <v>1910</v>
      </c>
      <c r="D3974" s="7">
        <v>3973</v>
      </c>
      <c r="E3974">
        <v>43.41</v>
      </c>
    </row>
    <row r="3975" spans="3:5" x14ac:dyDescent="0.35">
      <c r="C3975">
        <f t="shared" si="63"/>
        <v>1910</v>
      </c>
      <c r="D3975" s="7">
        <v>3974</v>
      </c>
      <c r="E3975">
        <v>42.232999999999997</v>
      </c>
    </row>
    <row r="3976" spans="3:5" x14ac:dyDescent="0.35">
      <c r="C3976">
        <f t="shared" si="63"/>
        <v>1910</v>
      </c>
      <c r="D3976" s="7">
        <v>3975</v>
      </c>
      <c r="E3976">
        <v>41.530099999999997</v>
      </c>
    </row>
    <row r="3977" spans="3:5" x14ac:dyDescent="0.35">
      <c r="C3977">
        <f t="shared" si="63"/>
        <v>1910</v>
      </c>
      <c r="D3977" s="7">
        <v>3976</v>
      </c>
      <c r="E3977">
        <v>40.270099999999999</v>
      </c>
    </row>
    <row r="3978" spans="3:5" x14ac:dyDescent="0.35">
      <c r="C3978">
        <f t="shared" si="63"/>
        <v>1910</v>
      </c>
      <c r="D3978" s="7">
        <v>3977</v>
      </c>
      <c r="E3978">
        <v>40.722299999999997</v>
      </c>
    </row>
    <row r="3979" spans="3:5" x14ac:dyDescent="0.35">
      <c r="C3979">
        <f t="shared" si="63"/>
        <v>1910</v>
      </c>
      <c r="D3979" s="7">
        <v>3978</v>
      </c>
      <c r="E3979">
        <v>46.159599999999998</v>
      </c>
    </row>
    <row r="3980" spans="3:5" x14ac:dyDescent="0.35">
      <c r="C3980">
        <f t="shared" si="63"/>
        <v>1910</v>
      </c>
      <c r="D3980" s="7">
        <v>3979</v>
      </c>
      <c r="E3980">
        <v>47.314</v>
      </c>
    </row>
    <row r="3981" spans="3:5" x14ac:dyDescent="0.35">
      <c r="C3981">
        <f t="shared" si="63"/>
        <v>1910</v>
      </c>
      <c r="D3981" s="7">
        <v>3980</v>
      </c>
      <c r="E3981">
        <v>46.5047</v>
      </c>
    </row>
    <row r="3982" spans="3:5" x14ac:dyDescent="0.35">
      <c r="C3982">
        <f t="shared" si="63"/>
        <v>1910</v>
      </c>
      <c r="D3982" s="7">
        <v>3981</v>
      </c>
      <c r="E3982">
        <v>46.584099999999999</v>
      </c>
    </row>
    <row r="3983" spans="3:5" x14ac:dyDescent="0.35">
      <c r="C3983">
        <f t="shared" si="63"/>
        <v>1910</v>
      </c>
      <c r="D3983" s="7">
        <v>3982</v>
      </c>
      <c r="E3983">
        <v>46.603999999999999</v>
      </c>
    </row>
    <row r="3984" spans="3:5" x14ac:dyDescent="0.35">
      <c r="C3984">
        <f t="shared" si="63"/>
        <v>1910</v>
      </c>
      <c r="D3984" s="7">
        <v>3983</v>
      </c>
      <c r="E3984">
        <v>46.456800000000001</v>
      </c>
    </row>
    <row r="3985" spans="3:5" x14ac:dyDescent="0.35">
      <c r="C3985">
        <f t="shared" si="63"/>
        <v>1910</v>
      </c>
      <c r="D3985" s="7">
        <v>3984</v>
      </c>
      <c r="E3985">
        <v>46.678699999999999</v>
      </c>
    </row>
    <row r="3986" spans="3:5" x14ac:dyDescent="0.35">
      <c r="C3986">
        <f t="shared" si="63"/>
        <v>1910</v>
      </c>
      <c r="D3986" s="7">
        <v>3985</v>
      </c>
      <c r="E3986">
        <v>47.492600000000003</v>
      </c>
    </row>
    <row r="3987" spans="3:5" x14ac:dyDescent="0.35">
      <c r="C3987">
        <f t="shared" si="63"/>
        <v>1910</v>
      </c>
      <c r="D3987" s="7">
        <v>3986</v>
      </c>
      <c r="E3987">
        <v>46.529899999999998</v>
      </c>
    </row>
    <row r="3988" spans="3:5" x14ac:dyDescent="0.35">
      <c r="C3988">
        <f t="shared" si="63"/>
        <v>1910</v>
      </c>
      <c r="D3988" s="7">
        <v>3987</v>
      </c>
      <c r="E3988">
        <v>48.786700000000003</v>
      </c>
    </row>
    <row r="3989" spans="3:5" x14ac:dyDescent="0.35">
      <c r="C3989">
        <f t="shared" si="63"/>
        <v>1910</v>
      </c>
      <c r="D3989" s="7">
        <v>3988</v>
      </c>
      <c r="E3989">
        <v>49.253700000000002</v>
      </c>
    </row>
    <row r="3990" spans="3:5" x14ac:dyDescent="0.35">
      <c r="C3990">
        <f t="shared" si="63"/>
        <v>1910</v>
      </c>
      <c r="D3990" s="7">
        <v>3989</v>
      </c>
      <c r="E3990">
        <v>50.262300000000003</v>
      </c>
    </row>
    <row r="3991" spans="3:5" x14ac:dyDescent="0.35">
      <c r="C3991">
        <f t="shared" si="63"/>
        <v>1910</v>
      </c>
      <c r="D3991" s="7">
        <v>3990</v>
      </c>
      <c r="E3991">
        <v>46.816000000000003</v>
      </c>
    </row>
    <row r="3992" spans="3:5" x14ac:dyDescent="0.35">
      <c r="C3992">
        <f t="shared" si="63"/>
        <v>1910</v>
      </c>
      <c r="D3992" s="7">
        <v>3991</v>
      </c>
      <c r="E3992">
        <v>44.634500000000003</v>
      </c>
    </row>
    <row r="3993" spans="3:5" x14ac:dyDescent="0.35">
      <c r="C3993">
        <f t="shared" si="63"/>
        <v>1910</v>
      </c>
      <c r="D3993" s="7">
        <v>3992</v>
      </c>
      <c r="E3993">
        <v>44.946199999999997</v>
      </c>
    </row>
    <row r="3994" spans="3:5" x14ac:dyDescent="0.35">
      <c r="C3994">
        <f t="shared" si="63"/>
        <v>1910</v>
      </c>
      <c r="D3994" s="7">
        <v>3993</v>
      </c>
      <c r="E3994">
        <v>43.072600000000001</v>
      </c>
    </row>
    <row r="3995" spans="3:5" x14ac:dyDescent="0.35">
      <c r="C3995">
        <f t="shared" si="63"/>
        <v>1910</v>
      </c>
      <c r="D3995" s="7">
        <v>3994</v>
      </c>
      <c r="E3995">
        <v>42.445599999999999</v>
      </c>
    </row>
    <row r="3996" spans="3:5" x14ac:dyDescent="0.35">
      <c r="C3996">
        <f t="shared" si="63"/>
        <v>1910</v>
      </c>
      <c r="D3996" s="7">
        <v>3995</v>
      </c>
      <c r="E3996">
        <v>41.820900000000002</v>
      </c>
    </row>
    <row r="3997" spans="3:5" x14ac:dyDescent="0.35">
      <c r="C3997">
        <f t="shared" si="63"/>
        <v>1910</v>
      </c>
      <c r="D3997" s="7">
        <v>3996</v>
      </c>
      <c r="E3997">
        <v>42.668999999999997</v>
      </c>
    </row>
    <row r="3998" spans="3:5" x14ac:dyDescent="0.35">
      <c r="C3998">
        <f t="shared" si="63"/>
        <v>1910</v>
      </c>
      <c r="D3998" s="7">
        <v>3997</v>
      </c>
      <c r="E3998">
        <v>41.600499999999997</v>
      </c>
    </row>
    <row r="3999" spans="3:5" x14ac:dyDescent="0.35">
      <c r="C3999">
        <f t="shared" si="63"/>
        <v>1910</v>
      </c>
      <c r="D3999" s="7">
        <v>3998</v>
      </c>
      <c r="E3999">
        <v>38.631799999999998</v>
      </c>
    </row>
    <row r="4000" spans="3:5" x14ac:dyDescent="0.35">
      <c r="C4000">
        <f t="shared" si="63"/>
        <v>1910</v>
      </c>
      <c r="D4000" s="7">
        <v>3999</v>
      </c>
      <c r="E4000">
        <v>39.754300000000001</v>
      </c>
    </row>
    <row r="4001" spans="3:5" x14ac:dyDescent="0.35">
      <c r="C4001">
        <f t="shared" si="63"/>
        <v>1910</v>
      </c>
      <c r="D4001" s="7">
        <v>4000</v>
      </c>
      <c r="E4001">
        <v>39.773899999999998</v>
      </c>
    </row>
    <row r="4002" spans="3:5" x14ac:dyDescent="0.35">
      <c r="C4002">
        <f t="shared" si="63"/>
        <v>1910</v>
      </c>
      <c r="D4002" s="7">
        <v>4001</v>
      </c>
      <c r="E4002">
        <v>39.723399999999998</v>
      </c>
    </row>
    <row r="4003" spans="3:5" x14ac:dyDescent="0.35">
      <c r="C4003">
        <f t="shared" si="63"/>
        <v>1910</v>
      </c>
      <c r="D4003" s="7">
        <v>4002</v>
      </c>
      <c r="E4003">
        <v>37.987099999999998</v>
      </c>
    </row>
    <row r="4004" spans="3:5" x14ac:dyDescent="0.35">
      <c r="C4004">
        <f t="shared" si="63"/>
        <v>1910</v>
      </c>
      <c r="D4004" s="7">
        <v>4003</v>
      </c>
      <c r="E4004">
        <v>39.078699999999998</v>
      </c>
    </row>
    <row r="4005" spans="3:5" x14ac:dyDescent="0.35">
      <c r="C4005">
        <f t="shared" si="63"/>
        <v>1910</v>
      </c>
      <c r="D4005" s="7">
        <v>4004</v>
      </c>
      <c r="E4005">
        <v>40.072800000000001</v>
      </c>
    </row>
    <row r="4006" spans="3:5" x14ac:dyDescent="0.35">
      <c r="C4006">
        <f t="shared" si="63"/>
        <v>1910</v>
      </c>
      <c r="D4006" s="7">
        <v>4005</v>
      </c>
      <c r="E4006">
        <v>40.2408</v>
      </c>
    </row>
    <row r="4007" spans="3:5" x14ac:dyDescent="0.35">
      <c r="C4007">
        <f t="shared" si="63"/>
        <v>1910</v>
      </c>
      <c r="D4007" s="7">
        <v>4006</v>
      </c>
      <c r="E4007">
        <v>40.361699999999999</v>
      </c>
    </row>
    <row r="4008" spans="3:5" x14ac:dyDescent="0.35">
      <c r="C4008">
        <f t="shared" si="63"/>
        <v>1910</v>
      </c>
      <c r="D4008" s="7">
        <v>4007</v>
      </c>
      <c r="E4008">
        <v>40.717300000000002</v>
      </c>
    </row>
    <row r="4009" spans="3:5" x14ac:dyDescent="0.35">
      <c r="C4009">
        <f t="shared" si="63"/>
        <v>1910</v>
      </c>
      <c r="D4009" s="7">
        <v>4008</v>
      </c>
      <c r="E4009">
        <v>40.8904</v>
      </c>
    </row>
    <row r="4010" spans="3:5" x14ac:dyDescent="0.35">
      <c r="C4010">
        <f t="shared" si="63"/>
        <v>1910</v>
      </c>
      <c r="D4010" s="7">
        <v>4009</v>
      </c>
      <c r="E4010">
        <v>41.490299999999998</v>
      </c>
    </row>
    <row r="4011" spans="3:5" x14ac:dyDescent="0.35">
      <c r="C4011">
        <f t="shared" si="63"/>
        <v>1910</v>
      </c>
      <c r="D4011" s="7">
        <v>4010</v>
      </c>
      <c r="E4011">
        <v>41.826900000000002</v>
      </c>
    </row>
    <row r="4012" spans="3:5" x14ac:dyDescent="0.35">
      <c r="C4012">
        <f t="shared" si="63"/>
        <v>1910</v>
      </c>
      <c r="D4012" s="7">
        <v>4011</v>
      </c>
      <c r="E4012">
        <v>44.161499999999997</v>
      </c>
    </row>
    <row r="4013" spans="3:5" x14ac:dyDescent="0.35">
      <c r="C4013">
        <f t="shared" si="63"/>
        <v>1910</v>
      </c>
      <c r="D4013" s="7">
        <v>4012</v>
      </c>
      <c r="E4013">
        <v>47.116900000000001</v>
      </c>
    </row>
    <row r="4014" spans="3:5" x14ac:dyDescent="0.35">
      <c r="C4014">
        <f t="shared" si="63"/>
        <v>1910</v>
      </c>
      <c r="D4014" s="7">
        <v>4013</v>
      </c>
      <c r="E4014">
        <v>46.402000000000001</v>
      </c>
    </row>
    <row r="4015" spans="3:5" x14ac:dyDescent="0.35">
      <c r="C4015">
        <f t="shared" si="63"/>
        <v>1910</v>
      </c>
      <c r="D4015" s="7">
        <v>4014</v>
      </c>
      <c r="E4015">
        <v>45.405999999999999</v>
      </c>
    </row>
    <row r="4016" spans="3:5" x14ac:dyDescent="0.35">
      <c r="C4016">
        <f t="shared" si="63"/>
        <v>1910</v>
      </c>
      <c r="D4016" s="7">
        <v>4015</v>
      </c>
      <c r="E4016">
        <v>47.038200000000003</v>
      </c>
    </row>
    <row r="4017" spans="3:5" x14ac:dyDescent="0.35">
      <c r="C4017">
        <f t="shared" si="63"/>
        <v>1910</v>
      </c>
      <c r="D4017" s="7">
        <v>4016</v>
      </c>
      <c r="E4017">
        <v>45.792099999999998</v>
      </c>
    </row>
    <row r="4018" spans="3:5" x14ac:dyDescent="0.35">
      <c r="C4018">
        <f t="shared" si="63"/>
        <v>1910</v>
      </c>
      <c r="D4018" s="7">
        <v>4017</v>
      </c>
      <c r="E4018">
        <v>44.646999999999998</v>
      </c>
    </row>
    <row r="4019" spans="3:5" x14ac:dyDescent="0.35">
      <c r="C4019">
        <f t="shared" si="63"/>
        <v>1910</v>
      </c>
      <c r="D4019" s="7">
        <v>4018</v>
      </c>
      <c r="E4019">
        <v>44.278399999999998</v>
      </c>
    </row>
    <row r="4020" spans="3:5" x14ac:dyDescent="0.35">
      <c r="C4020">
        <f t="shared" si="63"/>
        <v>1911</v>
      </c>
      <c r="D4020" s="7">
        <v>4019</v>
      </c>
      <c r="E4020">
        <v>43.59</v>
      </c>
    </row>
    <row r="4021" spans="3:5" x14ac:dyDescent="0.35">
      <c r="C4021">
        <f t="shared" si="63"/>
        <v>1911</v>
      </c>
      <c r="D4021" s="7">
        <v>4020</v>
      </c>
      <c r="E4021">
        <v>45.055500000000002</v>
      </c>
    </row>
    <row r="4022" spans="3:5" x14ac:dyDescent="0.35">
      <c r="C4022">
        <f t="shared" si="63"/>
        <v>1911</v>
      </c>
      <c r="D4022" s="7">
        <v>4021</v>
      </c>
      <c r="E4022">
        <v>44.531100000000002</v>
      </c>
    </row>
    <row r="4023" spans="3:5" x14ac:dyDescent="0.35">
      <c r="C4023">
        <f t="shared" si="63"/>
        <v>1911</v>
      </c>
      <c r="D4023" s="7">
        <v>4022</v>
      </c>
      <c r="E4023">
        <v>43.721200000000003</v>
      </c>
    </row>
    <row r="4024" spans="3:5" x14ac:dyDescent="0.35">
      <c r="C4024">
        <f t="shared" si="63"/>
        <v>1911</v>
      </c>
      <c r="D4024" s="7">
        <v>4023</v>
      </c>
      <c r="E4024">
        <v>46.579900000000002</v>
      </c>
    </row>
    <row r="4025" spans="3:5" x14ac:dyDescent="0.35">
      <c r="C4025">
        <f t="shared" si="63"/>
        <v>1911</v>
      </c>
      <c r="D4025" s="7">
        <v>4024</v>
      </c>
      <c r="E4025">
        <v>46.615900000000003</v>
      </c>
    </row>
    <row r="4026" spans="3:5" x14ac:dyDescent="0.35">
      <c r="C4026">
        <f t="shared" si="63"/>
        <v>1911</v>
      </c>
      <c r="D4026" s="7">
        <v>4025</v>
      </c>
      <c r="E4026">
        <v>47.3001</v>
      </c>
    </row>
    <row r="4027" spans="3:5" x14ac:dyDescent="0.35">
      <c r="C4027">
        <f t="shared" si="63"/>
        <v>1911</v>
      </c>
      <c r="D4027" s="7">
        <v>4026</v>
      </c>
      <c r="E4027">
        <v>46.475499999999997</v>
      </c>
    </row>
    <row r="4028" spans="3:5" x14ac:dyDescent="0.35">
      <c r="C4028">
        <f t="shared" si="63"/>
        <v>1911</v>
      </c>
      <c r="D4028" s="7">
        <v>4027</v>
      </c>
      <c r="E4028">
        <v>46.721899999999998</v>
      </c>
    </row>
    <row r="4029" spans="3:5" x14ac:dyDescent="0.35">
      <c r="C4029">
        <f t="shared" si="63"/>
        <v>1911</v>
      </c>
      <c r="D4029" s="7">
        <v>4028</v>
      </c>
      <c r="E4029">
        <v>46.247</v>
      </c>
    </row>
    <row r="4030" spans="3:5" x14ac:dyDescent="0.35">
      <c r="C4030">
        <f t="shared" si="63"/>
        <v>1911</v>
      </c>
      <c r="D4030" s="7">
        <v>4029</v>
      </c>
      <c r="E4030">
        <v>46.101500000000001</v>
      </c>
    </row>
    <row r="4031" spans="3:5" x14ac:dyDescent="0.35">
      <c r="C4031">
        <f t="shared" si="63"/>
        <v>1911</v>
      </c>
      <c r="D4031" s="7">
        <v>4030</v>
      </c>
      <c r="E4031">
        <v>46.971600000000002</v>
      </c>
    </row>
    <row r="4032" spans="3:5" x14ac:dyDescent="0.35">
      <c r="C4032">
        <f t="shared" si="63"/>
        <v>1911</v>
      </c>
      <c r="D4032" s="7">
        <v>4031</v>
      </c>
      <c r="E4032">
        <v>47.355800000000002</v>
      </c>
    </row>
    <row r="4033" spans="3:5" x14ac:dyDescent="0.35">
      <c r="C4033">
        <f t="shared" si="63"/>
        <v>1911</v>
      </c>
      <c r="D4033" s="7">
        <v>4032</v>
      </c>
      <c r="E4033">
        <v>48.228200000000001</v>
      </c>
    </row>
    <row r="4034" spans="3:5" x14ac:dyDescent="0.35">
      <c r="C4034">
        <f t="shared" si="63"/>
        <v>1911</v>
      </c>
      <c r="D4034" s="7">
        <v>4033</v>
      </c>
      <c r="E4034">
        <v>47.332700000000003</v>
      </c>
    </row>
    <row r="4035" spans="3:5" x14ac:dyDescent="0.35">
      <c r="C4035">
        <f t="shared" ref="C4035:C4098" si="64">YEAR(D4035)</f>
        <v>1911</v>
      </c>
      <c r="D4035" s="7">
        <v>4034</v>
      </c>
      <c r="E4035">
        <v>47.594900000000003</v>
      </c>
    </row>
    <row r="4036" spans="3:5" x14ac:dyDescent="0.35">
      <c r="C4036">
        <f t="shared" si="64"/>
        <v>1911</v>
      </c>
      <c r="D4036" s="7">
        <v>4035</v>
      </c>
      <c r="E4036">
        <v>47.367699999999999</v>
      </c>
    </row>
    <row r="4037" spans="3:5" x14ac:dyDescent="0.35">
      <c r="C4037">
        <f t="shared" si="64"/>
        <v>1911</v>
      </c>
      <c r="D4037" s="7">
        <v>4036</v>
      </c>
      <c r="E4037">
        <v>47.500500000000002</v>
      </c>
    </row>
    <row r="4038" spans="3:5" x14ac:dyDescent="0.35">
      <c r="C4038">
        <f t="shared" si="64"/>
        <v>1911</v>
      </c>
      <c r="D4038" s="7">
        <v>4037</v>
      </c>
      <c r="E4038">
        <v>47.761600000000001</v>
      </c>
    </row>
    <row r="4039" spans="3:5" x14ac:dyDescent="0.35">
      <c r="C4039">
        <f t="shared" si="64"/>
        <v>1911</v>
      </c>
      <c r="D4039" s="7">
        <v>4038</v>
      </c>
      <c r="E4039">
        <v>45.999899999999997</v>
      </c>
    </row>
    <row r="4040" spans="3:5" x14ac:dyDescent="0.35">
      <c r="C4040">
        <f t="shared" si="64"/>
        <v>1911</v>
      </c>
      <c r="D4040" s="7">
        <v>4039</v>
      </c>
      <c r="E4040">
        <v>45.8065</v>
      </c>
    </row>
    <row r="4041" spans="3:5" x14ac:dyDescent="0.35">
      <c r="C4041">
        <f t="shared" si="64"/>
        <v>1911</v>
      </c>
      <c r="D4041" s="7">
        <v>4040</v>
      </c>
      <c r="E4041">
        <v>45.45</v>
      </c>
    </row>
    <row r="4042" spans="3:5" x14ac:dyDescent="0.35">
      <c r="C4042">
        <f t="shared" si="64"/>
        <v>1911</v>
      </c>
      <c r="D4042" s="7">
        <v>4041</v>
      </c>
      <c r="E4042">
        <v>45.496299999999998</v>
      </c>
    </row>
    <row r="4043" spans="3:5" x14ac:dyDescent="0.35">
      <c r="C4043">
        <f t="shared" si="64"/>
        <v>1911</v>
      </c>
      <c r="D4043" s="7">
        <v>4042</v>
      </c>
      <c r="E4043">
        <v>45.7271</v>
      </c>
    </row>
    <row r="4044" spans="3:5" x14ac:dyDescent="0.35">
      <c r="C4044">
        <f t="shared" si="64"/>
        <v>1911</v>
      </c>
      <c r="D4044" s="7">
        <v>4043</v>
      </c>
      <c r="E4044">
        <v>45.313200000000002</v>
      </c>
    </row>
    <row r="4045" spans="3:5" x14ac:dyDescent="0.35">
      <c r="C4045">
        <f t="shared" si="64"/>
        <v>1911</v>
      </c>
      <c r="D4045" s="7">
        <v>4044</v>
      </c>
      <c r="E4045">
        <v>44.837400000000002</v>
      </c>
    </row>
    <row r="4046" spans="3:5" x14ac:dyDescent="0.35">
      <c r="C4046">
        <f t="shared" si="64"/>
        <v>1911</v>
      </c>
      <c r="D4046" s="7">
        <v>4045</v>
      </c>
      <c r="E4046">
        <v>44.7958</v>
      </c>
    </row>
    <row r="4047" spans="3:5" x14ac:dyDescent="0.35">
      <c r="C4047">
        <f t="shared" si="64"/>
        <v>1911</v>
      </c>
      <c r="D4047" s="7">
        <v>4046</v>
      </c>
      <c r="E4047">
        <v>44.334299999999999</v>
      </c>
    </row>
    <row r="4048" spans="3:5" x14ac:dyDescent="0.35">
      <c r="C4048">
        <f t="shared" si="64"/>
        <v>1911</v>
      </c>
      <c r="D4048" s="7">
        <v>4047</v>
      </c>
      <c r="E4048">
        <v>44.746499999999997</v>
      </c>
    </row>
    <row r="4049" spans="3:5" x14ac:dyDescent="0.35">
      <c r="C4049">
        <f t="shared" si="64"/>
        <v>1911</v>
      </c>
      <c r="D4049" s="7">
        <v>4048</v>
      </c>
      <c r="E4049">
        <v>44.973199999999999</v>
      </c>
    </row>
    <row r="4050" spans="3:5" x14ac:dyDescent="0.35">
      <c r="C4050">
        <f t="shared" si="64"/>
        <v>1911</v>
      </c>
      <c r="D4050" s="7">
        <v>4049</v>
      </c>
      <c r="E4050">
        <v>44.228900000000003</v>
      </c>
    </row>
    <row r="4051" spans="3:5" x14ac:dyDescent="0.35">
      <c r="C4051">
        <f t="shared" si="64"/>
        <v>1911</v>
      </c>
      <c r="D4051" s="7">
        <v>4050</v>
      </c>
      <c r="E4051">
        <v>44.421500000000002</v>
      </c>
    </row>
    <row r="4052" spans="3:5" x14ac:dyDescent="0.35">
      <c r="C4052">
        <f t="shared" si="64"/>
        <v>1911</v>
      </c>
      <c r="D4052" s="7">
        <v>4051</v>
      </c>
      <c r="E4052">
        <v>41.175699999999999</v>
      </c>
    </row>
    <row r="4053" spans="3:5" x14ac:dyDescent="0.35">
      <c r="C4053">
        <f t="shared" si="64"/>
        <v>1911</v>
      </c>
      <c r="D4053" s="7">
        <v>4052</v>
      </c>
      <c r="E4053">
        <v>43.3431</v>
      </c>
    </row>
    <row r="4054" spans="3:5" x14ac:dyDescent="0.35">
      <c r="C4054">
        <f t="shared" si="64"/>
        <v>1911</v>
      </c>
      <c r="D4054" s="7">
        <v>4053</v>
      </c>
      <c r="E4054">
        <v>44.684800000000003</v>
      </c>
    </row>
    <row r="4055" spans="3:5" x14ac:dyDescent="0.35">
      <c r="C4055">
        <f t="shared" si="64"/>
        <v>1911</v>
      </c>
      <c r="D4055" s="7">
        <v>4054</v>
      </c>
      <c r="E4055">
        <v>45.22</v>
      </c>
    </row>
    <row r="4056" spans="3:5" x14ac:dyDescent="0.35">
      <c r="C4056">
        <f t="shared" si="64"/>
        <v>1911</v>
      </c>
      <c r="D4056" s="7">
        <v>4055</v>
      </c>
      <c r="E4056">
        <v>44.700299999999999</v>
      </c>
    </row>
    <row r="4057" spans="3:5" x14ac:dyDescent="0.35">
      <c r="C4057">
        <f t="shared" si="64"/>
        <v>1911</v>
      </c>
      <c r="D4057" s="7">
        <v>4056</v>
      </c>
      <c r="E4057">
        <v>44.101399999999998</v>
      </c>
    </row>
    <row r="4058" spans="3:5" x14ac:dyDescent="0.35">
      <c r="C4058">
        <f t="shared" si="64"/>
        <v>1911</v>
      </c>
      <c r="D4058" s="7">
        <v>4057</v>
      </c>
      <c r="E4058">
        <v>44.141199999999998</v>
      </c>
    </row>
    <row r="4059" spans="3:5" x14ac:dyDescent="0.35">
      <c r="C4059">
        <f t="shared" si="64"/>
        <v>1911</v>
      </c>
      <c r="D4059" s="7">
        <v>4058</v>
      </c>
      <c r="E4059">
        <v>45.260399999999997</v>
      </c>
    </row>
    <row r="4060" spans="3:5" x14ac:dyDescent="0.35">
      <c r="C4060">
        <f t="shared" si="64"/>
        <v>1911</v>
      </c>
      <c r="D4060" s="7">
        <v>4059</v>
      </c>
      <c r="E4060">
        <v>45.317599999999999</v>
      </c>
    </row>
    <row r="4061" spans="3:5" x14ac:dyDescent="0.35">
      <c r="C4061">
        <f t="shared" si="64"/>
        <v>1911</v>
      </c>
      <c r="D4061" s="7">
        <v>4060</v>
      </c>
      <c r="E4061">
        <v>45.3093</v>
      </c>
    </row>
    <row r="4062" spans="3:5" x14ac:dyDescent="0.35">
      <c r="C4062">
        <f t="shared" si="64"/>
        <v>1911</v>
      </c>
      <c r="D4062" s="7">
        <v>4061</v>
      </c>
      <c r="E4062">
        <v>46.238199999999999</v>
      </c>
    </row>
    <row r="4063" spans="3:5" x14ac:dyDescent="0.35">
      <c r="C4063">
        <f t="shared" si="64"/>
        <v>1911</v>
      </c>
      <c r="D4063" s="7">
        <v>4062</v>
      </c>
      <c r="E4063">
        <v>46.263100000000001</v>
      </c>
    </row>
    <row r="4064" spans="3:5" x14ac:dyDescent="0.35">
      <c r="C4064">
        <f t="shared" si="64"/>
        <v>1911</v>
      </c>
      <c r="D4064" s="7">
        <v>4063</v>
      </c>
      <c r="E4064">
        <v>46.992400000000004</v>
      </c>
    </row>
    <row r="4065" spans="3:5" x14ac:dyDescent="0.35">
      <c r="C4065">
        <f t="shared" si="64"/>
        <v>1911</v>
      </c>
      <c r="D4065" s="7">
        <v>4064</v>
      </c>
      <c r="E4065">
        <v>48.509399999999999</v>
      </c>
    </row>
    <row r="4066" spans="3:5" x14ac:dyDescent="0.35">
      <c r="C4066">
        <f t="shared" si="64"/>
        <v>1911</v>
      </c>
      <c r="D4066" s="7">
        <v>4065</v>
      </c>
      <c r="E4066">
        <v>48.318300000000001</v>
      </c>
    </row>
    <row r="4067" spans="3:5" x14ac:dyDescent="0.35">
      <c r="C4067">
        <f t="shared" si="64"/>
        <v>1911</v>
      </c>
      <c r="D4067" s="7">
        <v>4066</v>
      </c>
      <c r="E4067">
        <v>49.111600000000003</v>
      </c>
    </row>
    <row r="4068" spans="3:5" x14ac:dyDescent="0.35">
      <c r="C4068">
        <f t="shared" si="64"/>
        <v>1911</v>
      </c>
      <c r="D4068" s="7">
        <v>4067</v>
      </c>
      <c r="E4068">
        <v>50.600999999999999</v>
      </c>
    </row>
    <row r="4069" spans="3:5" x14ac:dyDescent="0.35">
      <c r="C4069">
        <f t="shared" si="64"/>
        <v>1911</v>
      </c>
      <c r="D4069" s="7">
        <v>4068</v>
      </c>
      <c r="E4069">
        <v>50.661700000000003</v>
      </c>
    </row>
    <row r="4070" spans="3:5" x14ac:dyDescent="0.35">
      <c r="C4070">
        <f t="shared" si="64"/>
        <v>1911</v>
      </c>
      <c r="D4070" s="7">
        <v>4069</v>
      </c>
      <c r="E4070">
        <v>49.581499999999998</v>
      </c>
    </row>
    <row r="4071" spans="3:5" x14ac:dyDescent="0.35">
      <c r="C4071">
        <f t="shared" si="64"/>
        <v>1911</v>
      </c>
      <c r="D4071" s="7">
        <v>4070</v>
      </c>
      <c r="E4071">
        <v>52.085599999999999</v>
      </c>
    </row>
    <row r="4072" spans="3:5" x14ac:dyDescent="0.35">
      <c r="C4072">
        <f t="shared" si="64"/>
        <v>1911</v>
      </c>
      <c r="D4072" s="7">
        <v>4071</v>
      </c>
      <c r="E4072">
        <v>51.997100000000003</v>
      </c>
    </row>
    <row r="4073" spans="3:5" x14ac:dyDescent="0.35">
      <c r="C4073">
        <f t="shared" si="64"/>
        <v>1911</v>
      </c>
      <c r="D4073" s="7">
        <v>4072</v>
      </c>
      <c r="E4073">
        <v>52.676000000000002</v>
      </c>
    </row>
    <row r="4074" spans="3:5" x14ac:dyDescent="0.35">
      <c r="C4074">
        <f t="shared" si="64"/>
        <v>1911</v>
      </c>
      <c r="D4074" s="7">
        <v>4073</v>
      </c>
      <c r="E4074">
        <v>54.471800000000002</v>
      </c>
    </row>
    <row r="4075" spans="3:5" x14ac:dyDescent="0.35">
      <c r="C4075">
        <f t="shared" si="64"/>
        <v>1911</v>
      </c>
      <c r="D4075" s="7">
        <v>4074</v>
      </c>
      <c r="E4075">
        <v>54.510599999999997</v>
      </c>
    </row>
    <row r="4076" spans="3:5" x14ac:dyDescent="0.35">
      <c r="C4076">
        <f t="shared" si="64"/>
        <v>1911</v>
      </c>
      <c r="D4076" s="7">
        <v>4075</v>
      </c>
      <c r="E4076">
        <v>54.149500000000003</v>
      </c>
    </row>
    <row r="4077" spans="3:5" x14ac:dyDescent="0.35">
      <c r="C4077">
        <f t="shared" si="64"/>
        <v>1911</v>
      </c>
      <c r="D4077" s="7">
        <v>4076</v>
      </c>
      <c r="E4077">
        <v>54.575000000000003</v>
      </c>
    </row>
    <row r="4078" spans="3:5" x14ac:dyDescent="0.35">
      <c r="C4078">
        <f t="shared" si="64"/>
        <v>1911</v>
      </c>
      <c r="D4078" s="7">
        <v>4077</v>
      </c>
      <c r="E4078">
        <v>54.040900000000001</v>
      </c>
    </row>
    <row r="4079" spans="3:5" x14ac:dyDescent="0.35">
      <c r="C4079">
        <f t="shared" si="64"/>
        <v>1911</v>
      </c>
      <c r="D4079" s="7">
        <v>4078</v>
      </c>
      <c r="E4079">
        <v>53.831499999999998</v>
      </c>
    </row>
    <row r="4080" spans="3:5" x14ac:dyDescent="0.35">
      <c r="C4080">
        <f t="shared" si="64"/>
        <v>1911</v>
      </c>
      <c r="D4080" s="7">
        <v>4079</v>
      </c>
      <c r="E4080">
        <v>53.994300000000003</v>
      </c>
    </row>
    <row r="4081" spans="3:5" x14ac:dyDescent="0.35">
      <c r="C4081">
        <f t="shared" si="64"/>
        <v>1911</v>
      </c>
      <c r="D4081" s="7">
        <v>4080</v>
      </c>
      <c r="E4081">
        <v>55.493299999999998</v>
      </c>
    </row>
    <row r="4082" spans="3:5" x14ac:dyDescent="0.35">
      <c r="C4082">
        <f t="shared" si="64"/>
        <v>1911</v>
      </c>
      <c r="D4082" s="7">
        <v>4081</v>
      </c>
      <c r="E4082">
        <v>55.811900000000001</v>
      </c>
    </row>
    <row r="4083" spans="3:5" x14ac:dyDescent="0.35">
      <c r="C4083">
        <f t="shared" si="64"/>
        <v>1911</v>
      </c>
      <c r="D4083" s="7">
        <v>4082</v>
      </c>
      <c r="E4083">
        <v>54.141399999999997</v>
      </c>
    </row>
    <row r="4084" spans="3:5" x14ac:dyDescent="0.35">
      <c r="C4084">
        <f t="shared" si="64"/>
        <v>1911</v>
      </c>
      <c r="D4084" s="7">
        <v>4083</v>
      </c>
      <c r="E4084">
        <v>54.3446</v>
      </c>
    </row>
    <row r="4085" spans="3:5" x14ac:dyDescent="0.35">
      <c r="C4085">
        <f t="shared" si="64"/>
        <v>1911</v>
      </c>
      <c r="D4085" s="7">
        <v>4084</v>
      </c>
      <c r="E4085">
        <v>55.611699999999999</v>
      </c>
    </row>
    <row r="4086" spans="3:5" x14ac:dyDescent="0.35">
      <c r="C4086">
        <f t="shared" si="64"/>
        <v>1911</v>
      </c>
      <c r="D4086" s="7">
        <v>4085</v>
      </c>
      <c r="E4086">
        <v>55.232900000000001</v>
      </c>
    </row>
    <row r="4087" spans="3:5" x14ac:dyDescent="0.35">
      <c r="C4087">
        <f t="shared" si="64"/>
        <v>1911</v>
      </c>
      <c r="D4087" s="7">
        <v>4086</v>
      </c>
      <c r="E4087">
        <v>53.097799999999999</v>
      </c>
    </row>
    <row r="4088" spans="3:5" x14ac:dyDescent="0.35">
      <c r="C4088">
        <f t="shared" si="64"/>
        <v>1911</v>
      </c>
      <c r="D4088" s="7">
        <v>4087</v>
      </c>
      <c r="E4088">
        <v>54.751199999999997</v>
      </c>
    </row>
    <row r="4089" spans="3:5" x14ac:dyDescent="0.35">
      <c r="C4089">
        <f t="shared" si="64"/>
        <v>1911</v>
      </c>
      <c r="D4089" s="7">
        <v>4088</v>
      </c>
      <c r="E4089">
        <v>54.223500000000001</v>
      </c>
    </row>
    <row r="4090" spans="3:5" x14ac:dyDescent="0.35">
      <c r="C4090">
        <f t="shared" si="64"/>
        <v>1911</v>
      </c>
      <c r="D4090" s="7">
        <v>4089</v>
      </c>
      <c r="E4090">
        <v>53.964300000000001</v>
      </c>
    </row>
    <row r="4091" spans="3:5" x14ac:dyDescent="0.35">
      <c r="C4091">
        <f t="shared" si="64"/>
        <v>1911</v>
      </c>
      <c r="D4091" s="7">
        <v>4090</v>
      </c>
      <c r="E4091">
        <v>51.413600000000002</v>
      </c>
    </row>
    <row r="4092" spans="3:5" x14ac:dyDescent="0.35">
      <c r="C4092">
        <f t="shared" si="64"/>
        <v>1911</v>
      </c>
      <c r="D4092" s="7">
        <v>4091</v>
      </c>
      <c r="E4092">
        <v>51.011699999999998</v>
      </c>
    </row>
    <row r="4093" spans="3:5" x14ac:dyDescent="0.35">
      <c r="C4093">
        <f t="shared" si="64"/>
        <v>1911</v>
      </c>
      <c r="D4093" s="7">
        <v>4092</v>
      </c>
      <c r="E4093">
        <v>50.916699999999999</v>
      </c>
    </row>
    <row r="4094" spans="3:5" x14ac:dyDescent="0.35">
      <c r="C4094">
        <f t="shared" si="64"/>
        <v>1911</v>
      </c>
      <c r="D4094" s="7">
        <v>4093</v>
      </c>
      <c r="E4094">
        <v>50.420900000000003</v>
      </c>
    </row>
    <row r="4095" spans="3:5" x14ac:dyDescent="0.35">
      <c r="C4095">
        <f t="shared" si="64"/>
        <v>1911</v>
      </c>
      <c r="D4095" s="7">
        <v>4094</v>
      </c>
      <c r="E4095">
        <v>51.266399999999997</v>
      </c>
    </row>
    <row r="4096" spans="3:5" x14ac:dyDescent="0.35">
      <c r="C4096">
        <f t="shared" si="64"/>
        <v>1911</v>
      </c>
      <c r="D4096" s="7">
        <v>4095</v>
      </c>
      <c r="E4096">
        <v>51.910600000000002</v>
      </c>
    </row>
    <row r="4097" spans="3:5" x14ac:dyDescent="0.35">
      <c r="C4097">
        <f t="shared" si="64"/>
        <v>1911</v>
      </c>
      <c r="D4097" s="7">
        <v>4096</v>
      </c>
      <c r="E4097">
        <v>50.963900000000002</v>
      </c>
    </row>
    <row r="4098" spans="3:5" x14ac:dyDescent="0.35">
      <c r="C4098">
        <f t="shared" si="64"/>
        <v>1911</v>
      </c>
      <c r="D4098" s="7">
        <v>4097</v>
      </c>
      <c r="E4098">
        <v>49.364600000000003</v>
      </c>
    </row>
    <row r="4099" spans="3:5" x14ac:dyDescent="0.35">
      <c r="C4099">
        <f t="shared" ref="C4099:C4123" si="65">YEAR(D4099)</f>
        <v>1911</v>
      </c>
      <c r="D4099" s="7">
        <v>4098</v>
      </c>
      <c r="E4099">
        <v>50.777799999999999</v>
      </c>
    </row>
    <row r="4100" spans="3:5" x14ac:dyDescent="0.35">
      <c r="C4100">
        <f t="shared" si="65"/>
        <v>1911</v>
      </c>
      <c r="D4100" s="7">
        <v>4099</v>
      </c>
      <c r="E4100">
        <v>51.423299999999998</v>
      </c>
    </row>
    <row r="4101" spans="3:5" x14ac:dyDescent="0.35">
      <c r="C4101">
        <f t="shared" si="65"/>
        <v>1911</v>
      </c>
      <c r="D4101" s="7">
        <v>4100</v>
      </c>
      <c r="E4101">
        <v>51.720599999999997</v>
      </c>
    </row>
    <row r="4102" spans="3:5" x14ac:dyDescent="0.35">
      <c r="C4102">
        <f t="shared" si="65"/>
        <v>1911</v>
      </c>
      <c r="D4102" s="7">
        <v>4101</v>
      </c>
      <c r="E4102">
        <v>48.357399999999998</v>
      </c>
    </row>
    <row r="4103" spans="3:5" x14ac:dyDescent="0.35">
      <c r="C4103">
        <f t="shared" si="65"/>
        <v>1911</v>
      </c>
      <c r="D4103" s="7">
        <v>4102</v>
      </c>
      <c r="E4103">
        <v>47.994500000000002</v>
      </c>
    </row>
    <row r="4104" spans="3:5" x14ac:dyDescent="0.35">
      <c r="C4104">
        <f t="shared" si="65"/>
        <v>1911</v>
      </c>
      <c r="D4104" s="7">
        <v>4103</v>
      </c>
      <c r="E4104">
        <v>46.043999999999997</v>
      </c>
    </row>
    <row r="4105" spans="3:5" x14ac:dyDescent="0.35">
      <c r="C4105">
        <f t="shared" si="65"/>
        <v>1911</v>
      </c>
      <c r="D4105" s="7">
        <v>4104</v>
      </c>
      <c r="E4105">
        <v>45.304900000000004</v>
      </c>
    </row>
    <row r="4106" spans="3:5" x14ac:dyDescent="0.35">
      <c r="C4106">
        <f t="shared" si="65"/>
        <v>1911</v>
      </c>
      <c r="D4106" s="7">
        <v>4105</v>
      </c>
      <c r="E4106">
        <v>44.758299999999998</v>
      </c>
    </row>
    <row r="4107" spans="3:5" x14ac:dyDescent="0.35">
      <c r="C4107">
        <f t="shared" si="65"/>
        <v>1911</v>
      </c>
      <c r="D4107" s="7">
        <v>4106</v>
      </c>
      <c r="E4107">
        <v>45.615299999999998</v>
      </c>
    </row>
    <row r="4108" spans="3:5" x14ac:dyDescent="0.35">
      <c r="C4108">
        <f t="shared" si="65"/>
        <v>1911</v>
      </c>
      <c r="D4108" s="7">
        <v>4107</v>
      </c>
      <c r="E4108">
        <v>45.9694</v>
      </c>
    </row>
    <row r="4109" spans="3:5" x14ac:dyDescent="0.35">
      <c r="C4109">
        <f t="shared" si="65"/>
        <v>1911</v>
      </c>
      <c r="D4109" s="7">
        <v>4108</v>
      </c>
      <c r="E4109">
        <v>45.268900000000002</v>
      </c>
    </row>
    <row r="4110" spans="3:5" x14ac:dyDescent="0.35">
      <c r="C4110">
        <f t="shared" si="65"/>
        <v>1911</v>
      </c>
      <c r="D4110" s="7">
        <v>4109</v>
      </c>
      <c r="E4110">
        <v>44.281300000000002</v>
      </c>
    </row>
    <row r="4111" spans="3:5" x14ac:dyDescent="0.35">
      <c r="C4111">
        <f t="shared" si="65"/>
        <v>1911</v>
      </c>
      <c r="D4111" s="7">
        <v>4110</v>
      </c>
      <c r="E4111">
        <v>44.689399999999999</v>
      </c>
    </row>
    <row r="4112" spans="3:5" x14ac:dyDescent="0.35">
      <c r="C4112">
        <f t="shared" si="65"/>
        <v>1911</v>
      </c>
      <c r="D4112" s="7">
        <v>4111</v>
      </c>
      <c r="E4112">
        <v>43.563299999999998</v>
      </c>
    </row>
    <row r="4113" spans="3:5" x14ac:dyDescent="0.35">
      <c r="C4113">
        <f t="shared" si="65"/>
        <v>1911</v>
      </c>
      <c r="D4113" s="7">
        <v>4112</v>
      </c>
      <c r="E4113">
        <v>43.272399999999998</v>
      </c>
    </row>
    <row r="4114" spans="3:5" x14ac:dyDescent="0.35">
      <c r="C4114">
        <f t="shared" si="65"/>
        <v>1911</v>
      </c>
      <c r="D4114" s="7">
        <v>4113</v>
      </c>
      <c r="E4114">
        <v>42.142699999999998</v>
      </c>
    </row>
    <row r="4115" spans="3:5" x14ac:dyDescent="0.35">
      <c r="C4115">
        <f t="shared" si="65"/>
        <v>1911</v>
      </c>
      <c r="D4115" s="7">
        <v>4114</v>
      </c>
      <c r="E4115">
        <v>41.918799999999997</v>
      </c>
    </row>
    <row r="4116" spans="3:5" x14ac:dyDescent="0.35">
      <c r="C4116">
        <f t="shared" si="65"/>
        <v>1911</v>
      </c>
      <c r="D4116" s="7">
        <v>4115</v>
      </c>
      <c r="E4116">
        <v>42.195</v>
      </c>
    </row>
    <row r="4117" spans="3:5" x14ac:dyDescent="0.35">
      <c r="C4117">
        <f t="shared" si="65"/>
        <v>1911</v>
      </c>
      <c r="D4117" s="7">
        <v>4116</v>
      </c>
      <c r="E4117">
        <v>43.374499999999998</v>
      </c>
    </row>
    <row r="4118" spans="3:5" x14ac:dyDescent="0.35">
      <c r="C4118">
        <f t="shared" si="65"/>
        <v>1911</v>
      </c>
      <c r="D4118" s="7">
        <v>4117</v>
      </c>
      <c r="E4118">
        <v>43.071599999999997</v>
      </c>
    </row>
    <row r="4119" spans="3:5" x14ac:dyDescent="0.35">
      <c r="C4119">
        <f t="shared" si="65"/>
        <v>1911</v>
      </c>
      <c r="D4119" s="7">
        <v>4118</v>
      </c>
      <c r="E4119">
        <v>44.501300000000001</v>
      </c>
    </row>
    <row r="4120" spans="3:5" x14ac:dyDescent="0.35">
      <c r="C4120">
        <f t="shared" si="65"/>
        <v>1911</v>
      </c>
      <c r="D4120" s="7">
        <v>4119</v>
      </c>
      <c r="E4120">
        <v>43.9739</v>
      </c>
    </row>
    <row r="4121" spans="3:5" x14ac:dyDescent="0.35">
      <c r="C4121">
        <f t="shared" si="65"/>
        <v>1911</v>
      </c>
      <c r="D4121" s="7">
        <v>4120</v>
      </c>
      <c r="E4121">
        <v>44.683999999999997</v>
      </c>
    </row>
    <row r="4122" spans="3:5" x14ac:dyDescent="0.35">
      <c r="C4122">
        <f t="shared" si="65"/>
        <v>1911</v>
      </c>
      <c r="D4122" s="7">
        <v>4121</v>
      </c>
      <c r="E4122">
        <v>43.008099999999999</v>
      </c>
    </row>
    <row r="4123" spans="3:5" x14ac:dyDescent="0.35">
      <c r="C4123">
        <f t="shared" si="65"/>
        <v>1911</v>
      </c>
      <c r="D4123" s="7">
        <v>4122</v>
      </c>
      <c r="E4123">
        <v>41.382899999999999</v>
      </c>
    </row>
  </sheetData>
  <mergeCells count="1">
    <mergeCell ref="K32:P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4A7C-81ED-491E-86CD-21E8FDA04449}">
  <dimension ref="A1:X5345"/>
  <sheetViews>
    <sheetView tabSelected="1" topLeftCell="C1" workbookViewId="0">
      <selection activeCell="K2" sqref="K2"/>
    </sheetView>
  </sheetViews>
  <sheetFormatPr defaultRowHeight="14.5" x14ac:dyDescent="0.35"/>
  <cols>
    <col min="1" max="2" width="0" hidden="1" customWidth="1"/>
    <col min="3" max="3" width="10.54296875" customWidth="1"/>
    <col min="4" max="4" width="11.36328125" customWidth="1"/>
  </cols>
  <sheetData>
    <row r="1" spans="1:11" x14ac:dyDescent="0.35">
      <c r="C1">
        <f>SUM(C3:C5345)</f>
        <v>14276496</v>
      </c>
      <c r="D1">
        <f>SUM(D3:D5345)</f>
        <v>308891.83669999894</v>
      </c>
      <c r="E1">
        <f>SUM(E3:E5345)</f>
        <v>938515122.15659976</v>
      </c>
      <c r="F1">
        <f>SUM(F3:F5345)</f>
        <v>50857637584</v>
      </c>
      <c r="H1">
        <f>COUNT(C3:C5345)</f>
        <v>5343</v>
      </c>
      <c r="I1">
        <f>(H1* E1 - C1 * D1) / (H1 * F1 - C1 * C1)</f>
        <v>8.9023331324104438E-3</v>
      </c>
      <c r="K1">
        <f>DEGREES(I1)</f>
        <v>0.51006611630659626</v>
      </c>
    </row>
    <row r="2" spans="1:11" x14ac:dyDescent="0.35">
      <c r="A2" t="str">
        <f>"date"</f>
        <v>date</v>
      </c>
      <c r="B2" t="str">
        <f>"value"</f>
        <v>value</v>
      </c>
      <c r="C2" t="str">
        <f>"date"</f>
        <v>date</v>
      </c>
      <c r="D2" t="str">
        <f>"value"</f>
        <v>value</v>
      </c>
    </row>
    <row r="3" spans="1:11" x14ac:dyDescent="0.35">
      <c r="A3" t="str">
        <f>"2005-01-03"</f>
        <v>2005-01-03</v>
      </c>
      <c r="B3" t="str">
        <f>"54.0787"</f>
        <v>54.0787</v>
      </c>
      <c r="C3">
        <v>1</v>
      </c>
      <c r="D3" s="7">
        <v>54.078699999999998</v>
      </c>
      <c r="E3" s="7">
        <f>C3*D3</f>
        <v>54.078699999999998</v>
      </c>
      <c r="F3" s="7">
        <f>C3*C3</f>
        <v>1</v>
      </c>
      <c r="G3" s="7"/>
    </row>
    <row r="4" spans="1:11" x14ac:dyDescent="0.35">
      <c r="A4" t="str">
        <f>"2005-01-04"</f>
        <v>2005-01-04</v>
      </c>
      <c r="B4" t="str">
        <f>"53.1423"</f>
        <v>53.1423</v>
      </c>
      <c r="C4">
        <v>2</v>
      </c>
      <c r="D4" s="7">
        <v>53.142299999999999</v>
      </c>
      <c r="E4" s="7">
        <f t="shared" ref="E4:E67" si="0">C4*D4</f>
        <v>106.2846</v>
      </c>
      <c r="F4" s="7">
        <f t="shared" ref="F4:F67" si="1">C4*C4</f>
        <v>4</v>
      </c>
      <c r="G4" s="7"/>
    </row>
    <row r="5" spans="1:11" x14ac:dyDescent="0.35">
      <c r="A5" t="str">
        <f>"2005-01-05"</f>
        <v>2005-01-05</v>
      </c>
      <c r="B5" t="str">
        <f>"49.4574"</f>
        <v>49.4574</v>
      </c>
      <c r="C5">
        <v>3</v>
      </c>
      <c r="D5" s="7">
        <v>49.4574</v>
      </c>
      <c r="E5" s="7">
        <f t="shared" si="0"/>
        <v>148.37219999999999</v>
      </c>
      <c r="F5" s="7">
        <f t="shared" si="1"/>
        <v>9</v>
      </c>
      <c r="G5" s="7"/>
    </row>
    <row r="6" spans="1:11" x14ac:dyDescent="0.35">
      <c r="A6" t="str">
        <f>"2005-01-06"</f>
        <v>2005-01-06</v>
      </c>
      <c r="B6" t="str">
        <f>"50.1222"</f>
        <v>50.1222</v>
      </c>
      <c r="C6">
        <v>4</v>
      </c>
      <c r="D6" s="7">
        <v>50.122199999999999</v>
      </c>
      <c r="E6" s="7">
        <f t="shared" si="0"/>
        <v>200.4888</v>
      </c>
      <c r="F6" s="7">
        <f t="shared" si="1"/>
        <v>16</v>
      </c>
      <c r="G6" s="7"/>
    </row>
    <row r="7" spans="1:11" x14ac:dyDescent="0.35">
      <c r="A7" t="str">
        <f>"2005-01-07"</f>
        <v>2005-01-07</v>
      </c>
      <c r="B7" t="str">
        <f>"49.9816"</f>
        <v>49.9816</v>
      </c>
      <c r="C7">
        <v>5</v>
      </c>
      <c r="D7" s="7">
        <v>49.9816</v>
      </c>
      <c r="E7" s="7">
        <f t="shared" si="0"/>
        <v>249.90800000000002</v>
      </c>
      <c r="F7" s="7">
        <f t="shared" si="1"/>
        <v>25</v>
      </c>
      <c r="G7" s="7"/>
    </row>
    <row r="8" spans="1:11" x14ac:dyDescent="0.35">
      <c r="A8" t="str">
        <f>"2005-01-10"</f>
        <v>2005-01-10</v>
      </c>
      <c r="B8" t="str">
        <f>"50.7056"</f>
        <v>50.7056</v>
      </c>
      <c r="C8">
        <v>6</v>
      </c>
      <c r="D8" s="7">
        <v>50.705599999999997</v>
      </c>
      <c r="E8" s="7">
        <f t="shared" si="0"/>
        <v>304.23359999999997</v>
      </c>
      <c r="F8" s="7">
        <f t="shared" si="1"/>
        <v>36</v>
      </c>
      <c r="G8" s="7"/>
    </row>
    <row r="9" spans="1:11" x14ac:dyDescent="0.35">
      <c r="A9" t="str">
        <f>"2005-01-11"</f>
        <v>2005-01-11</v>
      </c>
      <c r="B9" t="str">
        <f>"50.9919"</f>
        <v>50.9919</v>
      </c>
      <c r="C9">
        <v>7</v>
      </c>
      <c r="D9" s="7">
        <v>50.991900000000001</v>
      </c>
      <c r="E9" s="7">
        <f t="shared" si="0"/>
        <v>356.94330000000002</v>
      </c>
      <c r="F9" s="7">
        <f t="shared" si="1"/>
        <v>49</v>
      </c>
      <c r="G9" s="7"/>
    </row>
    <row r="10" spans="1:11" x14ac:dyDescent="0.35">
      <c r="A10" t="str">
        <f>"2005-01-12"</f>
        <v>2005-01-12</v>
      </c>
      <c r="B10" t="str">
        <f>"51.8219"</f>
        <v>51.8219</v>
      </c>
      <c r="C10">
        <v>8</v>
      </c>
      <c r="D10" s="7">
        <v>51.821899999999999</v>
      </c>
      <c r="E10" s="7">
        <f t="shared" si="0"/>
        <v>414.5752</v>
      </c>
      <c r="F10" s="7">
        <f t="shared" si="1"/>
        <v>64</v>
      </c>
      <c r="G10" s="7"/>
    </row>
    <row r="11" spans="1:11" x14ac:dyDescent="0.35">
      <c r="A11" t="str">
        <f>"2005-01-13"</f>
        <v>2005-01-13</v>
      </c>
      <c r="B11" t="str">
        <f>"52.2675"</f>
        <v>52.2675</v>
      </c>
      <c r="C11">
        <v>9</v>
      </c>
      <c r="D11" s="7">
        <v>52.267499999999998</v>
      </c>
      <c r="E11" s="7">
        <f t="shared" si="0"/>
        <v>470.40749999999997</v>
      </c>
      <c r="F11" s="7">
        <f t="shared" si="1"/>
        <v>81</v>
      </c>
      <c r="G11" s="7"/>
    </row>
    <row r="12" spans="1:11" x14ac:dyDescent="0.35">
      <c r="A12" t="str">
        <f>"2005-01-14"</f>
        <v>2005-01-14</v>
      </c>
      <c r="B12" t="str">
        <f>"53.3189"</f>
        <v>53.3189</v>
      </c>
      <c r="C12">
        <v>10</v>
      </c>
      <c r="D12" s="7">
        <v>53.318899999999999</v>
      </c>
      <c r="E12" s="7">
        <f t="shared" si="0"/>
        <v>533.18899999999996</v>
      </c>
      <c r="F12" s="7">
        <f t="shared" si="1"/>
        <v>100</v>
      </c>
      <c r="G12" s="7"/>
    </row>
    <row r="13" spans="1:11" x14ac:dyDescent="0.35">
      <c r="A13" t="str">
        <f>"2005-01-18"</f>
        <v>2005-01-18</v>
      </c>
      <c r="B13" t="str">
        <f>"53.554"</f>
        <v>53.554</v>
      </c>
      <c r="C13">
        <v>11</v>
      </c>
      <c r="D13" s="7">
        <v>53.554000000000002</v>
      </c>
      <c r="E13" s="7">
        <f t="shared" si="0"/>
        <v>589.09400000000005</v>
      </c>
      <c r="F13" s="7">
        <f t="shared" si="1"/>
        <v>121</v>
      </c>
      <c r="G13" s="7"/>
    </row>
    <row r="14" spans="1:11" x14ac:dyDescent="0.35">
      <c r="A14" t="str">
        <f>"2005-01-19"</f>
        <v>2005-01-19</v>
      </c>
      <c r="B14" t="str">
        <f>"53.4795"</f>
        <v>53.4795</v>
      </c>
      <c r="C14">
        <v>12</v>
      </c>
      <c r="D14" s="7">
        <v>53.479500000000002</v>
      </c>
      <c r="E14" s="7">
        <f t="shared" si="0"/>
        <v>641.75400000000002</v>
      </c>
      <c r="F14" s="7">
        <f t="shared" si="1"/>
        <v>144</v>
      </c>
      <c r="G14" s="7"/>
    </row>
    <row r="15" spans="1:11" x14ac:dyDescent="0.35">
      <c r="A15" t="str">
        <f>"2005-01-20"</f>
        <v>2005-01-20</v>
      </c>
      <c r="B15" t="str">
        <f>"53.258"</f>
        <v>53.258</v>
      </c>
      <c r="C15">
        <v>13</v>
      </c>
      <c r="D15" s="7">
        <v>53.258000000000003</v>
      </c>
      <c r="E15" s="7">
        <f t="shared" si="0"/>
        <v>692.35400000000004</v>
      </c>
      <c r="F15" s="7">
        <f t="shared" si="1"/>
        <v>169</v>
      </c>
      <c r="G15" s="7"/>
    </row>
    <row r="16" spans="1:11" x14ac:dyDescent="0.35">
      <c r="A16" t="str">
        <f>"2005-01-21"</f>
        <v>2005-01-21</v>
      </c>
      <c r="B16" t="str">
        <f>"52.9173"</f>
        <v>52.9173</v>
      </c>
      <c r="C16">
        <v>14</v>
      </c>
      <c r="D16" s="7">
        <v>52.917299999999997</v>
      </c>
      <c r="E16" s="7">
        <f t="shared" si="0"/>
        <v>740.84219999999993</v>
      </c>
      <c r="F16" s="7">
        <f t="shared" si="1"/>
        <v>196</v>
      </c>
      <c r="G16" s="7"/>
    </row>
    <row r="17" spans="1:7" x14ac:dyDescent="0.35">
      <c r="A17" t="str">
        <f>"2005-01-24"</f>
        <v>2005-01-24</v>
      </c>
      <c r="B17" t="str">
        <f>"53.2887"</f>
        <v>53.2887</v>
      </c>
      <c r="C17">
        <v>15</v>
      </c>
      <c r="D17" s="7">
        <v>53.288699999999999</v>
      </c>
      <c r="E17" s="7">
        <f t="shared" si="0"/>
        <v>799.33050000000003</v>
      </c>
      <c r="F17" s="7">
        <f t="shared" si="1"/>
        <v>225</v>
      </c>
      <c r="G17" s="7"/>
    </row>
    <row r="18" spans="1:7" x14ac:dyDescent="0.35">
      <c r="A18" t="str">
        <f>"2005-01-25"</f>
        <v>2005-01-25</v>
      </c>
      <c r="B18" t="str">
        <f>"55.4114"</f>
        <v>55.4114</v>
      </c>
      <c r="C18">
        <v>16</v>
      </c>
      <c r="D18" s="7">
        <v>55.4114</v>
      </c>
      <c r="E18" s="7">
        <f t="shared" si="0"/>
        <v>886.58240000000001</v>
      </c>
      <c r="F18" s="7">
        <f t="shared" si="1"/>
        <v>256</v>
      </c>
      <c r="G18" s="7"/>
    </row>
    <row r="19" spans="1:7" x14ac:dyDescent="0.35">
      <c r="A19" t="str">
        <f>"2005-01-26"</f>
        <v>2005-01-26</v>
      </c>
      <c r="B19" t="str">
        <f>"54.5942"</f>
        <v>54.5942</v>
      </c>
      <c r="C19">
        <v>17</v>
      </c>
      <c r="D19" s="7">
        <v>54.594200000000001</v>
      </c>
      <c r="E19" s="7">
        <f t="shared" si="0"/>
        <v>928.10140000000001</v>
      </c>
      <c r="F19" s="7">
        <f t="shared" si="1"/>
        <v>289</v>
      </c>
      <c r="G19" s="7"/>
    </row>
    <row r="20" spans="1:7" x14ac:dyDescent="0.35">
      <c r="A20" t="str">
        <f>"2005-01-27"</f>
        <v>2005-01-27</v>
      </c>
      <c r="B20" t="str">
        <f>"53.0172"</f>
        <v>53.0172</v>
      </c>
      <c r="C20">
        <v>18</v>
      </c>
      <c r="D20" s="7">
        <v>53.017200000000003</v>
      </c>
      <c r="E20" s="7">
        <f t="shared" si="0"/>
        <v>954.30960000000005</v>
      </c>
      <c r="F20" s="7">
        <f t="shared" si="1"/>
        <v>324</v>
      </c>
      <c r="G20" s="7"/>
    </row>
    <row r="21" spans="1:7" x14ac:dyDescent="0.35">
      <c r="A21" t="str">
        <f>"2005-01-28"</f>
        <v>2005-01-28</v>
      </c>
      <c r="B21" t="str">
        <f>"52.693"</f>
        <v>52.693</v>
      </c>
      <c r="C21">
        <v>19</v>
      </c>
      <c r="D21" s="7">
        <v>52.692999999999998</v>
      </c>
      <c r="E21" s="7">
        <f t="shared" si="0"/>
        <v>1001.1669999999999</v>
      </c>
      <c r="F21" s="7">
        <f t="shared" si="1"/>
        <v>361</v>
      </c>
      <c r="G21" s="7"/>
    </row>
    <row r="22" spans="1:7" x14ac:dyDescent="0.35">
      <c r="A22" t="str">
        <f>"2005-01-31"</f>
        <v>2005-01-31</v>
      </c>
      <c r="B22" t="str">
        <f>"53.0015"</f>
        <v>53.0015</v>
      </c>
      <c r="C22">
        <v>20</v>
      </c>
      <c r="D22" s="7">
        <v>53.0015</v>
      </c>
      <c r="E22" s="7">
        <f t="shared" si="0"/>
        <v>1060.03</v>
      </c>
      <c r="F22" s="7">
        <f t="shared" si="1"/>
        <v>400</v>
      </c>
      <c r="G22" s="7"/>
    </row>
    <row r="23" spans="1:7" x14ac:dyDescent="0.35">
      <c r="A23" t="str">
        <f>"2005-02-01"</f>
        <v>2005-02-01</v>
      </c>
      <c r="B23" t="str">
        <f>"54.4605"</f>
        <v>54.4605</v>
      </c>
      <c r="C23">
        <v>21</v>
      </c>
      <c r="D23" s="7">
        <v>54.460500000000003</v>
      </c>
      <c r="E23" s="7">
        <f t="shared" si="0"/>
        <v>1143.6705000000002</v>
      </c>
      <c r="F23" s="7">
        <f t="shared" si="1"/>
        <v>441</v>
      </c>
      <c r="G23" s="7"/>
    </row>
    <row r="24" spans="1:7" x14ac:dyDescent="0.35">
      <c r="A24" t="str">
        <f>"2005-02-02"</f>
        <v>2005-02-02</v>
      </c>
      <c r="B24" t="str">
        <f>"53.7235"</f>
        <v>53.7235</v>
      </c>
      <c r="C24">
        <v>22</v>
      </c>
      <c r="D24" s="7">
        <v>53.723500000000001</v>
      </c>
      <c r="E24" s="7">
        <f t="shared" si="0"/>
        <v>1181.9169999999999</v>
      </c>
      <c r="F24" s="7">
        <f t="shared" si="1"/>
        <v>484</v>
      </c>
      <c r="G24" s="7"/>
    </row>
    <row r="25" spans="1:7" x14ac:dyDescent="0.35">
      <c r="A25" t="str">
        <f>"2005-02-03"</f>
        <v>2005-02-03</v>
      </c>
      <c r="B25" t="str">
        <f>"52.9147"</f>
        <v>52.9147</v>
      </c>
      <c r="C25">
        <v>23</v>
      </c>
      <c r="D25" s="7">
        <v>52.914700000000003</v>
      </c>
      <c r="E25" s="7">
        <f t="shared" si="0"/>
        <v>1217.0381</v>
      </c>
      <c r="F25" s="7">
        <f t="shared" si="1"/>
        <v>529</v>
      </c>
      <c r="G25" s="7"/>
    </row>
    <row r="26" spans="1:7" x14ac:dyDescent="0.35">
      <c r="A26" t="str">
        <f>"2005-02-04"</f>
        <v>2005-02-04</v>
      </c>
      <c r="B26" t="str">
        <f>"52.7252"</f>
        <v>52.7252</v>
      </c>
      <c r="C26">
        <v>24</v>
      </c>
      <c r="D26" s="7">
        <v>52.725200000000001</v>
      </c>
      <c r="E26" s="7">
        <f t="shared" si="0"/>
        <v>1265.4048</v>
      </c>
      <c r="F26" s="7">
        <f t="shared" si="1"/>
        <v>576</v>
      </c>
      <c r="G26" s="7"/>
    </row>
    <row r="27" spans="1:7" x14ac:dyDescent="0.35">
      <c r="A27" t="str">
        <f>"2005-02-07"</f>
        <v>2005-02-07</v>
      </c>
      <c r="B27" t="str">
        <f>"53.862"</f>
        <v>53.862</v>
      </c>
      <c r="C27">
        <v>25</v>
      </c>
      <c r="D27" s="7">
        <v>53.862000000000002</v>
      </c>
      <c r="E27" s="7">
        <f t="shared" si="0"/>
        <v>1346.55</v>
      </c>
      <c r="F27" s="7">
        <f t="shared" si="1"/>
        <v>625</v>
      </c>
      <c r="G27" s="7"/>
    </row>
    <row r="28" spans="1:7" x14ac:dyDescent="0.35">
      <c r="A28" t="str">
        <f>"2005-02-08"</f>
        <v>2005-02-08</v>
      </c>
      <c r="B28" t="str">
        <f>"52.5074"</f>
        <v>52.5074</v>
      </c>
      <c r="C28">
        <v>26</v>
      </c>
      <c r="D28" s="7">
        <v>52.507399999999997</v>
      </c>
      <c r="E28" s="7">
        <f t="shared" si="0"/>
        <v>1365.1923999999999</v>
      </c>
      <c r="F28" s="7">
        <f t="shared" si="1"/>
        <v>676</v>
      </c>
      <c r="G28" s="7"/>
    </row>
    <row r="29" spans="1:7" x14ac:dyDescent="0.35">
      <c r="A29" t="str">
        <f>"2005-02-09"</f>
        <v>2005-02-09</v>
      </c>
      <c r="B29" t="str">
        <f>"51.6727"</f>
        <v>51.6727</v>
      </c>
      <c r="C29">
        <v>27</v>
      </c>
      <c r="D29" s="7">
        <v>51.672699999999999</v>
      </c>
      <c r="E29" s="7">
        <f t="shared" si="0"/>
        <v>1395.1629</v>
      </c>
      <c r="F29" s="7">
        <f t="shared" si="1"/>
        <v>729</v>
      </c>
      <c r="G29" s="7"/>
    </row>
    <row r="30" spans="1:7" x14ac:dyDescent="0.35">
      <c r="A30" t="str">
        <f>"2005-02-10"</f>
        <v>2005-02-10</v>
      </c>
      <c r="B30" t="str">
        <f>"51.1786"</f>
        <v>51.1786</v>
      </c>
      <c r="C30">
        <v>28</v>
      </c>
      <c r="D30" s="7">
        <v>51.178600000000003</v>
      </c>
      <c r="E30" s="7">
        <f t="shared" si="0"/>
        <v>1433.0008</v>
      </c>
      <c r="F30" s="7">
        <f t="shared" si="1"/>
        <v>784</v>
      </c>
      <c r="G30" s="7"/>
    </row>
    <row r="31" spans="1:7" x14ac:dyDescent="0.35">
      <c r="A31" t="str">
        <f>"2005-02-11"</f>
        <v>2005-02-11</v>
      </c>
      <c r="B31" t="str">
        <f>"51.2587"</f>
        <v>51.2587</v>
      </c>
      <c r="C31">
        <v>29</v>
      </c>
      <c r="D31" s="7">
        <v>51.258699999999997</v>
      </c>
      <c r="E31" s="7">
        <f t="shared" si="0"/>
        <v>1486.5022999999999</v>
      </c>
      <c r="F31" s="7">
        <f t="shared" si="1"/>
        <v>841</v>
      </c>
      <c r="G31" s="7"/>
    </row>
    <row r="32" spans="1:7" x14ac:dyDescent="0.35">
      <c r="A32" t="str">
        <f>"2005-02-14"</f>
        <v>2005-02-14</v>
      </c>
      <c r="B32" t="str">
        <f>"51.6373"</f>
        <v>51.6373</v>
      </c>
      <c r="C32">
        <v>30</v>
      </c>
      <c r="D32" s="7">
        <v>51.637300000000003</v>
      </c>
      <c r="E32" s="7">
        <f t="shared" si="0"/>
        <v>1549.1190000000001</v>
      </c>
      <c r="F32" s="7">
        <f t="shared" si="1"/>
        <v>900</v>
      </c>
      <c r="G32" s="7"/>
    </row>
    <row r="33" spans="1:24" x14ac:dyDescent="0.35">
      <c r="A33" t="str">
        <f>"2005-02-15"</f>
        <v>2005-02-15</v>
      </c>
      <c r="B33" t="str">
        <f>"52.6256"</f>
        <v>52.6256</v>
      </c>
      <c r="C33">
        <v>31</v>
      </c>
      <c r="D33" s="7">
        <v>52.625599999999999</v>
      </c>
      <c r="E33" s="7">
        <f t="shared" si="0"/>
        <v>1631.3935999999999</v>
      </c>
      <c r="F33" s="7">
        <f t="shared" si="1"/>
        <v>961</v>
      </c>
      <c r="G33" s="7"/>
      <c r="P33" s="6" t="s">
        <v>8228</v>
      </c>
      <c r="Q33" s="6"/>
      <c r="R33" s="6"/>
      <c r="S33" s="6"/>
      <c r="T33" s="6"/>
      <c r="U33" s="6"/>
    </row>
    <row r="34" spans="1:24" x14ac:dyDescent="0.35">
      <c r="A34" t="str">
        <f>"2005-02-16"</f>
        <v>2005-02-16</v>
      </c>
      <c r="B34" t="str">
        <f>"51.81"</f>
        <v>51.81</v>
      </c>
      <c r="C34">
        <v>32</v>
      </c>
      <c r="D34" s="7">
        <v>51.81</v>
      </c>
      <c r="E34" s="7">
        <f t="shared" si="0"/>
        <v>1657.92</v>
      </c>
      <c r="F34" s="7">
        <f t="shared" si="1"/>
        <v>1024</v>
      </c>
      <c r="G34" s="7"/>
      <c r="P34" s="3">
        <f>R34*S34+U34</f>
        <v>80.998800000000003</v>
      </c>
      <c r="Q34" s="4" t="s">
        <v>8221</v>
      </c>
      <c r="R34" s="3">
        <v>5.5999999999999999E-3</v>
      </c>
      <c r="S34" s="3">
        <v>5343</v>
      </c>
      <c r="T34" s="4" t="s">
        <v>8227</v>
      </c>
      <c r="U34" s="3">
        <v>51.078000000000003</v>
      </c>
      <c r="W34" t="s">
        <v>8229</v>
      </c>
      <c r="X34">
        <f>DEGREES(R34)</f>
        <v>0.320856365273261</v>
      </c>
    </row>
    <row r="35" spans="1:24" x14ac:dyDescent="0.35">
      <c r="A35" t="str">
        <f>"2005-02-17"</f>
        <v>2005-02-17</v>
      </c>
      <c r="B35" t="str">
        <f>"52.0469"</f>
        <v>52.0469</v>
      </c>
      <c r="C35">
        <v>33</v>
      </c>
      <c r="D35" s="7">
        <v>52.046900000000001</v>
      </c>
      <c r="E35" s="7">
        <f t="shared" si="0"/>
        <v>1717.5477000000001</v>
      </c>
      <c r="F35" s="7">
        <f t="shared" si="1"/>
        <v>1089</v>
      </c>
      <c r="G35" s="7"/>
      <c r="X35">
        <f>ATAN(R34) * (180 / PI())</f>
        <v>0.32085301131783051</v>
      </c>
    </row>
    <row r="36" spans="1:24" x14ac:dyDescent="0.35">
      <c r="A36" t="str">
        <f>"2005-02-18"</f>
        <v>2005-02-18</v>
      </c>
      <c r="B36" t="str">
        <f>"50.872"</f>
        <v>50.872</v>
      </c>
      <c r="C36">
        <v>34</v>
      </c>
      <c r="D36" s="7">
        <v>50.872</v>
      </c>
      <c r="E36" s="7">
        <f t="shared" si="0"/>
        <v>1729.6479999999999</v>
      </c>
      <c r="F36" s="7">
        <f t="shared" si="1"/>
        <v>1156</v>
      </c>
      <c r="G36" s="7"/>
    </row>
    <row r="37" spans="1:24" x14ac:dyDescent="0.35">
      <c r="A37" t="str">
        <f>"2005-02-22"</f>
        <v>2005-02-22</v>
      </c>
      <c r="B37" t="str">
        <f>"49.8065"</f>
        <v>49.8065</v>
      </c>
      <c r="C37">
        <v>35</v>
      </c>
      <c r="D37" s="7">
        <v>49.8065</v>
      </c>
      <c r="E37" s="7">
        <f t="shared" si="0"/>
        <v>1743.2275</v>
      </c>
      <c r="F37" s="7">
        <f t="shared" si="1"/>
        <v>1225</v>
      </c>
      <c r="G37" s="7"/>
    </row>
    <row r="38" spans="1:24" x14ac:dyDescent="0.35">
      <c r="A38" t="str">
        <f>"2005-02-23"</f>
        <v>2005-02-23</v>
      </c>
      <c r="B38" t="str">
        <f>"48.7958"</f>
        <v>48.7958</v>
      </c>
      <c r="C38">
        <v>36</v>
      </c>
      <c r="D38" s="7">
        <v>48.7958</v>
      </c>
      <c r="E38" s="7">
        <f t="shared" si="0"/>
        <v>1756.6487999999999</v>
      </c>
      <c r="F38" s="7">
        <f t="shared" si="1"/>
        <v>1296</v>
      </c>
      <c r="G38" s="7"/>
    </row>
    <row r="39" spans="1:24" x14ac:dyDescent="0.35">
      <c r="A39" t="str">
        <f>"2005-02-24"</f>
        <v>2005-02-24</v>
      </c>
      <c r="B39" t="str">
        <f>"49.6148"</f>
        <v>49.6148</v>
      </c>
      <c r="C39">
        <v>37</v>
      </c>
      <c r="D39" s="7">
        <v>49.614800000000002</v>
      </c>
      <c r="E39" s="7">
        <f t="shared" si="0"/>
        <v>1835.7476000000001</v>
      </c>
      <c r="F39" s="7">
        <f t="shared" si="1"/>
        <v>1369</v>
      </c>
      <c r="G39" s="7"/>
    </row>
    <row r="40" spans="1:24" x14ac:dyDescent="0.35">
      <c r="A40" t="str">
        <f>"2005-02-25"</f>
        <v>2005-02-25</v>
      </c>
      <c r="B40" t="str">
        <f>"50.5592"</f>
        <v>50.5592</v>
      </c>
      <c r="C40">
        <v>38</v>
      </c>
      <c r="D40" s="7">
        <v>50.559199999999997</v>
      </c>
      <c r="E40" s="7">
        <f t="shared" si="0"/>
        <v>1921.2495999999999</v>
      </c>
      <c r="F40" s="7">
        <f t="shared" si="1"/>
        <v>1444</v>
      </c>
      <c r="G40" s="7"/>
    </row>
    <row r="41" spans="1:24" x14ac:dyDescent="0.35">
      <c r="A41" t="str">
        <f>"2005-02-28"</f>
        <v>2005-02-28</v>
      </c>
      <c r="B41" t="str">
        <f>"52.3201"</f>
        <v>52.3201</v>
      </c>
      <c r="C41">
        <v>39</v>
      </c>
      <c r="D41" s="7">
        <v>52.320099999999996</v>
      </c>
      <c r="E41" s="7">
        <f t="shared" si="0"/>
        <v>2040.4838999999999</v>
      </c>
      <c r="F41" s="7">
        <f t="shared" si="1"/>
        <v>1521</v>
      </c>
      <c r="G41" s="7"/>
    </row>
    <row r="42" spans="1:24" x14ac:dyDescent="0.35">
      <c r="A42" t="str">
        <f>"2005-03-01"</f>
        <v>2005-03-01</v>
      </c>
      <c r="B42" t="str">
        <f>"52.3578"</f>
        <v>52.3578</v>
      </c>
      <c r="C42">
        <v>40</v>
      </c>
      <c r="D42" s="7">
        <v>52.357799999999997</v>
      </c>
      <c r="E42" s="7">
        <f t="shared" si="0"/>
        <v>2094.3119999999999</v>
      </c>
      <c r="F42" s="7">
        <f t="shared" si="1"/>
        <v>1600</v>
      </c>
      <c r="G42" s="7"/>
    </row>
    <row r="43" spans="1:24" x14ac:dyDescent="0.35">
      <c r="A43" t="str">
        <f>"2005-03-02"</f>
        <v>2005-03-02</v>
      </c>
      <c r="B43" t="str">
        <f>"50.905"</f>
        <v>50.905</v>
      </c>
      <c r="C43">
        <v>41</v>
      </c>
      <c r="D43" s="7">
        <v>50.905000000000001</v>
      </c>
      <c r="E43" s="7">
        <f t="shared" si="0"/>
        <v>2087.105</v>
      </c>
      <c r="F43" s="7">
        <f t="shared" si="1"/>
        <v>1681</v>
      </c>
      <c r="G43" s="7"/>
    </row>
    <row r="44" spans="1:24" x14ac:dyDescent="0.35">
      <c r="A44" t="str">
        <f>"2005-03-03"</f>
        <v>2005-03-03</v>
      </c>
      <c r="B44" t="str">
        <f>"51.6068"</f>
        <v>51.6068</v>
      </c>
      <c r="C44">
        <v>42</v>
      </c>
      <c r="D44" s="7">
        <v>51.6068</v>
      </c>
      <c r="E44" s="7">
        <f t="shared" si="0"/>
        <v>2167.4856</v>
      </c>
      <c r="F44" s="7">
        <f t="shared" si="1"/>
        <v>1764</v>
      </c>
      <c r="G44" s="7"/>
    </row>
    <row r="45" spans="1:24" x14ac:dyDescent="0.35">
      <c r="A45" t="str">
        <f>"2005-03-04"</f>
        <v>2005-03-04</v>
      </c>
      <c r="B45" t="str">
        <f>"52.1967"</f>
        <v>52.1967</v>
      </c>
      <c r="C45">
        <v>43</v>
      </c>
      <c r="D45" s="7">
        <v>52.1967</v>
      </c>
      <c r="E45" s="7">
        <f t="shared" si="0"/>
        <v>2244.4580999999998</v>
      </c>
      <c r="F45" s="7">
        <f t="shared" si="1"/>
        <v>1849</v>
      </c>
      <c r="G45" s="7"/>
    </row>
    <row r="46" spans="1:24" x14ac:dyDescent="0.35">
      <c r="A46" t="str">
        <f>"2005-03-07"</f>
        <v>2005-03-07</v>
      </c>
      <c r="B46" t="str">
        <f>"51.9556"</f>
        <v>51.9556</v>
      </c>
      <c r="C46">
        <v>44</v>
      </c>
      <c r="D46" s="7">
        <v>51.955599999999997</v>
      </c>
      <c r="E46" s="7">
        <f t="shared" si="0"/>
        <v>2286.0463999999997</v>
      </c>
      <c r="F46" s="7">
        <f t="shared" si="1"/>
        <v>1936</v>
      </c>
      <c r="G46" s="7"/>
    </row>
    <row r="47" spans="1:24" x14ac:dyDescent="0.35">
      <c r="A47" t="str">
        <f>"2005-03-08"</f>
        <v>2005-03-08</v>
      </c>
      <c r="B47" t="str">
        <f>"50.7992"</f>
        <v>50.7992</v>
      </c>
      <c r="C47">
        <v>45</v>
      </c>
      <c r="D47" s="7">
        <v>50.799199999999999</v>
      </c>
      <c r="E47" s="7">
        <f t="shared" si="0"/>
        <v>2285.9639999999999</v>
      </c>
      <c r="F47" s="7">
        <f t="shared" si="1"/>
        <v>2025</v>
      </c>
      <c r="G47" s="7"/>
    </row>
    <row r="48" spans="1:24" x14ac:dyDescent="0.35">
      <c r="A48" t="str">
        <f>"2005-03-09"</f>
        <v>2005-03-09</v>
      </c>
      <c r="B48" t="str">
        <f>"50.0562"</f>
        <v>50.0562</v>
      </c>
      <c r="C48">
        <v>46</v>
      </c>
      <c r="D48" s="7">
        <v>50.056199999999997</v>
      </c>
      <c r="E48" s="7">
        <f t="shared" si="0"/>
        <v>2302.5852</v>
      </c>
      <c r="F48" s="7">
        <f t="shared" si="1"/>
        <v>2116</v>
      </c>
      <c r="G48" s="7"/>
    </row>
    <row r="49" spans="1:7" x14ac:dyDescent="0.35">
      <c r="A49" t="str">
        <f>"2005-03-10"</f>
        <v>2005-03-10</v>
      </c>
      <c r="B49" t="str">
        <f>"48.9218"</f>
        <v>48.9218</v>
      </c>
      <c r="C49">
        <v>47</v>
      </c>
      <c r="D49" s="7">
        <v>48.921799999999998</v>
      </c>
      <c r="E49" s="7">
        <f t="shared" si="0"/>
        <v>2299.3245999999999</v>
      </c>
      <c r="F49" s="7">
        <f t="shared" si="1"/>
        <v>2209</v>
      </c>
      <c r="G49" s="7"/>
    </row>
    <row r="50" spans="1:7" x14ac:dyDescent="0.35">
      <c r="A50" t="str">
        <f>"2005-03-11"</f>
        <v>2005-03-11</v>
      </c>
      <c r="B50" t="str">
        <f>"49.3997"</f>
        <v>49.3997</v>
      </c>
      <c r="C50">
        <v>48</v>
      </c>
      <c r="D50" s="7">
        <v>49.399700000000003</v>
      </c>
      <c r="E50" s="7">
        <f t="shared" si="0"/>
        <v>2371.1856000000002</v>
      </c>
      <c r="F50" s="7">
        <f t="shared" si="1"/>
        <v>2304</v>
      </c>
      <c r="G50" s="7"/>
    </row>
    <row r="51" spans="1:7" x14ac:dyDescent="0.35">
      <c r="A51" t="str">
        <f>"2005-03-14"</f>
        <v>2005-03-14</v>
      </c>
      <c r="B51" t="str">
        <f>"47.9014"</f>
        <v>47.9014</v>
      </c>
      <c r="C51">
        <v>49</v>
      </c>
      <c r="D51" s="7">
        <v>47.901400000000002</v>
      </c>
      <c r="E51" s="7">
        <f t="shared" si="0"/>
        <v>2347.1686</v>
      </c>
      <c r="F51" s="7">
        <f t="shared" si="1"/>
        <v>2401</v>
      </c>
      <c r="G51" s="7"/>
    </row>
    <row r="52" spans="1:7" x14ac:dyDescent="0.35">
      <c r="A52" t="str">
        <f>"2005-03-15"</f>
        <v>2005-03-15</v>
      </c>
      <c r="B52" t="str">
        <f>"47.0642"</f>
        <v>47.0642</v>
      </c>
      <c r="C52">
        <v>50</v>
      </c>
      <c r="D52" s="7">
        <v>47.0642</v>
      </c>
      <c r="E52" s="7">
        <f t="shared" si="0"/>
        <v>2353.21</v>
      </c>
      <c r="F52" s="7">
        <f t="shared" si="1"/>
        <v>2500</v>
      </c>
      <c r="G52" s="7"/>
    </row>
    <row r="53" spans="1:7" x14ac:dyDescent="0.35">
      <c r="A53" t="str">
        <f>"2005-03-16"</f>
        <v>2005-03-16</v>
      </c>
      <c r="B53" t="str">
        <f>"46.9988"</f>
        <v>46.9988</v>
      </c>
      <c r="C53">
        <v>51</v>
      </c>
      <c r="D53" s="7">
        <v>46.998800000000003</v>
      </c>
      <c r="E53" s="7">
        <f t="shared" si="0"/>
        <v>2396.9388000000004</v>
      </c>
      <c r="F53" s="7">
        <f t="shared" si="1"/>
        <v>2601</v>
      </c>
      <c r="G53" s="7"/>
    </row>
    <row r="54" spans="1:7" x14ac:dyDescent="0.35">
      <c r="A54" t="str">
        <f>"2005-03-17"</f>
        <v>2005-03-17</v>
      </c>
      <c r="B54" t="str">
        <f>"45.0892"</f>
        <v>45.0892</v>
      </c>
      <c r="C54">
        <v>52</v>
      </c>
      <c r="D54" s="7">
        <v>45.089199999999998</v>
      </c>
      <c r="E54" s="7">
        <f t="shared" si="0"/>
        <v>2344.6383999999998</v>
      </c>
      <c r="F54" s="7">
        <f t="shared" si="1"/>
        <v>2704</v>
      </c>
      <c r="G54" s="7"/>
    </row>
    <row r="55" spans="1:7" x14ac:dyDescent="0.35">
      <c r="A55" t="str">
        <f>"2005-03-18"</f>
        <v>2005-03-18</v>
      </c>
      <c r="B55" t="str">
        <f>"45.7446"</f>
        <v>45.7446</v>
      </c>
      <c r="C55">
        <v>53</v>
      </c>
      <c r="D55" s="7">
        <v>45.744599999999998</v>
      </c>
      <c r="E55" s="7">
        <f t="shared" si="0"/>
        <v>2424.4638</v>
      </c>
      <c r="F55" s="7">
        <f t="shared" si="1"/>
        <v>2809</v>
      </c>
      <c r="G55" s="7"/>
    </row>
    <row r="56" spans="1:7" x14ac:dyDescent="0.35">
      <c r="A56" t="str">
        <f>"2005-03-21"</f>
        <v>2005-03-21</v>
      </c>
      <c r="B56" t="str">
        <f>"44.8883"</f>
        <v>44.8883</v>
      </c>
      <c r="C56">
        <v>54</v>
      </c>
      <c r="D56" s="7">
        <v>44.888300000000001</v>
      </c>
      <c r="E56" s="7">
        <f t="shared" si="0"/>
        <v>2423.9682000000003</v>
      </c>
      <c r="F56" s="7">
        <f t="shared" si="1"/>
        <v>2916</v>
      </c>
      <c r="G56" s="7"/>
    </row>
    <row r="57" spans="1:7" x14ac:dyDescent="0.35">
      <c r="A57" t="str">
        <f>"2005-03-22"</f>
        <v>2005-03-22</v>
      </c>
      <c r="B57" t="str">
        <f>"45.13"</f>
        <v>45.13</v>
      </c>
      <c r="C57">
        <v>55</v>
      </c>
      <c r="D57" s="7">
        <v>45.13</v>
      </c>
      <c r="E57" s="7">
        <f t="shared" si="0"/>
        <v>2482.15</v>
      </c>
      <c r="F57" s="7">
        <f t="shared" si="1"/>
        <v>3025</v>
      </c>
      <c r="G57" s="7"/>
    </row>
    <row r="58" spans="1:7" x14ac:dyDescent="0.35">
      <c r="A58" t="str">
        <f>"2005-03-23"</f>
        <v>2005-03-23</v>
      </c>
      <c r="B58" t="str">
        <f>"44.3989"</f>
        <v>44.3989</v>
      </c>
      <c r="C58">
        <v>56</v>
      </c>
      <c r="D58" s="7">
        <v>44.398899999999998</v>
      </c>
      <c r="E58" s="7">
        <f t="shared" si="0"/>
        <v>2486.3383999999996</v>
      </c>
      <c r="F58" s="7">
        <f t="shared" si="1"/>
        <v>3136</v>
      </c>
      <c r="G58" s="7"/>
    </row>
    <row r="59" spans="1:7" x14ac:dyDescent="0.35">
      <c r="A59" t="str">
        <f>"2005-03-24"</f>
        <v>2005-03-24</v>
      </c>
      <c r="B59" t="str">
        <f>"44.6124"</f>
        <v>44.6124</v>
      </c>
      <c r="C59">
        <v>57</v>
      </c>
      <c r="D59" s="7">
        <v>44.612400000000001</v>
      </c>
      <c r="E59" s="7">
        <f t="shared" si="0"/>
        <v>2542.9068000000002</v>
      </c>
      <c r="F59" s="7">
        <f t="shared" si="1"/>
        <v>3249</v>
      </c>
      <c r="G59" s="7"/>
    </row>
    <row r="60" spans="1:7" x14ac:dyDescent="0.35">
      <c r="A60" t="str">
        <f>"2005-03-28"</f>
        <v>2005-03-28</v>
      </c>
      <c r="B60" t="str">
        <f>"43.0105"</f>
        <v>43.0105</v>
      </c>
      <c r="C60">
        <v>58</v>
      </c>
      <c r="D60" s="7">
        <v>43.0105</v>
      </c>
      <c r="E60" s="7">
        <f t="shared" si="0"/>
        <v>2494.6089999999999</v>
      </c>
      <c r="F60" s="7">
        <f t="shared" si="1"/>
        <v>3364</v>
      </c>
      <c r="G60" s="7"/>
    </row>
    <row r="61" spans="1:7" x14ac:dyDescent="0.35">
      <c r="A61" t="str">
        <f>"2005-03-29"</f>
        <v>2005-03-29</v>
      </c>
      <c r="B61" t="str">
        <f>"41.3566"</f>
        <v>41.3566</v>
      </c>
      <c r="C61">
        <v>59</v>
      </c>
      <c r="D61" s="7">
        <v>41.3566</v>
      </c>
      <c r="E61" s="7">
        <f t="shared" si="0"/>
        <v>2440.0394000000001</v>
      </c>
      <c r="F61" s="7">
        <f t="shared" si="1"/>
        <v>3481</v>
      </c>
      <c r="G61" s="7"/>
    </row>
    <row r="62" spans="1:7" x14ac:dyDescent="0.35">
      <c r="A62" t="str">
        <f>"2005-03-31"</f>
        <v>2005-03-31</v>
      </c>
      <c r="B62" t="str">
        <f>"43.3232"</f>
        <v>43.3232</v>
      </c>
      <c r="C62">
        <v>60</v>
      </c>
      <c r="D62" s="7">
        <v>43.3232</v>
      </c>
      <c r="E62" s="7">
        <f t="shared" si="0"/>
        <v>2599.3919999999998</v>
      </c>
      <c r="F62" s="7">
        <f t="shared" si="1"/>
        <v>3600</v>
      </c>
      <c r="G62" s="7"/>
    </row>
    <row r="63" spans="1:7" x14ac:dyDescent="0.35">
      <c r="A63" t="str">
        <f>"2005-04-01"</f>
        <v>2005-04-01</v>
      </c>
      <c r="B63" t="str">
        <f>"45.2746"</f>
        <v>45.2746</v>
      </c>
      <c r="C63">
        <v>61</v>
      </c>
      <c r="D63" s="7">
        <v>45.2746</v>
      </c>
      <c r="E63" s="7">
        <f t="shared" si="0"/>
        <v>2761.7505999999998</v>
      </c>
      <c r="F63" s="7">
        <f t="shared" si="1"/>
        <v>3721</v>
      </c>
      <c r="G63" s="7"/>
    </row>
    <row r="64" spans="1:7" x14ac:dyDescent="0.35">
      <c r="A64" t="str">
        <f>"2005-04-04"</f>
        <v>2005-04-04</v>
      </c>
      <c r="B64" t="str">
        <f>"44.3391"</f>
        <v>44.3391</v>
      </c>
      <c r="C64">
        <v>62</v>
      </c>
      <c r="D64" s="7">
        <v>44.339100000000002</v>
      </c>
      <c r="E64" s="7">
        <f t="shared" si="0"/>
        <v>2749.0242000000003</v>
      </c>
      <c r="F64" s="7">
        <f t="shared" si="1"/>
        <v>3844</v>
      </c>
      <c r="G64" s="7"/>
    </row>
    <row r="65" spans="1:7" x14ac:dyDescent="0.35">
      <c r="A65" t="str">
        <f>"2005-04-05"</f>
        <v>2005-04-05</v>
      </c>
      <c r="B65" t="str">
        <f>"44.5706"</f>
        <v>44.5706</v>
      </c>
      <c r="C65">
        <v>63</v>
      </c>
      <c r="D65" s="7">
        <v>44.570599999999999</v>
      </c>
      <c r="E65" s="7">
        <f t="shared" si="0"/>
        <v>2807.9477999999999</v>
      </c>
      <c r="F65" s="7">
        <f t="shared" si="1"/>
        <v>3969</v>
      </c>
      <c r="G65" s="7"/>
    </row>
    <row r="66" spans="1:7" x14ac:dyDescent="0.35">
      <c r="A66" t="str">
        <f>"2005-04-06"</f>
        <v>2005-04-06</v>
      </c>
      <c r="B66" t="str">
        <f>"45.114"</f>
        <v>45.114</v>
      </c>
      <c r="C66">
        <v>64</v>
      </c>
      <c r="D66" s="7">
        <v>45.113999999999997</v>
      </c>
      <c r="E66" s="7">
        <f t="shared" si="0"/>
        <v>2887.2959999999998</v>
      </c>
      <c r="F66" s="7">
        <f t="shared" si="1"/>
        <v>4096</v>
      </c>
      <c r="G66" s="7"/>
    </row>
    <row r="67" spans="1:7" x14ac:dyDescent="0.35">
      <c r="A67" t="str">
        <f>"2005-04-07"</f>
        <v>2005-04-07</v>
      </c>
      <c r="B67" t="str">
        <f>"44.3641"</f>
        <v>44.3641</v>
      </c>
      <c r="C67">
        <v>65</v>
      </c>
      <c r="D67" s="7">
        <v>44.364100000000001</v>
      </c>
      <c r="E67" s="7">
        <f t="shared" si="0"/>
        <v>2883.6664999999998</v>
      </c>
      <c r="F67" s="7">
        <f t="shared" si="1"/>
        <v>4225</v>
      </c>
      <c r="G67" s="7"/>
    </row>
    <row r="68" spans="1:7" x14ac:dyDescent="0.35">
      <c r="A68" t="str">
        <f>"2005-04-08"</f>
        <v>2005-04-08</v>
      </c>
      <c r="B68" t="str">
        <f>"44.2403"</f>
        <v>44.2403</v>
      </c>
      <c r="C68">
        <v>66</v>
      </c>
      <c r="D68" s="7">
        <v>44.240299999999998</v>
      </c>
      <c r="E68" s="7">
        <f t="shared" ref="E68:E131" si="2">C68*D68</f>
        <v>2919.8597999999997</v>
      </c>
      <c r="F68" s="7">
        <f t="shared" ref="F68:F131" si="3">C68*C68</f>
        <v>4356</v>
      </c>
      <c r="G68" s="7"/>
    </row>
    <row r="69" spans="1:7" x14ac:dyDescent="0.35">
      <c r="A69" t="str">
        <f>"2005-04-11"</f>
        <v>2005-04-11</v>
      </c>
      <c r="B69" t="str">
        <f>"42.7937"</f>
        <v>42.7937</v>
      </c>
      <c r="C69">
        <v>67</v>
      </c>
      <c r="D69" s="7">
        <v>42.793700000000001</v>
      </c>
      <c r="E69" s="7">
        <f t="shared" si="2"/>
        <v>2867.1779000000001</v>
      </c>
      <c r="F69" s="7">
        <f t="shared" si="3"/>
        <v>4489</v>
      </c>
      <c r="G69" s="7"/>
    </row>
    <row r="70" spans="1:7" x14ac:dyDescent="0.35">
      <c r="A70" t="str">
        <f>"2005-04-12"</f>
        <v>2005-04-12</v>
      </c>
      <c r="B70" t="str">
        <f>"42.4559"</f>
        <v>42.4559</v>
      </c>
      <c r="C70">
        <v>68</v>
      </c>
      <c r="D70" s="7">
        <v>42.4559</v>
      </c>
      <c r="E70" s="7">
        <f t="shared" si="2"/>
        <v>2887.0012000000002</v>
      </c>
      <c r="F70" s="7">
        <f t="shared" si="3"/>
        <v>4624</v>
      </c>
      <c r="G70" s="7"/>
    </row>
    <row r="71" spans="1:7" x14ac:dyDescent="0.35">
      <c r="A71" t="str">
        <f>"2005-04-13"</f>
        <v>2005-04-13</v>
      </c>
      <c r="B71" t="str">
        <f>"41.1682"</f>
        <v>41.1682</v>
      </c>
      <c r="C71">
        <v>69</v>
      </c>
      <c r="D71" s="7">
        <v>41.168199999999999</v>
      </c>
      <c r="E71" s="7">
        <f t="shared" si="2"/>
        <v>2840.6057999999998</v>
      </c>
      <c r="F71" s="7">
        <f t="shared" si="3"/>
        <v>4761</v>
      </c>
      <c r="G71" s="7"/>
    </row>
    <row r="72" spans="1:7" x14ac:dyDescent="0.35">
      <c r="A72" t="str">
        <f>"2005-04-14"</f>
        <v>2005-04-14</v>
      </c>
      <c r="B72" t="str">
        <f>"39.8958"</f>
        <v>39.8958</v>
      </c>
      <c r="C72">
        <v>70</v>
      </c>
      <c r="D72" s="7">
        <v>39.895800000000001</v>
      </c>
      <c r="E72" s="7">
        <f t="shared" si="2"/>
        <v>2792.7060000000001</v>
      </c>
      <c r="F72" s="7">
        <f t="shared" si="3"/>
        <v>4900</v>
      </c>
      <c r="G72" s="7"/>
    </row>
    <row r="73" spans="1:7" x14ac:dyDescent="0.35">
      <c r="A73" t="str">
        <f>"2005-04-15"</f>
        <v>2005-04-15</v>
      </c>
      <c r="B73" t="str">
        <f>"37.4294"</f>
        <v>37.4294</v>
      </c>
      <c r="C73">
        <v>71</v>
      </c>
      <c r="D73" s="7">
        <v>37.429400000000001</v>
      </c>
      <c r="E73" s="7">
        <f t="shared" si="2"/>
        <v>2657.4874</v>
      </c>
      <c r="F73" s="7">
        <f t="shared" si="3"/>
        <v>5041</v>
      </c>
      <c r="G73" s="7"/>
    </row>
    <row r="74" spans="1:7" x14ac:dyDescent="0.35">
      <c r="A74" t="str">
        <f>"2005-04-18"</f>
        <v>2005-04-18</v>
      </c>
      <c r="B74" t="str">
        <f>"35.7181"</f>
        <v>35.7181</v>
      </c>
      <c r="C74">
        <v>72</v>
      </c>
      <c r="D74" s="7">
        <v>35.7181</v>
      </c>
      <c r="E74" s="7">
        <f t="shared" si="2"/>
        <v>2571.7031999999999</v>
      </c>
      <c r="F74" s="7">
        <f t="shared" si="3"/>
        <v>5184</v>
      </c>
      <c r="G74" s="7"/>
    </row>
    <row r="75" spans="1:7" x14ac:dyDescent="0.35">
      <c r="A75" t="str">
        <f>"2005-04-19"</f>
        <v>2005-04-19</v>
      </c>
      <c r="B75" t="str">
        <f>"36.1493"</f>
        <v>36.1493</v>
      </c>
      <c r="C75">
        <v>73</v>
      </c>
      <c r="D75" s="7">
        <v>36.149299999999997</v>
      </c>
      <c r="E75" s="7">
        <f t="shared" si="2"/>
        <v>2638.8988999999997</v>
      </c>
      <c r="F75" s="7">
        <f t="shared" si="3"/>
        <v>5329</v>
      </c>
      <c r="G75" s="7"/>
    </row>
    <row r="76" spans="1:7" x14ac:dyDescent="0.35">
      <c r="A76" t="str">
        <f>"2005-04-20"</f>
        <v>2005-04-20</v>
      </c>
      <c r="B76" t="str">
        <f>"37.5713"</f>
        <v>37.5713</v>
      </c>
      <c r="C76">
        <v>74</v>
      </c>
      <c r="D76" s="7">
        <v>37.571300000000001</v>
      </c>
      <c r="E76" s="7">
        <f t="shared" si="2"/>
        <v>2780.2762000000002</v>
      </c>
      <c r="F76" s="7">
        <f t="shared" si="3"/>
        <v>5476</v>
      </c>
      <c r="G76" s="7"/>
    </row>
    <row r="77" spans="1:7" x14ac:dyDescent="0.35">
      <c r="A77" t="str">
        <f>"2005-04-21"</f>
        <v>2005-04-21</v>
      </c>
      <c r="B77" t="str">
        <f>"39.1096"</f>
        <v>39.1096</v>
      </c>
      <c r="C77">
        <v>75</v>
      </c>
      <c r="D77" s="7">
        <v>39.1096</v>
      </c>
      <c r="E77" s="7">
        <f t="shared" si="2"/>
        <v>2933.2200000000003</v>
      </c>
      <c r="F77" s="7">
        <f t="shared" si="3"/>
        <v>5625</v>
      </c>
      <c r="G77" s="7"/>
    </row>
    <row r="78" spans="1:7" x14ac:dyDescent="0.35">
      <c r="A78" t="str">
        <f>"2005-04-22"</f>
        <v>2005-04-22</v>
      </c>
      <c r="B78" t="str">
        <f>"38.2453"</f>
        <v>38.2453</v>
      </c>
      <c r="C78">
        <v>76</v>
      </c>
      <c r="D78" s="7">
        <v>38.2453</v>
      </c>
      <c r="E78" s="7">
        <f t="shared" si="2"/>
        <v>2906.6428000000001</v>
      </c>
      <c r="F78" s="7">
        <f t="shared" si="3"/>
        <v>5776</v>
      </c>
      <c r="G78" s="7"/>
    </row>
    <row r="79" spans="1:7" x14ac:dyDescent="0.35">
      <c r="A79" t="str">
        <f>"2005-04-25"</f>
        <v>2005-04-25</v>
      </c>
      <c r="B79" t="str">
        <f>"37.2867"</f>
        <v>37.2867</v>
      </c>
      <c r="C79">
        <v>77</v>
      </c>
      <c r="D79" s="7">
        <v>37.286700000000003</v>
      </c>
      <c r="E79" s="7">
        <f t="shared" si="2"/>
        <v>2871.0759000000003</v>
      </c>
      <c r="F79" s="7">
        <f t="shared" si="3"/>
        <v>5929</v>
      </c>
      <c r="G79" s="7"/>
    </row>
    <row r="80" spans="1:7" x14ac:dyDescent="0.35">
      <c r="A80" t="str">
        <f>"2005-04-26"</f>
        <v>2005-04-26</v>
      </c>
      <c r="B80" t="str">
        <f>"37.0874"</f>
        <v>37.0874</v>
      </c>
      <c r="C80">
        <v>78</v>
      </c>
      <c r="D80" s="7">
        <v>37.087400000000002</v>
      </c>
      <c r="E80" s="7">
        <f t="shared" si="2"/>
        <v>2892.8172000000004</v>
      </c>
      <c r="F80" s="7">
        <f t="shared" si="3"/>
        <v>6084</v>
      </c>
      <c r="G80" s="7"/>
    </row>
    <row r="81" spans="1:7" x14ac:dyDescent="0.35">
      <c r="A81" t="str">
        <f>"2005-04-27"</f>
        <v>2005-04-27</v>
      </c>
      <c r="B81" t="str">
        <f>"36.1305"</f>
        <v>36.1305</v>
      </c>
      <c r="C81">
        <v>79</v>
      </c>
      <c r="D81" s="7">
        <v>36.130499999999998</v>
      </c>
      <c r="E81" s="7">
        <f t="shared" si="2"/>
        <v>2854.3094999999998</v>
      </c>
      <c r="F81" s="7">
        <f t="shared" si="3"/>
        <v>6241</v>
      </c>
      <c r="G81" s="7"/>
    </row>
    <row r="82" spans="1:7" x14ac:dyDescent="0.35">
      <c r="A82" t="str">
        <f>"2005-04-29"</f>
        <v>2005-04-29</v>
      </c>
      <c r="B82" t="str">
        <f>"34.4564"</f>
        <v>34.4564</v>
      </c>
      <c r="C82">
        <v>80</v>
      </c>
      <c r="D82" s="7">
        <v>34.456400000000002</v>
      </c>
      <c r="E82" s="7">
        <f t="shared" si="2"/>
        <v>2756.5120000000002</v>
      </c>
      <c r="F82" s="7">
        <f t="shared" si="3"/>
        <v>6400</v>
      </c>
      <c r="G82" s="7"/>
    </row>
    <row r="83" spans="1:7" x14ac:dyDescent="0.35">
      <c r="A83" t="str">
        <f>"2005-05-02"</f>
        <v>2005-05-02</v>
      </c>
      <c r="B83" t="str">
        <f>"37.4002"</f>
        <v>37.4002</v>
      </c>
      <c r="C83">
        <v>81</v>
      </c>
      <c r="D83" s="7">
        <v>37.400199999999998</v>
      </c>
      <c r="E83" s="7">
        <f t="shared" si="2"/>
        <v>3029.4161999999997</v>
      </c>
      <c r="F83" s="7">
        <f t="shared" si="3"/>
        <v>6561</v>
      </c>
      <c r="G83" s="7"/>
    </row>
    <row r="84" spans="1:7" x14ac:dyDescent="0.35">
      <c r="A84" t="str">
        <f>"2005-05-03"</f>
        <v>2005-05-03</v>
      </c>
      <c r="B84" t="str">
        <f>"38.3724"</f>
        <v>38.3724</v>
      </c>
      <c r="C84">
        <v>82</v>
      </c>
      <c r="D84" s="7">
        <v>38.372399999999999</v>
      </c>
      <c r="E84" s="7">
        <f t="shared" si="2"/>
        <v>3146.5367999999999</v>
      </c>
      <c r="F84" s="7">
        <f t="shared" si="3"/>
        <v>6724</v>
      </c>
      <c r="G84" s="7"/>
    </row>
    <row r="85" spans="1:7" x14ac:dyDescent="0.35">
      <c r="A85" t="str">
        <f>"2005-05-04"</f>
        <v>2005-05-04</v>
      </c>
      <c r="B85" t="str">
        <f>"40.167"</f>
        <v>40.167</v>
      </c>
      <c r="C85">
        <v>83</v>
      </c>
      <c r="D85" s="7">
        <v>40.167000000000002</v>
      </c>
      <c r="E85" s="7">
        <f t="shared" si="2"/>
        <v>3333.8610000000003</v>
      </c>
      <c r="F85" s="7">
        <f t="shared" si="3"/>
        <v>6889</v>
      </c>
      <c r="G85" s="7"/>
    </row>
    <row r="86" spans="1:7" x14ac:dyDescent="0.35">
      <c r="A86" t="str">
        <f>"2005-05-05"</f>
        <v>2005-05-05</v>
      </c>
      <c r="B86" t="str">
        <f>"41.7744"</f>
        <v>41.7744</v>
      </c>
      <c r="C86">
        <v>84</v>
      </c>
      <c r="D86" s="7">
        <v>41.7744</v>
      </c>
      <c r="E86" s="7">
        <f t="shared" si="2"/>
        <v>3509.0495999999998</v>
      </c>
      <c r="F86" s="7">
        <f t="shared" si="3"/>
        <v>7056</v>
      </c>
      <c r="G86" s="7"/>
    </row>
    <row r="87" spans="1:7" x14ac:dyDescent="0.35">
      <c r="A87" t="str">
        <f>"2005-05-06"</f>
        <v>2005-05-06</v>
      </c>
      <c r="B87" t="str">
        <f>"41.9961"</f>
        <v>41.9961</v>
      </c>
      <c r="C87">
        <v>85</v>
      </c>
      <c r="D87" s="7">
        <v>41.996099999999998</v>
      </c>
      <c r="E87" s="7">
        <f t="shared" si="2"/>
        <v>3569.6684999999998</v>
      </c>
      <c r="F87" s="7">
        <f t="shared" si="3"/>
        <v>7225</v>
      </c>
      <c r="G87" s="7"/>
    </row>
    <row r="88" spans="1:7" x14ac:dyDescent="0.35">
      <c r="A88" t="str">
        <f>"2005-05-09"</f>
        <v>2005-05-09</v>
      </c>
      <c r="B88" t="str">
        <f>"41.4725"</f>
        <v>41.4725</v>
      </c>
      <c r="C88">
        <v>86</v>
      </c>
      <c r="D88" s="7">
        <v>41.472499999999997</v>
      </c>
      <c r="E88" s="7">
        <f t="shared" si="2"/>
        <v>3566.6349999999998</v>
      </c>
      <c r="F88" s="7">
        <f t="shared" si="3"/>
        <v>7396</v>
      </c>
      <c r="G88" s="7"/>
    </row>
    <row r="89" spans="1:7" x14ac:dyDescent="0.35">
      <c r="A89" t="str">
        <f>"2005-05-10"</f>
        <v>2005-05-10</v>
      </c>
      <c r="B89" t="str">
        <f>"40.6123"</f>
        <v>40.6123</v>
      </c>
      <c r="C89">
        <v>87</v>
      </c>
      <c r="D89" s="7">
        <v>40.612299999999998</v>
      </c>
      <c r="E89" s="7">
        <f t="shared" si="2"/>
        <v>3533.2700999999997</v>
      </c>
      <c r="F89" s="7">
        <f t="shared" si="3"/>
        <v>7569</v>
      </c>
      <c r="G89" s="7"/>
    </row>
    <row r="90" spans="1:7" x14ac:dyDescent="0.35">
      <c r="A90" t="str">
        <f>"2005-05-11"</f>
        <v>2005-05-11</v>
      </c>
      <c r="B90" t="str">
        <f>"40.1854"</f>
        <v>40.1854</v>
      </c>
      <c r="C90">
        <v>88</v>
      </c>
      <c r="D90" s="7">
        <v>40.185400000000001</v>
      </c>
      <c r="E90" s="7">
        <f t="shared" si="2"/>
        <v>3536.3152</v>
      </c>
      <c r="F90" s="7">
        <f t="shared" si="3"/>
        <v>7744</v>
      </c>
      <c r="G90" s="7"/>
    </row>
    <row r="91" spans="1:7" x14ac:dyDescent="0.35">
      <c r="A91" t="str">
        <f>"2005-05-12"</f>
        <v>2005-05-12</v>
      </c>
      <c r="B91" t="str">
        <f>"41.7087"</f>
        <v>41.7087</v>
      </c>
      <c r="C91">
        <v>89</v>
      </c>
      <c r="D91" s="7">
        <v>41.7087</v>
      </c>
      <c r="E91" s="7">
        <f t="shared" si="2"/>
        <v>3712.0743000000002</v>
      </c>
      <c r="F91" s="7">
        <f t="shared" si="3"/>
        <v>7921</v>
      </c>
      <c r="G91" s="7"/>
    </row>
    <row r="92" spans="1:7" x14ac:dyDescent="0.35">
      <c r="A92" t="str">
        <f>"2005-05-13"</f>
        <v>2005-05-13</v>
      </c>
      <c r="B92" t="str">
        <f>"41.5567"</f>
        <v>41.5567</v>
      </c>
      <c r="C92">
        <v>90</v>
      </c>
      <c r="D92" s="7">
        <v>41.556699999999999</v>
      </c>
      <c r="E92" s="7">
        <f t="shared" si="2"/>
        <v>3740.1030000000001</v>
      </c>
      <c r="F92" s="7">
        <f t="shared" si="3"/>
        <v>8100</v>
      </c>
      <c r="G92" s="7"/>
    </row>
    <row r="93" spans="1:7" x14ac:dyDescent="0.35">
      <c r="A93" t="str">
        <f>"2005-05-17"</f>
        <v>2005-05-17</v>
      </c>
      <c r="B93" t="str">
        <f>"41.7661"</f>
        <v>41.7661</v>
      </c>
      <c r="C93">
        <v>91</v>
      </c>
      <c r="D93" s="7">
        <v>41.766100000000002</v>
      </c>
      <c r="E93" s="7">
        <f t="shared" si="2"/>
        <v>3800.7151000000003</v>
      </c>
      <c r="F93" s="7">
        <f t="shared" si="3"/>
        <v>8281</v>
      </c>
      <c r="G93" s="7"/>
    </row>
    <row r="94" spans="1:7" x14ac:dyDescent="0.35">
      <c r="A94" t="str">
        <f>"2005-05-18"</f>
        <v>2005-05-18</v>
      </c>
      <c r="B94" t="str">
        <f>"41.8322"</f>
        <v>41.8322</v>
      </c>
      <c r="C94">
        <v>92</v>
      </c>
      <c r="D94" s="7">
        <v>41.8322</v>
      </c>
      <c r="E94" s="7">
        <f t="shared" si="2"/>
        <v>3848.5623999999998</v>
      </c>
      <c r="F94" s="7">
        <f t="shared" si="3"/>
        <v>8464</v>
      </c>
      <c r="G94" s="7"/>
    </row>
    <row r="95" spans="1:7" x14ac:dyDescent="0.35">
      <c r="A95" t="str">
        <f>"2005-05-19"</f>
        <v>2005-05-19</v>
      </c>
      <c r="B95" t="str">
        <f>"41.8178"</f>
        <v>41.8178</v>
      </c>
      <c r="C95">
        <v>93</v>
      </c>
      <c r="D95" s="7">
        <v>41.817799999999998</v>
      </c>
      <c r="E95" s="7">
        <f t="shared" si="2"/>
        <v>3889.0553999999997</v>
      </c>
      <c r="F95" s="7">
        <f t="shared" si="3"/>
        <v>8649</v>
      </c>
      <c r="G95" s="7"/>
    </row>
    <row r="96" spans="1:7" x14ac:dyDescent="0.35">
      <c r="A96" t="str">
        <f>"2005-05-20"</f>
        <v>2005-05-20</v>
      </c>
      <c r="B96" t="str">
        <f>"42.5768"</f>
        <v>42.5768</v>
      </c>
      <c r="C96">
        <v>94</v>
      </c>
      <c r="D96" s="7">
        <v>42.576799999999999</v>
      </c>
      <c r="E96" s="7">
        <f t="shared" si="2"/>
        <v>4002.2192</v>
      </c>
      <c r="F96" s="7">
        <f t="shared" si="3"/>
        <v>8836</v>
      </c>
      <c r="G96" s="7"/>
    </row>
    <row r="97" spans="1:7" x14ac:dyDescent="0.35">
      <c r="A97" t="str">
        <f>"2005-05-23"</f>
        <v>2005-05-23</v>
      </c>
      <c r="B97" t="str">
        <f>"43.2209"</f>
        <v>43.2209</v>
      </c>
      <c r="C97">
        <v>95</v>
      </c>
      <c r="D97" s="7">
        <v>43.2209</v>
      </c>
      <c r="E97" s="7">
        <f t="shared" si="2"/>
        <v>4105.9854999999998</v>
      </c>
      <c r="F97" s="7">
        <f t="shared" si="3"/>
        <v>9025</v>
      </c>
      <c r="G97" s="7"/>
    </row>
    <row r="98" spans="1:7" x14ac:dyDescent="0.35">
      <c r="A98" t="str">
        <f>"2005-05-24"</f>
        <v>2005-05-24</v>
      </c>
      <c r="B98" t="str">
        <f>"41.5669"</f>
        <v>41.5669</v>
      </c>
      <c r="C98">
        <v>96</v>
      </c>
      <c r="D98" s="7">
        <v>41.566899999999997</v>
      </c>
      <c r="E98" s="7">
        <f t="shared" si="2"/>
        <v>3990.4223999999995</v>
      </c>
      <c r="F98" s="7">
        <f t="shared" si="3"/>
        <v>9216</v>
      </c>
      <c r="G98" s="7"/>
    </row>
    <row r="99" spans="1:7" x14ac:dyDescent="0.35">
      <c r="A99" t="str">
        <f>"2005-05-25"</f>
        <v>2005-05-25</v>
      </c>
      <c r="B99" t="str">
        <f>"41.0268"</f>
        <v>41.0268</v>
      </c>
      <c r="C99">
        <v>97</v>
      </c>
      <c r="D99" s="7">
        <v>41.026800000000001</v>
      </c>
      <c r="E99" s="7">
        <f t="shared" si="2"/>
        <v>3979.5996</v>
      </c>
      <c r="F99" s="7">
        <f t="shared" si="3"/>
        <v>9409</v>
      </c>
      <c r="G99" s="7"/>
    </row>
    <row r="100" spans="1:7" x14ac:dyDescent="0.35">
      <c r="A100" t="str">
        <f>"2005-05-26"</f>
        <v>2005-05-26</v>
      </c>
      <c r="B100" t="str">
        <f>"41.1143"</f>
        <v>41.1143</v>
      </c>
      <c r="C100">
        <v>98</v>
      </c>
      <c r="D100" s="7">
        <v>41.1143</v>
      </c>
      <c r="E100" s="7">
        <f t="shared" si="2"/>
        <v>4029.2013999999999</v>
      </c>
      <c r="F100" s="7">
        <f t="shared" si="3"/>
        <v>9604</v>
      </c>
      <c r="G100" s="7"/>
    </row>
    <row r="101" spans="1:7" x14ac:dyDescent="0.35">
      <c r="A101" t="str">
        <f>"2005-05-27"</f>
        <v>2005-05-27</v>
      </c>
      <c r="B101" t="str">
        <f>"42.0941"</f>
        <v>42.0941</v>
      </c>
      <c r="C101">
        <v>99</v>
      </c>
      <c r="D101" s="7">
        <v>42.094099999999997</v>
      </c>
      <c r="E101" s="7">
        <f t="shared" si="2"/>
        <v>4167.3158999999996</v>
      </c>
      <c r="F101" s="7">
        <f t="shared" si="3"/>
        <v>9801</v>
      </c>
      <c r="G101" s="7"/>
    </row>
    <row r="102" spans="1:7" x14ac:dyDescent="0.35">
      <c r="A102" t="str">
        <f>"2005-05-31"</f>
        <v>2005-05-31</v>
      </c>
      <c r="B102" t="str">
        <f>"44.3342"</f>
        <v>44.3342</v>
      </c>
      <c r="C102">
        <v>100</v>
      </c>
      <c r="D102" s="7">
        <v>44.334200000000003</v>
      </c>
      <c r="E102" s="7">
        <f t="shared" si="2"/>
        <v>4433.42</v>
      </c>
      <c r="F102" s="7">
        <f t="shared" si="3"/>
        <v>10000</v>
      </c>
      <c r="G102" s="7"/>
    </row>
    <row r="103" spans="1:7" x14ac:dyDescent="0.35">
      <c r="A103" t="str">
        <f>"2005-06-01"</f>
        <v>2005-06-01</v>
      </c>
      <c r="B103" t="str">
        <f>"45.4086"</f>
        <v>45.4086</v>
      </c>
      <c r="C103">
        <v>101</v>
      </c>
      <c r="D103" s="7">
        <v>45.4086</v>
      </c>
      <c r="E103" s="7">
        <f t="shared" si="2"/>
        <v>4586.2686000000003</v>
      </c>
      <c r="F103" s="7">
        <f t="shared" si="3"/>
        <v>10201</v>
      </c>
      <c r="G103" s="7"/>
    </row>
    <row r="104" spans="1:7" x14ac:dyDescent="0.35">
      <c r="A104" t="str">
        <f>"2005-06-02"</f>
        <v>2005-06-02</v>
      </c>
      <c r="B104" t="str">
        <f>"45.6095"</f>
        <v>45.6095</v>
      </c>
      <c r="C104">
        <v>102</v>
      </c>
      <c r="D104" s="7">
        <v>45.609499999999997</v>
      </c>
      <c r="E104" s="7">
        <f t="shared" si="2"/>
        <v>4652.1689999999999</v>
      </c>
      <c r="F104" s="7">
        <f t="shared" si="3"/>
        <v>10404</v>
      </c>
      <c r="G104" s="7"/>
    </row>
    <row r="105" spans="1:7" x14ac:dyDescent="0.35">
      <c r="A105" t="str">
        <f>"2005-06-03"</f>
        <v>2005-06-03</v>
      </c>
      <c r="B105" t="str">
        <f>"47.6934"</f>
        <v>47.6934</v>
      </c>
      <c r="C105">
        <v>103</v>
      </c>
      <c r="D105" s="7">
        <v>47.693399999999997</v>
      </c>
      <c r="E105" s="7">
        <f t="shared" si="2"/>
        <v>4912.4201999999996</v>
      </c>
      <c r="F105" s="7">
        <f t="shared" si="3"/>
        <v>10609</v>
      </c>
      <c r="G105" s="7"/>
    </row>
    <row r="106" spans="1:7" x14ac:dyDescent="0.35">
      <c r="A106" t="str">
        <f>"2005-06-06"</f>
        <v>2005-06-06</v>
      </c>
      <c r="B106" t="str">
        <f>"48.0089"</f>
        <v>48.0089</v>
      </c>
      <c r="C106">
        <v>104</v>
      </c>
      <c r="D106" s="7">
        <v>48.008899999999997</v>
      </c>
      <c r="E106" s="7">
        <f t="shared" si="2"/>
        <v>4992.9255999999996</v>
      </c>
      <c r="F106" s="7">
        <f t="shared" si="3"/>
        <v>10816</v>
      </c>
      <c r="G106" s="7"/>
    </row>
    <row r="107" spans="1:7" x14ac:dyDescent="0.35">
      <c r="A107" t="str">
        <f>"2005-06-07"</f>
        <v>2005-06-07</v>
      </c>
      <c r="B107" t="str">
        <f>"49.046"</f>
        <v>49.046</v>
      </c>
      <c r="C107">
        <v>105</v>
      </c>
      <c r="D107" s="7">
        <v>49.045999999999999</v>
      </c>
      <c r="E107" s="7">
        <f t="shared" si="2"/>
        <v>5149.83</v>
      </c>
      <c r="F107" s="7">
        <f t="shared" si="3"/>
        <v>11025</v>
      </c>
      <c r="G107" s="7"/>
    </row>
    <row r="108" spans="1:7" x14ac:dyDescent="0.35">
      <c r="A108" t="str">
        <f>"2005-06-08"</f>
        <v>2005-06-08</v>
      </c>
      <c r="B108" t="str">
        <f>"50.8681"</f>
        <v>50.8681</v>
      </c>
      <c r="C108">
        <v>106</v>
      </c>
      <c r="D108" s="7">
        <v>50.868099999999998</v>
      </c>
      <c r="E108" s="7">
        <f t="shared" si="2"/>
        <v>5392.0185999999994</v>
      </c>
      <c r="F108" s="7">
        <f t="shared" si="3"/>
        <v>11236</v>
      </c>
      <c r="G108" s="7"/>
    </row>
    <row r="109" spans="1:7" x14ac:dyDescent="0.35">
      <c r="A109" t="str">
        <f>"2005-06-09"</f>
        <v>2005-06-09</v>
      </c>
      <c r="B109" t="str">
        <f>"49.9993"</f>
        <v>49.9993</v>
      </c>
      <c r="C109">
        <v>107</v>
      </c>
      <c r="D109" s="7">
        <v>49.999299999999998</v>
      </c>
      <c r="E109" s="7">
        <f t="shared" si="2"/>
        <v>5349.9250999999995</v>
      </c>
      <c r="F109" s="7">
        <f t="shared" si="3"/>
        <v>11449</v>
      </c>
      <c r="G109" s="7"/>
    </row>
    <row r="110" spans="1:7" x14ac:dyDescent="0.35">
      <c r="A110" t="str">
        <f>"2005-06-10"</f>
        <v>2005-06-10</v>
      </c>
      <c r="B110" t="str">
        <f>"50.5144"</f>
        <v>50.5144</v>
      </c>
      <c r="C110">
        <v>108</v>
      </c>
      <c r="D110" s="7">
        <v>50.514400000000002</v>
      </c>
      <c r="E110" s="7">
        <f t="shared" si="2"/>
        <v>5455.5551999999998</v>
      </c>
      <c r="F110" s="7">
        <f t="shared" si="3"/>
        <v>11664</v>
      </c>
      <c r="G110" s="7"/>
    </row>
    <row r="111" spans="1:7" x14ac:dyDescent="0.35">
      <c r="A111" t="str">
        <f>"2005-06-13"</f>
        <v>2005-06-13</v>
      </c>
      <c r="B111" t="str">
        <f>"49.8513"</f>
        <v>49.8513</v>
      </c>
      <c r="C111">
        <v>109</v>
      </c>
      <c r="D111" s="7">
        <v>49.851300000000002</v>
      </c>
      <c r="E111" s="7">
        <f t="shared" si="2"/>
        <v>5433.7916999999998</v>
      </c>
      <c r="F111" s="7">
        <f t="shared" si="3"/>
        <v>11881</v>
      </c>
      <c r="G111" s="7"/>
    </row>
    <row r="112" spans="1:7" x14ac:dyDescent="0.35">
      <c r="A112" t="str">
        <f>"2005-06-14"</f>
        <v>2005-06-14</v>
      </c>
      <c r="B112" t="str">
        <f>"50.1779"</f>
        <v>50.1779</v>
      </c>
      <c r="C112">
        <v>110</v>
      </c>
      <c r="D112" s="7">
        <v>50.177900000000001</v>
      </c>
      <c r="E112" s="7">
        <f t="shared" si="2"/>
        <v>5519.5690000000004</v>
      </c>
      <c r="F112" s="7">
        <f t="shared" si="3"/>
        <v>12100</v>
      </c>
      <c r="G112" s="7"/>
    </row>
    <row r="113" spans="1:7" x14ac:dyDescent="0.35">
      <c r="A113" t="str">
        <f>"2005-06-15"</f>
        <v>2005-06-15</v>
      </c>
      <c r="B113" t="str">
        <f>"52.4852"</f>
        <v>52.4852</v>
      </c>
      <c r="C113">
        <v>111</v>
      </c>
      <c r="D113" s="7">
        <v>52.485199999999999</v>
      </c>
      <c r="E113" s="7">
        <f t="shared" si="2"/>
        <v>5825.8571999999995</v>
      </c>
      <c r="F113" s="7">
        <f t="shared" si="3"/>
        <v>12321</v>
      </c>
      <c r="G113" s="7"/>
    </row>
    <row r="114" spans="1:7" x14ac:dyDescent="0.35">
      <c r="A114" t="str">
        <f>"2005-06-16"</f>
        <v>2005-06-16</v>
      </c>
      <c r="B114" t="str">
        <f>"50.1781"</f>
        <v>50.1781</v>
      </c>
      <c r="C114">
        <v>112</v>
      </c>
      <c r="D114" s="7">
        <v>50.178100000000001</v>
      </c>
      <c r="E114" s="7">
        <f t="shared" si="2"/>
        <v>5619.9472000000005</v>
      </c>
      <c r="F114" s="7">
        <f t="shared" si="3"/>
        <v>12544</v>
      </c>
      <c r="G114" s="7"/>
    </row>
    <row r="115" spans="1:7" x14ac:dyDescent="0.35">
      <c r="A115" t="str">
        <f>"2005-06-17"</f>
        <v>2005-06-17</v>
      </c>
      <c r="B115" t="str">
        <f>"48.9567"</f>
        <v>48.9567</v>
      </c>
      <c r="C115">
        <v>113</v>
      </c>
      <c r="D115" s="7">
        <v>48.956699999999998</v>
      </c>
      <c r="E115" s="7">
        <f t="shared" si="2"/>
        <v>5532.1071000000002</v>
      </c>
      <c r="F115" s="7">
        <f t="shared" si="3"/>
        <v>12769</v>
      </c>
      <c r="G115" s="7"/>
    </row>
    <row r="116" spans="1:7" x14ac:dyDescent="0.35">
      <c r="A116" t="str">
        <f>"2005-06-20"</f>
        <v>2005-06-20</v>
      </c>
      <c r="B116" t="str">
        <f>"49.465"</f>
        <v>49.465</v>
      </c>
      <c r="C116">
        <v>114</v>
      </c>
      <c r="D116" s="7">
        <v>49.465000000000003</v>
      </c>
      <c r="E116" s="7">
        <f t="shared" si="2"/>
        <v>5639.01</v>
      </c>
      <c r="F116" s="7">
        <f t="shared" si="3"/>
        <v>12996</v>
      </c>
      <c r="G116" s="7"/>
    </row>
    <row r="117" spans="1:7" x14ac:dyDescent="0.35">
      <c r="A117" t="str">
        <f>"2005-06-21"</f>
        <v>2005-06-21</v>
      </c>
      <c r="B117" t="str">
        <f>"49.4817"</f>
        <v>49.4817</v>
      </c>
      <c r="C117">
        <v>115</v>
      </c>
      <c r="D117" s="7">
        <v>49.481699999999996</v>
      </c>
      <c r="E117" s="7">
        <f t="shared" si="2"/>
        <v>5690.3954999999996</v>
      </c>
      <c r="F117" s="7">
        <f t="shared" si="3"/>
        <v>13225</v>
      </c>
      <c r="G117" s="7"/>
    </row>
    <row r="118" spans="1:7" x14ac:dyDescent="0.35">
      <c r="A118" t="str">
        <f>"2005-06-22"</f>
        <v>2005-06-22</v>
      </c>
      <c r="B118" t="str">
        <f>"49.5138"</f>
        <v>49.5138</v>
      </c>
      <c r="C118">
        <v>116</v>
      </c>
      <c r="D118" s="7">
        <v>49.513800000000003</v>
      </c>
      <c r="E118" s="7">
        <f t="shared" si="2"/>
        <v>5743.6008000000002</v>
      </c>
      <c r="F118" s="7">
        <f t="shared" si="3"/>
        <v>13456</v>
      </c>
      <c r="G118" s="7"/>
    </row>
    <row r="119" spans="1:7" x14ac:dyDescent="0.35">
      <c r="A119" t="str">
        <f>"2005-06-23"</f>
        <v>2005-06-23</v>
      </c>
      <c r="B119" t="str">
        <f>"50.0499"</f>
        <v>50.0499</v>
      </c>
      <c r="C119">
        <v>117</v>
      </c>
      <c r="D119" s="7">
        <v>50.049900000000001</v>
      </c>
      <c r="E119" s="7">
        <f t="shared" si="2"/>
        <v>5855.8383000000003</v>
      </c>
      <c r="F119" s="7">
        <f t="shared" si="3"/>
        <v>13689</v>
      </c>
      <c r="G119" s="7"/>
    </row>
    <row r="120" spans="1:7" x14ac:dyDescent="0.35">
      <c r="A120" t="str">
        <f>"2005-06-24"</f>
        <v>2005-06-24</v>
      </c>
      <c r="B120" t="str">
        <f>"51.1454"</f>
        <v>51.1454</v>
      </c>
      <c r="C120">
        <v>118</v>
      </c>
      <c r="D120" s="7">
        <v>51.145400000000002</v>
      </c>
      <c r="E120" s="7">
        <f t="shared" si="2"/>
        <v>6035.1572000000006</v>
      </c>
      <c r="F120" s="7">
        <f t="shared" si="3"/>
        <v>13924</v>
      </c>
      <c r="G120" s="7"/>
    </row>
    <row r="121" spans="1:7" x14ac:dyDescent="0.35">
      <c r="A121" t="str">
        <f>"2005-06-27"</f>
        <v>2005-06-27</v>
      </c>
      <c r="B121" t="str">
        <f>"50.3474"</f>
        <v>50.3474</v>
      </c>
      <c r="C121">
        <v>119</v>
      </c>
      <c r="D121" s="7">
        <v>50.3474</v>
      </c>
      <c r="E121" s="7">
        <f t="shared" si="2"/>
        <v>5991.3406000000004</v>
      </c>
      <c r="F121" s="7">
        <f t="shared" si="3"/>
        <v>14161</v>
      </c>
      <c r="G121" s="7"/>
    </row>
    <row r="122" spans="1:7" x14ac:dyDescent="0.35">
      <c r="A122" t="str">
        <f>"2005-06-28"</f>
        <v>2005-06-28</v>
      </c>
      <c r="B122" t="str">
        <f>"51.0176"</f>
        <v>51.0176</v>
      </c>
      <c r="C122">
        <v>120</v>
      </c>
      <c r="D122" s="7">
        <v>51.017600000000002</v>
      </c>
      <c r="E122" s="7">
        <f t="shared" si="2"/>
        <v>6122.1120000000001</v>
      </c>
      <c r="F122" s="7">
        <f t="shared" si="3"/>
        <v>14400</v>
      </c>
      <c r="G122" s="7"/>
    </row>
    <row r="123" spans="1:7" x14ac:dyDescent="0.35">
      <c r="A123" t="str">
        <f>"2005-06-30"</f>
        <v>2005-06-30</v>
      </c>
      <c r="B123" t="str">
        <f>"50.8175"</f>
        <v>50.8175</v>
      </c>
      <c r="C123">
        <v>121</v>
      </c>
      <c r="D123" s="7">
        <v>50.817500000000003</v>
      </c>
      <c r="E123" s="7">
        <f t="shared" si="2"/>
        <v>6148.9175000000005</v>
      </c>
      <c r="F123" s="7">
        <f t="shared" si="3"/>
        <v>14641</v>
      </c>
      <c r="G123" s="7"/>
    </row>
    <row r="124" spans="1:7" x14ac:dyDescent="0.35">
      <c r="A124" t="str">
        <f>"2005-07-01"</f>
        <v>2005-07-01</v>
      </c>
      <c r="B124" t="str">
        <f>"52.3958"</f>
        <v>52.3958</v>
      </c>
      <c r="C124">
        <v>122</v>
      </c>
      <c r="D124" s="7">
        <v>52.395800000000001</v>
      </c>
      <c r="E124" s="7">
        <f t="shared" si="2"/>
        <v>6392.2876000000006</v>
      </c>
      <c r="F124" s="7">
        <f t="shared" si="3"/>
        <v>14884</v>
      </c>
      <c r="G124" s="7"/>
    </row>
    <row r="125" spans="1:7" x14ac:dyDescent="0.35">
      <c r="A125" t="str">
        <f>"2005-07-05"</f>
        <v>2005-07-05</v>
      </c>
      <c r="B125" t="str">
        <f>"50.8269"</f>
        <v>50.8269</v>
      </c>
      <c r="C125">
        <v>123</v>
      </c>
      <c r="D125" s="7">
        <v>50.826900000000002</v>
      </c>
      <c r="E125" s="7">
        <f t="shared" si="2"/>
        <v>6251.7087000000001</v>
      </c>
      <c r="F125" s="7">
        <f t="shared" si="3"/>
        <v>15129</v>
      </c>
      <c r="G125" s="7"/>
    </row>
    <row r="126" spans="1:7" x14ac:dyDescent="0.35">
      <c r="A126" t="str">
        <f>"2005-07-06"</f>
        <v>2005-07-06</v>
      </c>
      <c r="B126" t="str">
        <f>"51.8167"</f>
        <v>51.8167</v>
      </c>
      <c r="C126">
        <v>124</v>
      </c>
      <c r="D126" s="7">
        <v>51.816699999999997</v>
      </c>
      <c r="E126" s="7">
        <f t="shared" si="2"/>
        <v>6425.2707999999993</v>
      </c>
      <c r="F126" s="7">
        <f t="shared" si="3"/>
        <v>15376</v>
      </c>
      <c r="G126" s="7"/>
    </row>
    <row r="127" spans="1:7" x14ac:dyDescent="0.35">
      <c r="A127" t="str">
        <f>"2005-07-07"</f>
        <v>2005-07-07</v>
      </c>
      <c r="B127" t="str">
        <f>"51.4764"</f>
        <v>51.4764</v>
      </c>
      <c r="C127">
        <v>125</v>
      </c>
      <c r="D127" s="7">
        <v>51.476399999999998</v>
      </c>
      <c r="E127" s="7">
        <f t="shared" si="2"/>
        <v>6434.55</v>
      </c>
      <c r="F127" s="7">
        <f t="shared" si="3"/>
        <v>15625</v>
      </c>
      <c r="G127" s="7"/>
    </row>
    <row r="128" spans="1:7" x14ac:dyDescent="0.35">
      <c r="A128" t="str">
        <f>"2005-07-08"</f>
        <v>2005-07-08</v>
      </c>
      <c r="B128" t="str">
        <f>"53.4922"</f>
        <v>53.4922</v>
      </c>
      <c r="C128">
        <v>126</v>
      </c>
      <c r="D128" s="7">
        <v>53.492199999999997</v>
      </c>
      <c r="E128" s="7">
        <f t="shared" si="2"/>
        <v>6740.0171999999993</v>
      </c>
      <c r="F128" s="7">
        <f t="shared" si="3"/>
        <v>15876</v>
      </c>
      <c r="G128" s="7"/>
    </row>
    <row r="129" spans="1:7" x14ac:dyDescent="0.35">
      <c r="A129" t="str">
        <f>"2005-07-11"</f>
        <v>2005-07-11</v>
      </c>
      <c r="B129" t="str">
        <f>"54.4443"</f>
        <v>54.4443</v>
      </c>
      <c r="C129">
        <v>127</v>
      </c>
      <c r="D129" s="7">
        <v>54.444299999999998</v>
      </c>
      <c r="E129" s="7">
        <f t="shared" si="2"/>
        <v>6914.4260999999997</v>
      </c>
      <c r="F129" s="7">
        <f t="shared" si="3"/>
        <v>16129</v>
      </c>
      <c r="G129" s="7"/>
    </row>
    <row r="130" spans="1:7" x14ac:dyDescent="0.35">
      <c r="A130" t="str">
        <f>"2005-07-12"</f>
        <v>2005-07-12</v>
      </c>
      <c r="B130" t="str">
        <f>"54.8552"</f>
        <v>54.8552</v>
      </c>
      <c r="C130">
        <v>128</v>
      </c>
      <c r="D130" s="7">
        <v>54.855200000000004</v>
      </c>
      <c r="E130" s="7">
        <f t="shared" si="2"/>
        <v>7021.4656000000004</v>
      </c>
      <c r="F130" s="7">
        <f t="shared" si="3"/>
        <v>16384</v>
      </c>
      <c r="G130" s="7"/>
    </row>
    <row r="131" spans="1:7" x14ac:dyDescent="0.35">
      <c r="A131" t="str">
        <f>"2005-07-13"</f>
        <v>2005-07-13</v>
      </c>
      <c r="B131" t="str">
        <f>"56.0506"</f>
        <v>56.0506</v>
      </c>
      <c r="C131">
        <v>129</v>
      </c>
      <c r="D131" s="7">
        <v>56.050600000000003</v>
      </c>
      <c r="E131" s="7">
        <f t="shared" si="2"/>
        <v>7230.5273999999999</v>
      </c>
      <c r="F131" s="7">
        <f t="shared" si="3"/>
        <v>16641</v>
      </c>
      <c r="G131" s="7"/>
    </row>
    <row r="132" spans="1:7" x14ac:dyDescent="0.35">
      <c r="A132" t="str">
        <f>"2005-07-14"</f>
        <v>2005-07-14</v>
      </c>
      <c r="B132" t="str">
        <f>"58.7484"</f>
        <v>58.7484</v>
      </c>
      <c r="C132">
        <v>130</v>
      </c>
      <c r="D132" s="7">
        <v>58.748399999999997</v>
      </c>
      <c r="E132" s="7">
        <f t="shared" ref="E132:E195" si="4">C132*D132</f>
        <v>7637.2919999999995</v>
      </c>
      <c r="F132" s="7">
        <f t="shared" ref="F132:F195" si="5">C132*C132</f>
        <v>16900</v>
      </c>
      <c r="G132" s="7"/>
    </row>
    <row r="133" spans="1:7" x14ac:dyDescent="0.35">
      <c r="A133" t="str">
        <f>"2005-07-15"</f>
        <v>2005-07-15</v>
      </c>
      <c r="B133" t="str">
        <f>"58.0199"</f>
        <v>58.0199</v>
      </c>
      <c r="C133">
        <v>131</v>
      </c>
      <c r="D133" s="7">
        <v>58.0199</v>
      </c>
      <c r="E133" s="7">
        <f t="shared" si="4"/>
        <v>7600.6068999999998</v>
      </c>
      <c r="F133" s="7">
        <f t="shared" si="5"/>
        <v>17161</v>
      </c>
      <c r="G133" s="7"/>
    </row>
    <row r="134" spans="1:7" x14ac:dyDescent="0.35">
      <c r="A134" t="str">
        <f>"2005-07-18"</f>
        <v>2005-07-18</v>
      </c>
      <c r="B134" t="str">
        <f>"57.4335"</f>
        <v>57.4335</v>
      </c>
      <c r="C134">
        <v>132</v>
      </c>
      <c r="D134" s="7">
        <v>57.433500000000002</v>
      </c>
      <c r="E134" s="7">
        <f t="shared" si="4"/>
        <v>7581.2220000000007</v>
      </c>
      <c r="F134" s="7">
        <f t="shared" si="5"/>
        <v>17424</v>
      </c>
      <c r="G134" s="7"/>
    </row>
    <row r="135" spans="1:7" x14ac:dyDescent="0.35">
      <c r="A135" t="str">
        <f>"2005-07-19"</f>
        <v>2005-07-19</v>
      </c>
      <c r="B135" t="str">
        <f>"58.602"</f>
        <v>58.602</v>
      </c>
      <c r="C135">
        <v>133</v>
      </c>
      <c r="D135" s="7">
        <v>58.601999999999997</v>
      </c>
      <c r="E135" s="7">
        <f t="shared" si="4"/>
        <v>7794.0659999999998</v>
      </c>
      <c r="F135" s="7">
        <f t="shared" si="5"/>
        <v>17689</v>
      </c>
      <c r="G135" s="7"/>
    </row>
    <row r="136" spans="1:7" x14ac:dyDescent="0.35">
      <c r="A136" t="str">
        <f>"2005-07-20"</f>
        <v>2005-07-20</v>
      </c>
      <c r="B136" t="str">
        <f>"58.4339"</f>
        <v>58.4339</v>
      </c>
      <c r="C136">
        <v>134</v>
      </c>
      <c r="D136" s="7">
        <v>58.433900000000001</v>
      </c>
      <c r="E136" s="7">
        <f t="shared" si="4"/>
        <v>7830.1426000000001</v>
      </c>
      <c r="F136" s="7">
        <f t="shared" si="5"/>
        <v>17956</v>
      </c>
      <c r="G136" s="7"/>
    </row>
    <row r="137" spans="1:7" x14ac:dyDescent="0.35">
      <c r="A137" t="str">
        <f>"2005-07-21"</f>
        <v>2005-07-21</v>
      </c>
      <c r="B137" t="str">
        <f>"58.4285"</f>
        <v>58.4285</v>
      </c>
      <c r="C137">
        <v>135</v>
      </c>
      <c r="D137" s="7">
        <v>58.4285</v>
      </c>
      <c r="E137" s="7">
        <f t="shared" si="4"/>
        <v>7887.8474999999999</v>
      </c>
      <c r="F137" s="7">
        <f t="shared" si="5"/>
        <v>18225</v>
      </c>
      <c r="G137" s="7"/>
    </row>
    <row r="138" spans="1:7" x14ac:dyDescent="0.35">
      <c r="A138" t="str">
        <f>"2005-07-22"</f>
        <v>2005-07-22</v>
      </c>
      <c r="B138" t="str">
        <f>"57.0644"</f>
        <v>57.0644</v>
      </c>
      <c r="C138">
        <v>136</v>
      </c>
      <c r="D138" s="7">
        <v>57.064399999999999</v>
      </c>
      <c r="E138" s="7">
        <f t="shared" si="4"/>
        <v>7760.7583999999997</v>
      </c>
      <c r="F138" s="7">
        <f t="shared" si="5"/>
        <v>18496</v>
      </c>
      <c r="G138" s="7"/>
    </row>
    <row r="139" spans="1:7" x14ac:dyDescent="0.35">
      <c r="A139" t="str">
        <f>"2005-07-25"</f>
        <v>2005-07-25</v>
      </c>
      <c r="B139" t="str">
        <f>"56.2993"</f>
        <v>56.2993</v>
      </c>
      <c r="C139">
        <v>137</v>
      </c>
      <c r="D139" s="7">
        <v>56.299300000000002</v>
      </c>
      <c r="E139" s="7">
        <f t="shared" si="4"/>
        <v>7713.0041000000001</v>
      </c>
      <c r="F139" s="7">
        <f t="shared" si="5"/>
        <v>18769</v>
      </c>
      <c r="G139" s="7"/>
    </row>
    <row r="140" spans="1:7" x14ac:dyDescent="0.35">
      <c r="A140" t="str">
        <f>"2005-07-26"</f>
        <v>2005-07-26</v>
      </c>
      <c r="B140" t="str">
        <f>"56.6993"</f>
        <v>56.6993</v>
      </c>
      <c r="C140">
        <v>138</v>
      </c>
      <c r="D140" s="7">
        <v>56.699300000000001</v>
      </c>
      <c r="E140" s="7">
        <f t="shared" si="4"/>
        <v>7824.5034000000005</v>
      </c>
      <c r="F140" s="7">
        <f t="shared" si="5"/>
        <v>19044</v>
      </c>
      <c r="G140" s="7"/>
    </row>
    <row r="141" spans="1:7" x14ac:dyDescent="0.35">
      <c r="A141" t="str">
        <f>"2005-07-27"</f>
        <v>2005-07-27</v>
      </c>
      <c r="B141" t="str">
        <f>"56.3051"</f>
        <v>56.3051</v>
      </c>
      <c r="C141">
        <v>139</v>
      </c>
      <c r="D141" s="7">
        <v>56.305100000000003</v>
      </c>
      <c r="E141" s="7">
        <f t="shared" si="4"/>
        <v>7826.4089000000004</v>
      </c>
      <c r="F141" s="7">
        <f t="shared" si="5"/>
        <v>19321</v>
      </c>
      <c r="G141" s="7"/>
    </row>
    <row r="142" spans="1:7" x14ac:dyDescent="0.35">
      <c r="A142" t="str">
        <f>"2005-07-28"</f>
        <v>2005-07-28</v>
      </c>
      <c r="B142" t="str">
        <f>"57.2101"</f>
        <v>57.2101</v>
      </c>
      <c r="C142">
        <v>140</v>
      </c>
      <c r="D142" s="7">
        <v>57.210099999999997</v>
      </c>
      <c r="E142" s="7">
        <f t="shared" si="4"/>
        <v>8009.4139999999998</v>
      </c>
      <c r="F142" s="7">
        <f t="shared" si="5"/>
        <v>19600</v>
      </c>
      <c r="G142" s="7"/>
    </row>
    <row r="143" spans="1:7" x14ac:dyDescent="0.35">
      <c r="A143" t="str">
        <f>"2005-07-29"</f>
        <v>2005-07-29</v>
      </c>
      <c r="B143" t="str">
        <f>"56.5901"</f>
        <v>56.5901</v>
      </c>
      <c r="C143">
        <v>141</v>
      </c>
      <c r="D143" s="7">
        <v>56.5901</v>
      </c>
      <c r="E143" s="7">
        <f t="shared" si="4"/>
        <v>7979.2040999999999</v>
      </c>
      <c r="F143" s="7">
        <f t="shared" si="5"/>
        <v>19881</v>
      </c>
      <c r="G143" s="7"/>
    </row>
    <row r="144" spans="1:7" x14ac:dyDescent="0.35">
      <c r="A144" t="str">
        <f>"2005-08-01"</f>
        <v>2005-08-01</v>
      </c>
      <c r="B144" t="str">
        <f>"57.4648"</f>
        <v>57.4648</v>
      </c>
      <c r="C144">
        <v>142</v>
      </c>
      <c r="D144" s="7">
        <v>57.464799999999997</v>
      </c>
      <c r="E144" s="7">
        <f t="shared" si="4"/>
        <v>8160.0015999999996</v>
      </c>
      <c r="F144" s="7">
        <f t="shared" si="5"/>
        <v>20164</v>
      </c>
      <c r="G144" s="7"/>
    </row>
    <row r="145" spans="1:7" x14ac:dyDescent="0.35">
      <c r="A145" t="str">
        <f>"2005-08-02"</f>
        <v>2005-08-02</v>
      </c>
      <c r="B145" t="str">
        <f>"56.6625"</f>
        <v>56.6625</v>
      </c>
      <c r="C145">
        <v>143</v>
      </c>
      <c r="D145" s="7">
        <v>56.662500000000001</v>
      </c>
      <c r="E145" s="7">
        <f t="shared" si="4"/>
        <v>8102.7375000000002</v>
      </c>
      <c r="F145" s="7">
        <f t="shared" si="5"/>
        <v>20449</v>
      </c>
      <c r="G145" s="7"/>
    </row>
    <row r="146" spans="1:7" x14ac:dyDescent="0.35">
      <c r="A146" t="str">
        <f>"2005-08-03"</f>
        <v>2005-08-03</v>
      </c>
      <c r="B146" t="str">
        <f>"55.7979"</f>
        <v>55.7979</v>
      </c>
      <c r="C146">
        <v>144</v>
      </c>
      <c r="D146" s="7">
        <v>55.797899999999998</v>
      </c>
      <c r="E146" s="7">
        <f t="shared" si="4"/>
        <v>8034.8976000000002</v>
      </c>
      <c r="F146" s="7">
        <f t="shared" si="5"/>
        <v>20736</v>
      </c>
      <c r="G146" s="7"/>
    </row>
    <row r="147" spans="1:7" x14ac:dyDescent="0.35">
      <c r="A147" t="str">
        <f>"2005-08-04"</f>
        <v>2005-08-04</v>
      </c>
      <c r="B147" t="str">
        <f>"55.6917"</f>
        <v>55.6917</v>
      </c>
      <c r="C147">
        <v>145</v>
      </c>
      <c r="D147" s="7">
        <v>55.691699999999997</v>
      </c>
      <c r="E147" s="7">
        <f t="shared" si="4"/>
        <v>8075.2964999999995</v>
      </c>
      <c r="F147" s="7">
        <f t="shared" si="5"/>
        <v>21025</v>
      </c>
      <c r="G147" s="7"/>
    </row>
    <row r="148" spans="1:7" x14ac:dyDescent="0.35">
      <c r="A148" t="str">
        <f>"2005-08-05"</f>
        <v>2005-08-05</v>
      </c>
      <c r="B148" t="str">
        <f>"55.9331"</f>
        <v>55.9331</v>
      </c>
      <c r="C148">
        <v>146</v>
      </c>
      <c r="D148" s="7">
        <v>55.933100000000003</v>
      </c>
      <c r="E148" s="7">
        <f t="shared" si="4"/>
        <v>8166.2326000000003</v>
      </c>
      <c r="F148" s="7">
        <f t="shared" si="5"/>
        <v>21316</v>
      </c>
      <c r="G148" s="7"/>
    </row>
    <row r="149" spans="1:7" x14ac:dyDescent="0.35">
      <c r="A149" t="str">
        <f>"2005-08-08"</f>
        <v>2005-08-08</v>
      </c>
      <c r="B149" t="str">
        <f>"55.5924"</f>
        <v>55.5924</v>
      </c>
      <c r="C149">
        <v>147</v>
      </c>
      <c r="D149" s="7">
        <v>55.592399999999998</v>
      </c>
      <c r="E149" s="7">
        <f t="shared" si="4"/>
        <v>8172.0828000000001</v>
      </c>
      <c r="F149" s="7">
        <f t="shared" si="5"/>
        <v>21609</v>
      </c>
      <c r="G149" s="7"/>
    </row>
    <row r="150" spans="1:7" x14ac:dyDescent="0.35">
      <c r="A150" t="str">
        <f>"2005-08-09"</f>
        <v>2005-08-09</v>
      </c>
      <c r="B150" t="str">
        <f>"54.8863"</f>
        <v>54.8863</v>
      </c>
      <c r="C150">
        <v>148</v>
      </c>
      <c r="D150" s="7">
        <v>54.886299999999999</v>
      </c>
      <c r="E150" s="7">
        <f t="shared" si="4"/>
        <v>8123.1723999999995</v>
      </c>
      <c r="F150" s="7">
        <f t="shared" si="5"/>
        <v>21904</v>
      </c>
      <c r="G150" s="7"/>
    </row>
    <row r="151" spans="1:7" x14ac:dyDescent="0.35">
      <c r="A151" t="str">
        <f>"2005-08-10"</f>
        <v>2005-08-10</v>
      </c>
      <c r="B151" t="str">
        <f>"54.0371"</f>
        <v>54.0371</v>
      </c>
      <c r="C151">
        <v>149</v>
      </c>
      <c r="D151" s="7">
        <v>54.037100000000002</v>
      </c>
      <c r="E151" s="7">
        <f t="shared" si="4"/>
        <v>8051.5279</v>
      </c>
      <c r="F151" s="7">
        <f t="shared" si="5"/>
        <v>22201</v>
      </c>
      <c r="G151" s="7"/>
    </row>
    <row r="152" spans="1:7" x14ac:dyDescent="0.35">
      <c r="A152" t="str">
        <f>"2005-08-11"</f>
        <v>2005-08-11</v>
      </c>
      <c r="B152" t="str">
        <f>"51.9997"</f>
        <v>51.9997</v>
      </c>
      <c r="C152">
        <v>150</v>
      </c>
      <c r="D152" s="7">
        <v>51.999699999999997</v>
      </c>
      <c r="E152" s="7">
        <f t="shared" si="4"/>
        <v>7799.9549999999999</v>
      </c>
      <c r="F152" s="7">
        <f t="shared" si="5"/>
        <v>22500</v>
      </c>
      <c r="G152" s="7"/>
    </row>
    <row r="153" spans="1:7" x14ac:dyDescent="0.35">
      <c r="A153" t="str">
        <f>"2005-08-12"</f>
        <v>2005-08-12</v>
      </c>
      <c r="B153" t="str">
        <f>"48.5935"</f>
        <v>48.5935</v>
      </c>
      <c r="C153">
        <v>151</v>
      </c>
      <c r="D153" s="7">
        <v>48.593499999999999</v>
      </c>
      <c r="E153" s="7">
        <f t="shared" si="4"/>
        <v>7337.6184999999996</v>
      </c>
      <c r="F153" s="7">
        <f t="shared" si="5"/>
        <v>22801</v>
      </c>
      <c r="G153" s="7"/>
    </row>
    <row r="154" spans="1:7" x14ac:dyDescent="0.35">
      <c r="A154" t="str">
        <f>"2005-08-15"</f>
        <v>2005-08-15</v>
      </c>
      <c r="B154" t="str">
        <f>"47.4857"</f>
        <v>47.4857</v>
      </c>
      <c r="C154">
        <v>152</v>
      </c>
      <c r="D154" s="7">
        <v>47.485700000000001</v>
      </c>
      <c r="E154" s="7">
        <f t="shared" si="4"/>
        <v>7217.8263999999999</v>
      </c>
      <c r="F154" s="7">
        <f t="shared" si="5"/>
        <v>23104</v>
      </c>
      <c r="G154" s="7"/>
    </row>
    <row r="155" spans="1:7" x14ac:dyDescent="0.35">
      <c r="A155" t="str">
        <f>"2005-08-16"</f>
        <v>2005-08-16</v>
      </c>
      <c r="B155" t="str">
        <f>"47.9153"</f>
        <v>47.9153</v>
      </c>
      <c r="C155">
        <v>153</v>
      </c>
      <c r="D155" s="7">
        <v>47.915300000000002</v>
      </c>
      <c r="E155" s="7">
        <f t="shared" si="4"/>
        <v>7331.0409</v>
      </c>
      <c r="F155" s="7">
        <f t="shared" si="5"/>
        <v>23409</v>
      </c>
      <c r="G155" s="7"/>
    </row>
    <row r="156" spans="1:7" x14ac:dyDescent="0.35">
      <c r="A156" t="str">
        <f>"2005-08-17"</f>
        <v>2005-08-17</v>
      </c>
      <c r="B156" t="str">
        <f>"45.8785"</f>
        <v>45.8785</v>
      </c>
      <c r="C156">
        <v>154</v>
      </c>
      <c r="D156" s="7">
        <v>45.878500000000003</v>
      </c>
      <c r="E156" s="7">
        <f t="shared" si="4"/>
        <v>7065.2890000000007</v>
      </c>
      <c r="F156" s="7">
        <f t="shared" si="5"/>
        <v>23716</v>
      </c>
      <c r="G156" s="7"/>
    </row>
    <row r="157" spans="1:7" x14ac:dyDescent="0.35">
      <c r="A157" t="str">
        <f>"2005-08-18"</f>
        <v>2005-08-18</v>
      </c>
      <c r="B157" t="str">
        <f>"46.1808"</f>
        <v>46.1808</v>
      </c>
      <c r="C157">
        <v>155</v>
      </c>
      <c r="D157" s="7">
        <v>46.180799999999998</v>
      </c>
      <c r="E157" s="7">
        <f t="shared" si="4"/>
        <v>7158.0239999999994</v>
      </c>
      <c r="F157" s="7">
        <f t="shared" si="5"/>
        <v>24025</v>
      </c>
      <c r="G157" s="7"/>
    </row>
    <row r="158" spans="1:7" x14ac:dyDescent="0.35">
      <c r="A158" t="str">
        <f>"2005-08-19"</f>
        <v>2005-08-19</v>
      </c>
      <c r="B158" t="str">
        <f>"46.4478"</f>
        <v>46.4478</v>
      </c>
      <c r="C158">
        <v>156</v>
      </c>
      <c r="D158" s="7">
        <v>46.447800000000001</v>
      </c>
      <c r="E158" s="7">
        <f t="shared" si="4"/>
        <v>7245.8568000000005</v>
      </c>
      <c r="F158" s="7">
        <f t="shared" si="5"/>
        <v>24336</v>
      </c>
      <c r="G158" s="7"/>
    </row>
    <row r="159" spans="1:7" x14ac:dyDescent="0.35">
      <c r="A159" t="str">
        <f>"2005-08-22"</f>
        <v>2005-08-22</v>
      </c>
      <c r="B159" t="str">
        <f>"47.3658"</f>
        <v>47.3658</v>
      </c>
      <c r="C159">
        <v>157</v>
      </c>
      <c r="D159" s="7">
        <v>47.3658</v>
      </c>
      <c r="E159" s="7">
        <f t="shared" si="4"/>
        <v>7436.4305999999997</v>
      </c>
      <c r="F159" s="7">
        <f t="shared" si="5"/>
        <v>24649</v>
      </c>
      <c r="G159" s="7"/>
    </row>
    <row r="160" spans="1:7" x14ac:dyDescent="0.35">
      <c r="A160" t="str">
        <f>"2005-08-23"</f>
        <v>2005-08-23</v>
      </c>
      <c r="B160" t="str">
        <f>"46.6893"</f>
        <v>46.6893</v>
      </c>
      <c r="C160">
        <v>158</v>
      </c>
      <c r="D160" s="7">
        <v>46.689300000000003</v>
      </c>
      <c r="E160" s="7">
        <f t="shared" si="4"/>
        <v>7376.9094000000005</v>
      </c>
      <c r="F160" s="7">
        <f t="shared" si="5"/>
        <v>24964</v>
      </c>
      <c r="G160" s="7"/>
    </row>
    <row r="161" spans="1:7" x14ac:dyDescent="0.35">
      <c r="A161" t="str">
        <f>"2005-08-24"</f>
        <v>2005-08-24</v>
      </c>
      <c r="B161" t="str">
        <f>"47.5569"</f>
        <v>47.5569</v>
      </c>
      <c r="C161">
        <v>159</v>
      </c>
      <c r="D161" s="7">
        <v>47.556899999999999</v>
      </c>
      <c r="E161" s="7">
        <f t="shared" si="4"/>
        <v>7561.5470999999998</v>
      </c>
      <c r="F161" s="7">
        <f t="shared" si="5"/>
        <v>25281</v>
      </c>
      <c r="G161" s="7"/>
    </row>
    <row r="162" spans="1:7" x14ac:dyDescent="0.35">
      <c r="A162" t="str">
        <f>"2005-08-25"</f>
        <v>2005-08-25</v>
      </c>
      <c r="B162" t="str">
        <f>"47.1253"</f>
        <v>47.1253</v>
      </c>
      <c r="C162">
        <v>160</v>
      </c>
      <c r="D162" s="7">
        <v>47.125300000000003</v>
      </c>
      <c r="E162" s="7">
        <f t="shared" si="4"/>
        <v>7540.0480000000007</v>
      </c>
      <c r="F162" s="7">
        <f t="shared" si="5"/>
        <v>25600</v>
      </c>
      <c r="G162" s="7"/>
    </row>
    <row r="163" spans="1:7" x14ac:dyDescent="0.35">
      <c r="A163" t="str">
        <f>"2005-08-26"</f>
        <v>2005-08-26</v>
      </c>
      <c r="B163" t="str">
        <f>"47.8791"</f>
        <v>47.8791</v>
      </c>
      <c r="C163">
        <v>161</v>
      </c>
      <c r="D163" s="7">
        <v>47.879100000000001</v>
      </c>
      <c r="E163" s="7">
        <f t="shared" si="4"/>
        <v>7708.5351000000001</v>
      </c>
      <c r="F163" s="7">
        <f t="shared" si="5"/>
        <v>25921</v>
      </c>
      <c r="G163" s="7"/>
    </row>
    <row r="164" spans="1:7" x14ac:dyDescent="0.35">
      <c r="A164" t="str">
        <f>"2005-08-29"</f>
        <v>2005-08-29</v>
      </c>
      <c r="B164" t="str">
        <f>"48.2913"</f>
        <v>48.2913</v>
      </c>
      <c r="C164">
        <v>162</v>
      </c>
      <c r="D164" s="7">
        <v>48.2913</v>
      </c>
      <c r="E164" s="7">
        <f t="shared" si="4"/>
        <v>7823.1905999999999</v>
      </c>
      <c r="F164" s="7">
        <f t="shared" si="5"/>
        <v>26244</v>
      </c>
      <c r="G164" s="7"/>
    </row>
    <row r="165" spans="1:7" x14ac:dyDescent="0.35">
      <c r="A165" t="str">
        <f>"2005-08-30"</f>
        <v>2005-08-30</v>
      </c>
      <c r="B165" t="str">
        <f>"49.4609"</f>
        <v>49.4609</v>
      </c>
      <c r="C165">
        <v>163</v>
      </c>
      <c r="D165" s="7">
        <v>49.460900000000002</v>
      </c>
      <c r="E165" s="7">
        <f t="shared" si="4"/>
        <v>8062.1267000000007</v>
      </c>
      <c r="F165" s="7">
        <f t="shared" si="5"/>
        <v>26569</v>
      </c>
      <c r="G165" s="7"/>
    </row>
    <row r="166" spans="1:7" x14ac:dyDescent="0.35">
      <c r="A166" t="str">
        <f>"2005-08-31"</f>
        <v>2005-08-31</v>
      </c>
      <c r="B166" t="str">
        <f>"50.455"</f>
        <v>50.455</v>
      </c>
      <c r="C166">
        <v>164</v>
      </c>
      <c r="D166" s="7">
        <v>50.454999999999998</v>
      </c>
      <c r="E166" s="7">
        <f t="shared" si="4"/>
        <v>8274.619999999999</v>
      </c>
      <c r="F166" s="7">
        <f t="shared" si="5"/>
        <v>26896</v>
      </c>
      <c r="G166" s="7"/>
    </row>
    <row r="167" spans="1:7" x14ac:dyDescent="0.35">
      <c r="A167" t="str">
        <f>"2005-09-01"</f>
        <v>2005-09-01</v>
      </c>
      <c r="B167" t="str">
        <f>"51.1376"</f>
        <v>51.1376</v>
      </c>
      <c r="C167">
        <v>165</v>
      </c>
      <c r="D167" s="7">
        <v>51.137599999999999</v>
      </c>
      <c r="E167" s="7">
        <f t="shared" si="4"/>
        <v>8437.7039999999997</v>
      </c>
      <c r="F167" s="7">
        <f t="shared" si="5"/>
        <v>27225</v>
      </c>
      <c r="G167" s="7"/>
    </row>
    <row r="168" spans="1:7" x14ac:dyDescent="0.35">
      <c r="A168" t="str">
        <f>"2005-09-02"</f>
        <v>2005-09-02</v>
      </c>
      <c r="B168" t="str">
        <f>"49.5876"</f>
        <v>49.5876</v>
      </c>
      <c r="C168">
        <v>166</v>
      </c>
      <c r="D168" s="7">
        <v>49.587600000000002</v>
      </c>
      <c r="E168" s="7">
        <f t="shared" si="4"/>
        <v>8231.5416000000005</v>
      </c>
      <c r="F168" s="7">
        <f t="shared" si="5"/>
        <v>27556</v>
      </c>
      <c r="G168" s="7"/>
    </row>
    <row r="169" spans="1:7" x14ac:dyDescent="0.35">
      <c r="A169" t="str">
        <f>"2005-09-06"</f>
        <v>2005-09-06</v>
      </c>
      <c r="B169" t="str">
        <f>"48.7317"</f>
        <v>48.7317</v>
      </c>
      <c r="C169">
        <v>167</v>
      </c>
      <c r="D169" s="7">
        <v>48.731699999999996</v>
      </c>
      <c r="E169" s="7">
        <f t="shared" si="4"/>
        <v>8138.1938999999993</v>
      </c>
      <c r="F169" s="7">
        <f t="shared" si="5"/>
        <v>27889</v>
      </c>
      <c r="G169" s="7"/>
    </row>
    <row r="170" spans="1:7" x14ac:dyDescent="0.35">
      <c r="A170" t="str">
        <f>"2005-09-07"</f>
        <v>2005-09-07</v>
      </c>
      <c r="B170" t="str">
        <f>"49.5468"</f>
        <v>49.5468</v>
      </c>
      <c r="C170">
        <v>168</v>
      </c>
      <c r="D170" s="7">
        <v>49.546799999999998</v>
      </c>
      <c r="E170" s="7">
        <f t="shared" si="4"/>
        <v>8323.8624</v>
      </c>
      <c r="F170" s="7">
        <f t="shared" si="5"/>
        <v>28224</v>
      </c>
      <c r="G170" s="7"/>
    </row>
    <row r="171" spans="1:7" x14ac:dyDescent="0.35">
      <c r="A171" t="str">
        <f>"2005-09-08"</f>
        <v>2005-09-08</v>
      </c>
      <c r="B171" t="str">
        <f>"49.697"</f>
        <v>49.697</v>
      </c>
      <c r="C171">
        <v>169</v>
      </c>
      <c r="D171" s="7">
        <v>49.697000000000003</v>
      </c>
      <c r="E171" s="7">
        <f t="shared" si="4"/>
        <v>8398.7929999999997</v>
      </c>
      <c r="F171" s="7">
        <f t="shared" si="5"/>
        <v>28561</v>
      </c>
      <c r="G171" s="7"/>
    </row>
    <row r="172" spans="1:7" x14ac:dyDescent="0.35">
      <c r="A172" t="str">
        <f>"2005-09-09"</f>
        <v>2005-09-09</v>
      </c>
      <c r="B172" t="str">
        <f>"50.0453"</f>
        <v>50.0453</v>
      </c>
      <c r="C172">
        <v>170</v>
      </c>
      <c r="D172" s="7">
        <v>50.045299999999997</v>
      </c>
      <c r="E172" s="7">
        <f t="shared" si="4"/>
        <v>8507.7009999999991</v>
      </c>
      <c r="F172" s="7">
        <f t="shared" si="5"/>
        <v>28900</v>
      </c>
      <c r="G172" s="7"/>
    </row>
    <row r="173" spans="1:7" x14ac:dyDescent="0.35">
      <c r="A173" t="str">
        <f>"2005-09-12"</f>
        <v>2005-09-12</v>
      </c>
      <c r="B173" t="str">
        <f>"50.5112"</f>
        <v>50.5112</v>
      </c>
      <c r="C173">
        <v>171</v>
      </c>
      <c r="D173" s="7">
        <v>50.511200000000002</v>
      </c>
      <c r="E173" s="7">
        <f t="shared" si="4"/>
        <v>8637.4152000000013</v>
      </c>
      <c r="F173" s="7">
        <f t="shared" si="5"/>
        <v>29241</v>
      </c>
      <c r="G173" s="7"/>
    </row>
    <row r="174" spans="1:7" x14ac:dyDescent="0.35">
      <c r="A174" t="str">
        <f>"2005-09-13"</f>
        <v>2005-09-13</v>
      </c>
      <c r="B174" t="str">
        <f>"50.3998"</f>
        <v>50.3998</v>
      </c>
      <c r="C174">
        <v>172</v>
      </c>
      <c r="D174" s="7">
        <v>50.399799999999999</v>
      </c>
      <c r="E174" s="7">
        <f t="shared" si="4"/>
        <v>8668.7656000000006</v>
      </c>
      <c r="F174" s="7">
        <f t="shared" si="5"/>
        <v>29584</v>
      </c>
      <c r="G174" s="7"/>
    </row>
    <row r="175" spans="1:7" x14ac:dyDescent="0.35">
      <c r="A175" t="str">
        <f>"2005-09-14"</f>
        <v>2005-09-14</v>
      </c>
      <c r="B175" t="str">
        <f>"47.7694"</f>
        <v>47.7694</v>
      </c>
      <c r="C175">
        <v>173</v>
      </c>
      <c r="D175" s="7">
        <v>47.769399999999997</v>
      </c>
      <c r="E175" s="7">
        <f t="shared" si="4"/>
        <v>8264.1062000000002</v>
      </c>
      <c r="F175" s="7">
        <f t="shared" si="5"/>
        <v>29929</v>
      </c>
      <c r="G175" s="7"/>
    </row>
    <row r="176" spans="1:7" x14ac:dyDescent="0.35">
      <c r="A176" t="str">
        <f>"2005-09-15"</f>
        <v>2005-09-15</v>
      </c>
      <c r="B176" t="str">
        <f>"48.2309"</f>
        <v>48.2309</v>
      </c>
      <c r="C176">
        <v>174</v>
      </c>
      <c r="D176" s="7">
        <v>48.230899999999998</v>
      </c>
      <c r="E176" s="7">
        <f t="shared" si="4"/>
        <v>8392.1765999999989</v>
      </c>
      <c r="F176" s="7">
        <f t="shared" si="5"/>
        <v>30276</v>
      </c>
      <c r="G176" s="7"/>
    </row>
    <row r="177" spans="1:7" x14ac:dyDescent="0.35">
      <c r="A177" t="str">
        <f>"2005-09-16"</f>
        <v>2005-09-16</v>
      </c>
      <c r="B177" t="str">
        <f>"48.6646"</f>
        <v>48.6646</v>
      </c>
      <c r="C177">
        <v>175</v>
      </c>
      <c r="D177" s="7">
        <v>48.6646</v>
      </c>
      <c r="E177" s="7">
        <f t="shared" si="4"/>
        <v>8516.3050000000003</v>
      </c>
      <c r="F177" s="7">
        <f t="shared" si="5"/>
        <v>30625</v>
      </c>
      <c r="G177" s="7"/>
    </row>
    <row r="178" spans="1:7" x14ac:dyDescent="0.35">
      <c r="A178" t="str">
        <f>"2005-09-19"</f>
        <v>2005-09-19</v>
      </c>
      <c r="B178" t="str">
        <f>"47.8068"</f>
        <v>47.8068</v>
      </c>
      <c r="C178">
        <v>176</v>
      </c>
      <c r="D178" s="7">
        <v>47.806800000000003</v>
      </c>
      <c r="E178" s="7">
        <f t="shared" si="4"/>
        <v>8413.9968000000008</v>
      </c>
      <c r="F178" s="7">
        <f t="shared" si="5"/>
        <v>30976</v>
      </c>
      <c r="G178" s="7"/>
    </row>
    <row r="179" spans="1:7" x14ac:dyDescent="0.35">
      <c r="A179" t="str">
        <f>"2005-09-20"</f>
        <v>2005-09-20</v>
      </c>
      <c r="B179" t="str">
        <f>"48.542"</f>
        <v>48.542</v>
      </c>
      <c r="C179">
        <v>177</v>
      </c>
      <c r="D179" s="7">
        <v>48.542000000000002</v>
      </c>
      <c r="E179" s="7">
        <f t="shared" si="4"/>
        <v>8591.9340000000011</v>
      </c>
      <c r="F179" s="7">
        <f t="shared" si="5"/>
        <v>31329</v>
      </c>
      <c r="G179" s="7"/>
    </row>
    <row r="180" spans="1:7" x14ac:dyDescent="0.35">
      <c r="A180" t="str">
        <f>"2005-09-22"</f>
        <v>2005-09-22</v>
      </c>
      <c r="B180" t="str">
        <f>"48.2754"</f>
        <v>48.2754</v>
      </c>
      <c r="C180">
        <v>178</v>
      </c>
      <c r="D180" s="7">
        <v>48.275399999999998</v>
      </c>
      <c r="E180" s="7">
        <f t="shared" si="4"/>
        <v>8593.0211999999992</v>
      </c>
      <c r="F180" s="7">
        <f t="shared" si="5"/>
        <v>31684</v>
      </c>
      <c r="G180" s="7"/>
    </row>
    <row r="181" spans="1:7" x14ac:dyDescent="0.35">
      <c r="A181" t="str">
        <f>"2005-09-23"</f>
        <v>2005-09-23</v>
      </c>
      <c r="B181" t="str">
        <f>"47.0816"</f>
        <v>47.0816</v>
      </c>
      <c r="C181">
        <v>179</v>
      </c>
      <c r="D181" s="7">
        <v>47.081600000000002</v>
      </c>
      <c r="E181" s="7">
        <f t="shared" si="4"/>
        <v>8427.6064000000006</v>
      </c>
      <c r="F181" s="7">
        <f t="shared" si="5"/>
        <v>32041</v>
      </c>
      <c r="G181" s="7"/>
    </row>
    <row r="182" spans="1:7" x14ac:dyDescent="0.35">
      <c r="A182" t="str">
        <f>"2005-09-26"</f>
        <v>2005-09-26</v>
      </c>
      <c r="B182" t="str">
        <f>"46.8391"</f>
        <v>46.8391</v>
      </c>
      <c r="C182">
        <v>180</v>
      </c>
      <c r="D182" s="7">
        <v>46.839100000000002</v>
      </c>
      <c r="E182" s="7">
        <f t="shared" si="4"/>
        <v>8431.0380000000005</v>
      </c>
      <c r="F182" s="7">
        <f t="shared" si="5"/>
        <v>32400</v>
      </c>
      <c r="G182" s="7"/>
    </row>
    <row r="183" spans="1:7" x14ac:dyDescent="0.35">
      <c r="A183" t="str">
        <f>"2005-09-27"</f>
        <v>2005-09-27</v>
      </c>
      <c r="B183" t="str">
        <f>"46.6316"</f>
        <v>46.6316</v>
      </c>
      <c r="C183">
        <v>181</v>
      </c>
      <c r="D183" s="7">
        <v>46.631599999999999</v>
      </c>
      <c r="E183" s="7">
        <f t="shared" si="4"/>
        <v>8440.3195999999989</v>
      </c>
      <c r="F183" s="7">
        <f t="shared" si="5"/>
        <v>32761</v>
      </c>
      <c r="G183" s="7"/>
    </row>
    <row r="184" spans="1:7" x14ac:dyDescent="0.35">
      <c r="A184" t="str">
        <f>"2005-09-28"</f>
        <v>2005-09-28</v>
      </c>
      <c r="B184" t="str">
        <f>"44.5397"</f>
        <v>44.5397</v>
      </c>
      <c r="C184">
        <v>182</v>
      </c>
      <c r="D184" s="7">
        <v>44.539700000000003</v>
      </c>
      <c r="E184" s="7">
        <f t="shared" si="4"/>
        <v>8106.2254000000003</v>
      </c>
      <c r="F184" s="7">
        <f t="shared" si="5"/>
        <v>33124</v>
      </c>
      <c r="G184" s="7"/>
    </row>
    <row r="185" spans="1:7" x14ac:dyDescent="0.35">
      <c r="A185" t="str">
        <f>"2005-09-29"</f>
        <v>2005-09-29</v>
      </c>
      <c r="B185" t="str">
        <f>"45.2333"</f>
        <v>45.2333</v>
      </c>
      <c r="C185">
        <v>183</v>
      </c>
      <c r="D185" s="7">
        <v>45.2333</v>
      </c>
      <c r="E185" s="7">
        <f t="shared" si="4"/>
        <v>8277.6939000000002</v>
      </c>
      <c r="F185" s="7">
        <f t="shared" si="5"/>
        <v>33489</v>
      </c>
      <c r="G185" s="7"/>
    </row>
    <row r="186" spans="1:7" x14ac:dyDescent="0.35">
      <c r="A186" t="str">
        <f>"2005-09-30"</f>
        <v>2005-09-30</v>
      </c>
      <c r="B186" t="str">
        <f>"44.4261"</f>
        <v>44.4261</v>
      </c>
      <c r="C186">
        <v>184</v>
      </c>
      <c r="D186" s="7">
        <v>44.426099999999998</v>
      </c>
      <c r="E186" s="7">
        <f t="shared" si="4"/>
        <v>8174.4023999999999</v>
      </c>
      <c r="F186" s="7">
        <f t="shared" si="5"/>
        <v>33856</v>
      </c>
      <c r="G186" s="7"/>
    </row>
    <row r="187" spans="1:7" x14ac:dyDescent="0.35">
      <c r="A187" t="str">
        <f>"2005-10-03"</f>
        <v>2005-10-03</v>
      </c>
      <c r="B187" t="str">
        <f>"45.0038"</f>
        <v>45.0038</v>
      </c>
      <c r="C187">
        <v>185</v>
      </c>
      <c r="D187" s="7">
        <v>45.003799999999998</v>
      </c>
      <c r="E187" s="7">
        <f t="shared" si="4"/>
        <v>8325.7029999999995</v>
      </c>
      <c r="F187" s="7">
        <f t="shared" si="5"/>
        <v>34225</v>
      </c>
      <c r="G187" s="7"/>
    </row>
    <row r="188" spans="1:7" x14ac:dyDescent="0.35">
      <c r="A188" t="str">
        <f>"2005-10-04"</f>
        <v>2005-10-04</v>
      </c>
      <c r="B188" t="str">
        <f>"46.9763"</f>
        <v>46.9763</v>
      </c>
      <c r="C188">
        <v>186</v>
      </c>
      <c r="D188" s="7">
        <v>46.976300000000002</v>
      </c>
      <c r="E188" s="7">
        <f t="shared" si="4"/>
        <v>8737.5918000000001</v>
      </c>
      <c r="F188" s="7">
        <f t="shared" si="5"/>
        <v>34596</v>
      </c>
      <c r="G188" s="7"/>
    </row>
    <row r="189" spans="1:7" x14ac:dyDescent="0.35">
      <c r="A189" t="str">
        <f>"2005-10-05"</f>
        <v>2005-10-05</v>
      </c>
      <c r="B189" t="str">
        <f>"47.3245"</f>
        <v>47.3245</v>
      </c>
      <c r="C189">
        <v>187</v>
      </c>
      <c r="D189" s="7">
        <v>47.3245</v>
      </c>
      <c r="E189" s="7">
        <f t="shared" si="4"/>
        <v>8849.6815000000006</v>
      </c>
      <c r="F189" s="7">
        <f t="shared" si="5"/>
        <v>34969</v>
      </c>
      <c r="G189" s="7"/>
    </row>
    <row r="190" spans="1:7" x14ac:dyDescent="0.35">
      <c r="A190" t="str">
        <f>"2005-10-06"</f>
        <v>2005-10-06</v>
      </c>
      <c r="B190" t="str">
        <f>"45.4773"</f>
        <v>45.4773</v>
      </c>
      <c r="C190">
        <v>188</v>
      </c>
      <c r="D190" s="7">
        <v>45.4773</v>
      </c>
      <c r="E190" s="7">
        <f t="shared" si="4"/>
        <v>8549.7324000000008</v>
      </c>
      <c r="F190" s="7">
        <f t="shared" si="5"/>
        <v>35344</v>
      </c>
      <c r="G190" s="7"/>
    </row>
    <row r="191" spans="1:7" x14ac:dyDescent="0.35">
      <c r="A191" t="str">
        <f>"2005-10-07"</f>
        <v>2005-10-07</v>
      </c>
      <c r="B191" t="str">
        <f>"45.7132"</f>
        <v>45.7132</v>
      </c>
      <c r="C191">
        <v>189</v>
      </c>
      <c r="D191" s="7">
        <v>45.713200000000001</v>
      </c>
      <c r="E191" s="7">
        <f t="shared" si="4"/>
        <v>8639.7947999999997</v>
      </c>
      <c r="F191" s="7">
        <f t="shared" si="5"/>
        <v>35721</v>
      </c>
      <c r="G191" s="7"/>
    </row>
    <row r="192" spans="1:7" x14ac:dyDescent="0.35">
      <c r="A192" t="str">
        <f>"2005-10-10"</f>
        <v>2005-10-10</v>
      </c>
      <c r="B192" t="str">
        <f>"45.5731"</f>
        <v>45.5731</v>
      </c>
      <c r="C192">
        <v>190</v>
      </c>
      <c r="D192" s="7">
        <v>45.573099999999997</v>
      </c>
      <c r="E192" s="7">
        <f t="shared" si="4"/>
        <v>8658.8889999999992</v>
      </c>
      <c r="F192" s="7">
        <f t="shared" si="5"/>
        <v>36100</v>
      </c>
      <c r="G192" s="7"/>
    </row>
    <row r="193" spans="1:7" x14ac:dyDescent="0.35">
      <c r="A193" t="str">
        <f>"2005-10-11"</f>
        <v>2005-10-11</v>
      </c>
      <c r="B193" t="str">
        <f>"46.3191"</f>
        <v>46.3191</v>
      </c>
      <c r="C193">
        <v>191</v>
      </c>
      <c r="D193" s="7">
        <v>46.319099999999999</v>
      </c>
      <c r="E193" s="7">
        <f t="shared" si="4"/>
        <v>8846.9480999999996</v>
      </c>
      <c r="F193" s="7">
        <f t="shared" si="5"/>
        <v>36481</v>
      </c>
      <c r="G193" s="7"/>
    </row>
    <row r="194" spans="1:7" x14ac:dyDescent="0.35">
      <c r="A194" t="str">
        <f>"2005-10-12"</f>
        <v>2005-10-12</v>
      </c>
      <c r="B194" t="str">
        <f>"45.3187"</f>
        <v>45.3187</v>
      </c>
      <c r="C194">
        <v>192</v>
      </c>
      <c r="D194" s="7">
        <v>45.3187</v>
      </c>
      <c r="E194" s="7">
        <f t="shared" si="4"/>
        <v>8701.1903999999995</v>
      </c>
      <c r="F194" s="7">
        <f t="shared" si="5"/>
        <v>36864</v>
      </c>
      <c r="G194" s="7"/>
    </row>
    <row r="195" spans="1:7" x14ac:dyDescent="0.35">
      <c r="A195" t="str">
        <f>"2005-10-13"</f>
        <v>2005-10-13</v>
      </c>
      <c r="B195" t="str">
        <f>"44.4351"</f>
        <v>44.4351</v>
      </c>
      <c r="C195">
        <v>193</v>
      </c>
      <c r="D195" s="7">
        <v>44.435099999999998</v>
      </c>
      <c r="E195" s="7">
        <f t="shared" si="4"/>
        <v>8575.9742999999999</v>
      </c>
      <c r="F195" s="7">
        <f t="shared" si="5"/>
        <v>37249</v>
      </c>
      <c r="G195" s="7"/>
    </row>
    <row r="196" spans="1:7" x14ac:dyDescent="0.35">
      <c r="A196" t="str">
        <f>"2005-10-14"</f>
        <v>2005-10-14</v>
      </c>
      <c r="B196" t="str">
        <f>"44.0641"</f>
        <v>44.0641</v>
      </c>
      <c r="C196">
        <v>194</v>
      </c>
      <c r="D196" s="7">
        <v>44.064100000000003</v>
      </c>
      <c r="E196" s="7">
        <f t="shared" ref="E196:E259" si="6">C196*D196</f>
        <v>8548.4354000000003</v>
      </c>
      <c r="F196" s="7">
        <f t="shared" ref="F196:F259" si="7">C196*C196</f>
        <v>37636</v>
      </c>
      <c r="G196" s="7"/>
    </row>
    <row r="197" spans="1:7" x14ac:dyDescent="0.35">
      <c r="A197" t="str">
        <f>"2005-10-17"</f>
        <v>2005-10-17</v>
      </c>
      <c r="B197" t="str">
        <f>"43.1253"</f>
        <v>43.1253</v>
      </c>
      <c r="C197">
        <v>195</v>
      </c>
      <c r="D197" s="7">
        <v>43.125300000000003</v>
      </c>
      <c r="E197" s="7">
        <f t="shared" si="6"/>
        <v>8409.433500000001</v>
      </c>
      <c r="F197" s="7">
        <f t="shared" si="7"/>
        <v>38025</v>
      </c>
      <c r="G197" s="7"/>
    </row>
    <row r="198" spans="1:7" x14ac:dyDescent="0.35">
      <c r="A198" t="str">
        <f>"2005-10-18"</f>
        <v>2005-10-18</v>
      </c>
      <c r="B198" t="str">
        <f>"43.6654"</f>
        <v>43.6654</v>
      </c>
      <c r="C198">
        <v>196</v>
      </c>
      <c r="D198" s="7">
        <v>43.665399999999998</v>
      </c>
      <c r="E198" s="7">
        <f t="shared" si="6"/>
        <v>8558.4184000000005</v>
      </c>
      <c r="F198" s="7">
        <f t="shared" si="7"/>
        <v>38416</v>
      </c>
      <c r="G198" s="7"/>
    </row>
    <row r="199" spans="1:7" x14ac:dyDescent="0.35">
      <c r="A199" t="str">
        <f>"2005-10-19"</f>
        <v>2005-10-19</v>
      </c>
      <c r="B199" t="str">
        <f>"43.2315"</f>
        <v>43.2315</v>
      </c>
      <c r="C199">
        <v>197</v>
      </c>
      <c r="D199" s="7">
        <v>43.231499999999997</v>
      </c>
      <c r="E199" s="7">
        <f t="shared" si="6"/>
        <v>8516.6054999999997</v>
      </c>
      <c r="F199" s="7">
        <f t="shared" si="7"/>
        <v>38809</v>
      </c>
      <c r="G199" s="7"/>
    </row>
    <row r="200" spans="1:7" x14ac:dyDescent="0.35">
      <c r="A200" t="str">
        <f>"2005-10-20"</f>
        <v>2005-10-20</v>
      </c>
      <c r="B200" t="str">
        <f>"43.5456"</f>
        <v>43.5456</v>
      </c>
      <c r="C200">
        <v>198</v>
      </c>
      <c r="D200" s="7">
        <v>43.5456</v>
      </c>
      <c r="E200" s="7">
        <f t="shared" si="6"/>
        <v>8622.0288</v>
      </c>
      <c r="F200" s="7">
        <f t="shared" si="7"/>
        <v>39204</v>
      </c>
      <c r="G200" s="7"/>
    </row>
    <row r="201" spans="1:7" x14ac:dyDescent="0.35">
      <c r="A201" t="str">
        <f>"2005-10-21"</f>
        <v>2005-10-21</v>
      </c>
      <c r="B201" t="str">
        <f>"42.818"</f>
        <v>42.818</v>
      </c>
      <c r="C201">
        <v>199</v>
      </c>
      <c r="D201" s="7">
        <v>42.817999999999998</v>
      </c>
      <c r="E201" s="7">
        <f t="shared" si="6"/>
        <v>8520.7819999999992</v>
      </c>
      <c r="F201" s="7">
        <f t="shared" si="7"/>
        <v>39601</v>
      </c>
      <c r="G201" s="7"/>
    </row>
    <row r="202" spans="1:7" x14ac:dyDescent="0.35">
      <c r="A202" t="str">
        <f>"2005-10-24"</f>
        <v>2005-10-24</v>
      </c>
      <c r="B202" t="str">
        <f>"43.3456"</f>
        <v>43.3456</v>
      </c>
      <c r="C202">
        <v>200</v>
      </c>
      <c r="D202" s="7">
        <v>43.345599999999997</v>
      </c>
      <c r="E202" s="7">
        <f t="shared" si="6"/>
        <v>8669.119999999999</v>
      </c>
      <c r="F202" s="7">
        <f t="shared" si="7"/>
        <v>40000</v>
      </c>
      <c r="G202" s="7"/>
    </row>
    <row r="203" spans="1:7" x14ac:dyDescent="0.35">
      <c r="A203" t="str">
        <f>"2005-10-25"</f>
        <v>2005-10-25</v>
      </c>
      <c r="B203" t="str">
        <f>"42.6057"</f>
        <v>42.6057</v>
      </c>
      <c r="C203">
        <v>201</v>
      </c>
      <c r="D203" s="7">
        <v>42.605699999999999</v>
      </c>
      <c r="E203" s="7">
        <f t="shared" si="6"/>
        <v>8563.7456999999995</v>
      </c>
      <c r="F203" s="7">
        <f t="shared" si="7"/>
        <v>40401</v>
      </c>
      <c r="G203" s="7"/>
    </row>
    <row r="204" spans="1:7" x14ac:dyDescent="0.35">
      <c r="A204" t="str">
        <f>"2005-10-26"</f>
        <v>2005-10-26</v>
      </c>
      <c r="B204" t="str">
        <f>"42.6399"</f>
        <v>42.6399</v>
      </c>
      <c r="C204">
        <v>202</v>
      </c>
      <c r="D204" s="7">
        <v>42.639899999999997</v>
      </c>
      <c r="E204" s="7">
        <f t="shared" si="6"/>
        <v>8613.2597999999998</v>
      </c>
      <c r="F204" s="7">
        <f t="shared" si="7"/>
        <v>40804</v>
      </c>
      <c r="G204" s="7"/>
    </row>
    <row r="205" spans="1:7" x14ac:dyDescent="0.35">
      <c r="A205" t="str">
        <f>"2005-10-27"</f>
        <v>2005-10-27</v>
      </c>
      <c r="B205" t="str">
        <f>"41.6224"</f>
        <v>41.6224</v>
      </c>
      <c r="C205">
        <v>203</v>
      </c>
      <c r="D205" s="7">
        <v>41.622399999999999</v>
      </c>
      <c r="E205" s="7">
        <f t="shared" si="6"/>
        <v>8449.3472000000002</v>
      </c>
      <c r="F205" s="7">
        <f t="shared" si="7"/>
        <v>41209</v>
      </c>
      <c r="G205" s="7"/>
    </row>
    <row r="206" spans="1:7" x14ac:dyDescent="0.35">
      <c r="A206" t="str">
        <f>"2005-10-28"</f>
        <v>2005-10-28</v>
      </c>
      <c r="B206" t="str">
        <f>"41.6928"</f>
        <v>41.6928</v>
      </c>
      <c r="C206">
        <v>204</v>
      </c>
      <c r="D206" s="7">
        <v>41.692799999999998</v>
      </c>
      <c r="E206" s="7">
        <f t="shared" si="6"/>
        <v>8505.3312000000005</v>
      </c>
      <c r="F206" s="7">
        <f t="shared" si="7"/>
        <v>41616</v>
      </c>
      <c r="G206" s="7"/>
    </row>
    <row r="207" spans="1:7" x14ac:dyDescent="0.35">
      <c r="A207" t="str">
        <f>"2005-10-31"</f>
        <v>2005-10-31</v>
      </c>
      <c r="B207" t="str">
        <f>"43.1569"</f>
        <v>43.1569</v>
      </c>
      <c r="C207">
        <v>205</v>
      </c>
      <c r="D207" s="7">
        <v>43.1569</v>
      </c>
      <c r="E207" s="7">
        <f t="shared" si="6"/>
        <v>8847.1645000000008</v>
      </c>
      <c r="F207" s="7">
        <f t="shared" si="7"/>
        <v>42025</v>
      </c>
      <c r="G207" s="7"/>
    </row>
    <row r="208" spans="1:7" x14ac:dyDescent="0.35">
      <c r="A208" t="str">
        <f>"2005-11-01"</f>
        <v>2005-11-01</v>
      </c>
      <c r="B208" t="str">
        <f>"43.7984"</f>
        <v>43.7984</v>
      </c>
      <c r="C208">
        <v>206</v>
      </c>
      <c r="D208" s="7">
        <v>43.798400000000001</v>
      </c>
      <c r="E208" s="7">
        <f t="shared" si="6"/>
        <v>9022.4704000000002</v>
      </c>
      <c r="F208" s="7">
        <f t="shared" si="7"/>
        <v>42436</v>
      </c>
      <c r="G208" s="7"/>
    </row>
    <row r="209" spans="1:7" x14ac:dyDescent="0.35">
      <c r="A209" t="str">
        <f>"2005-11-02"</f>
        <v>2005-11-02</v>
      </c>
      <c r="B209" t="str">
        <f>"44.0373"</f>
        <v>44.0373</v>
      </c>
      <c r="C209">
        <v>207</v>
      </c>
      <c r="D209" s="7">
        <v>44.037300000000002</v>
      </c>
      <c r="E209" s="7">
        <f t="shared" si="6"/>
        <v>9115.7211000000007</v>
      </c>
      <c r="F209" s="7">
        <f t="shared" si="7"/>
        <v>42849</v>
      </c>
      <c r="G209" s="7"/>
    </row>
    <row r="210" spans="1:7" x14ac:dyDescent="0.35">
      <c r="A210" t="str">
        <f>"2005-11-03"</f>
        <v>2005-11-03</v>
      </c>
      <c r="B210" t="str">
        <f>"44.2136"</f>
        <v>44.2136</v>
      </c>
      <c r="C210">
        <v>208</v>
      </c>
      <c r="D210" s="7">
        <v>44.2136</v>
      </c>
      <c r="E210" s="7">
        <f t="shared" si="6"/>
        <v>9196.4287999999997</v>
      </c>
      <c r="F210" s="7">
        <f t="shared" si="7"/>
        <v>43264</v>
      </c>
      <c r="G210" s="7"/>
    </row>
    <row r="211" spans="1:7" x14ac:dyDescent="0.35">
      <c r="A211" t="str">
        <f>"2005-11-04"</f>
        <v>2005-11-04</v>
      </c>
      <c r="B211" t="str">
        <f>"44.2045"</f>
        <v>44.2045</v>
      </c>
      <c r="C211">
        <v>209</v>
      </c>
      <c r="D211" s="7">
        <v>44.204500000000003</v>
      </c>
      <c r="E211" s="7">
        <f t="shared" si="6"/>
        <v>9238.7404999999999</v>
      </c>
      <c r="F211" s="7">
        <f t="shared" si="7"/>
        <v>43681</v>
      </c>
      <c r="G211" s="7"/>
    </row>
    <row r="212" spans="1:7" x14ac:dyDescent="0.35">
      <c r="A212" t="str">
        <f>"2005-11-07"</f>
        <v>2005-11-07</v>
      </c>
      <c r="B212" t="str">
        <f>"43.6605"</f>
        <v>43.6605</v>
      </c>
      <c r="C212">
        <v>210</v>
      </c>
      <c r="D212" s="7">
        <v>43.660499999999999</v>
      </c>
      <c r="E212" s="7">
        <f t="shared" si="6"/>
        <v>9168.7049999999999</v>
      </c>
      <c r="F212" s="7">
        <f t="shared" si="7"/>
        <v>44100</v>
      </c>
      <c r="G212" s="7"/>
    </row>
    <row r="213" spans="1:7" x14ac:dyDescent="0.35">
      <c r="A213" t="str">
        <f>"2005-11-08"</f>
        <v>2005-11-08</v>
      </c>
      <c r="B213" t="str">
        <f>"44.0619"</f>
        <v>44.0619</v>
      </c>
      <c r="C213">
        <v>211</v>
      </c>
      <c r="D213" s="7">
        <v>44.061900000000001</v>
      </c>
      <c r="E213" s="7">
        <f t="shared" si="6"/>
        <v>9297.0609000000004</v>
      </c>
      <c r="F213" s="7">
        <f t="shared" si="7"/>
        <v>44521</v>
      </c>
      <c r="G213" s="7"/>
    </row>
    <row r="214" spans="1:7" x14ac:dyDescent="0.35">
      <c r="A214" t="str">
        <f>"2005-11-09"</f>
        <v>2005-11-09</v>
      </c>
      <c r="B214" t="str">
        <f>"45.1304"</f>
        <v>45.1304</v>
      </c>
      <c r="C214">
        <v>212</v>
      </c>
      <c r="D214" s="7">
        <v>45.130400000000002</v>
      </c>
      <c r="E214" s="7">
        <f t="shared" si="6"/>
        <v>9567.6448</v>
      </c>
      <c r="F214" s="7">
        <f t="shared" si="7"/>
        <v>44944</v>
      </c>
      <c r="G214" s="7"/>
    </row>
    <row r="215" spans="1:7" x14ac:dyDescent="0.35">
      <c r="A215" t="str">
        <f>"2005-11-10"</f>
        <v>2005-11-10</v>
      </c>
      <c r="B215" t="str">
        <f>"45.5825"</f>
        <v>45.5825</v>
      </c>
      <c r="C215">
        <v>213</v>
      </c>
      <c r="D215" s="7">
        <v>45.582500000000003</v>
      </c>
      <c r="E215" s="7">
        <f t="shared" si="6"/>
        <v>9709.0725000000002</v>
      </c>
      <c r="F215" s="7">
        <f t="shared" si="7"/>
        <v>45369</v>
      </c>
      <c r="G215" s="7"/>
    </row>
    <row r="216" spans="1:7" x14ac:dyDescent="0.35">
      <c r="A216" t="str">
        <f>"2005-11-11"</f>
        <v>2005-11-11</v>
      </c>
      <c r="B216" t="str">
        <f>"46.2555"</f>
        <v>46.2555</v>
      </c>
      <c r="C216">
        <v>214</v>
      </c>
      <c r="D216" s="7">
        <v>46.255499999999998</v>
      </c>
      <c r="E216" s="7">
        <f t="shared" si="6"/>
        <v>9898.6769999999997</v>
      </c>
      <c r="F216" s="7">
        <f t="shared" si="7"/>
        <v>45796</v>
      </c>
      <c r="G216" s="7"/>
    </row>
    <row r="217" spans="1:7" x14ac:dyDescent="0.35">
      <c r="A217" t="str">
        <f>"2005-11-14"</f>
        <v>2005-11-14</v>
      </c>
      <c r="B217" t="str">
        <f>"45.8367"</f>
        <v>45.8367</v>
      </c>
      <c r="C217">
        <v>215</v>
      </c>
      <c r="D217" s="7">
        <v>45.8367</v>
      </c>
      <c r="E217" s="7">
        <f t="shared" si="6"/>
        <v>9854.8904999999995</v>
      </c>
      <c r="F217" s="7">
        <f t="shared" si="7"/>
        <v>46225</v>
      </c>
      <c r="G217" s="7"/>
    </row>
    <row r="218" spans="1:7" x14ac:dyDescent="0.35">
      <c r="A218" t="str">
        <f>"2005-11-15"</f>
        <v>2005-11-15</v>
      </c>
      <c r="B218" t="str">
        <f>"46.6031"</f>
        <v>46.6031</v>
      </c>
      <c r="C218">
        <v>216</v>
      </c>
      <c r="D218" s="7">
        <v>46.603099999999998</v>
      </c>
      <c r="E218" s="7">
        <f t="shared" si="6"/>
        <v>10066.2696</v>
      </c>
      <c r="F218" s="7">
        <f t="shared" si="7"/>
        <v>46656</v>
      </c>
      <c r="G218" s="7"/>
    </row>
    <row r="219" spans="1:7" x14ac:dyDescent="0.35">
      <c r="A219" t="str">
        <f>"2005-11-16"</f>
        <v>2005-11-16</v>
      </c>
      <c r="B219" t="str">
        <f>"47.6323"</f>
        <v>47.6323</v>
      </c>
      <c r="C219">
        <v>217</v>
      </c>
      <c r="D219" s="7">
        <v>47.632300000000001</v>
      </c>
      <c r="E219" s="7">
        <f t="shared" si="6"/>
        <v>10336.2091</v>
      </c>
      <c r="F219" s="7">
        <f t="shared" si="7"/>
        <v>47089</v>
      </c>
      <c r="G219" s="7"/>
    </row>
    <row r="220" spans="1:7" x14ac:dyDescent="0.35">
      <c r="A220" t="str">
        <f>"2005-11-17"</f>
        <v>2005-11-17</v>
      </c>
      <c r="B220" t="str">
        <f>"47.2057"</f>
        <v>47.2057</v>
      </c>
      <c r="C220">
        <v>218</v>
      </c>
      <c r="D220" s="7">
        <v>47.2057</v>
      </c>
      <c r="E220" s="7">
        <f t="shared" si="6"/>
        <v>10290.8426</v>
      </c>
      <c r="F220" s="7">
        <f t="shared" si="7"/>
        <v>47524</v>
      </c>
      <c r="G220" s="7"/>
    </row>
    <row r="221" spans="1:7" x14ac:dyDescent="0.35">
      <c r="A221" t="str">
        <f>"2005-11-18"</f>
        <v>2005-11-18</v>
      </c>
      <c r="B221" t="str">
        <f>"46.9731"</f>
        <v>46.9731</v>
      </c>
      <c r="C221">
        <v>219</v>
      </c>
      <c r="D221" s="7">
        <v>46.973100000000002</v>
      </c>
      <c r="E221" s="7">
        <f t="shared" si="6"/>
        <v>10287.108900000001</v>
      </c>
      <c r="F221" s="7">
        <f t="shared" si="7"/>
        <v>47961</v>
      </c>
      <c r="G221" s="7"/>
    </row>
    <row r="222" spans="1:7" x14ac:dyDescent="0.35">
      <c r="A222" t="str">
        <f>"2005-11-21"</f>
        <v>2005-11-21</v>
      </c>
      <c r="B222" t="str">
        <f>"47.8976"</f>
        <v>47.8976</v>
      </c>
      <c r="C222">
        <v>220</v>
      </c>
      <c r="D222" s="7">
        <v>47.897599999999997</v>
      </c>
      <c r="E222" s="7">
        <f t="shared" si="6"/>
        <v>10537.472</v>
      </c>
      <c r="F222" s="7">
        <f t="shared" si="7"/>
        <v>48400</v>
      </c>
      <c r="G222" s="7"/>
    </row>
    <row r="223" spans="1:7" x14ac:dyDescent="0.35">
      <c r="A223" t="str">
        <f>"2005-11-22"</f>
        <v>2005-11-22</v>
      </c>
      <c r="B223" t="str">
        <f>"46.995"</f>
        <v>46.995</v>
      </c>
      <c r="C223">
        <v>221</v>
      </c>
      <c r="D223" s="7">
        <v>46.994999999999997</v>
      </c>
      <c r="E223" s="7">
        <f t="shared" si="6"/>
        <v>10385.894999999999</v>
      </c>
      <c r="F223" s="7">
        <f t="shared" si="7"/>
        <v>48841</v>
      </c>
      <c r="G223" s="7"/>
    </row>
    <row r="224" spans="1:7" x14ac:dyDescent="0.35">
      <c r="A224" t="str">
        <f>"2005-11-23"</f>
        <v>2005-11-23</v>
      </c>
      <c r="B224" t="str">
        <f>"47.859"</f>
        <v>47.859</v>
      </c>
      <c r="C224">
        <v>222</v>
      </c>
      <c r="D224" s="7">
        <v>47.859000000000002</v>
      </c>
      <c r="E224" s="7">
        <f t="shared" si="6"/>
        <v>10624.698</v>
      </c>
      <c r="F224" s="7">
        <f t="shared" si="7"/>
        <v>49284</v>
      </c>
      <c r="G224" s="7"/>
    </row>
    <row r="225" spans="1:7" x14ac:dyDescent="0.35">
      <c r="A225" t="str">
        <f>"2005-11-28"</f>
        <v>2005-11-28</v>
      </c>
      <c r="B225" t="str">
        <f>"47.6607"</f>
        <v>47.6607</v>
      </c>
      <c r="C225">
        <v>223</v>
      </c>
      <c r="D225" s="7">
        <v>47.660699999999999</v>
      </c>
      <c r="E225" s="7">
        <f t="shared" si="6"/>
        <v>10628.3361</v>
      </c>
      <c r="F225" s="7">
        <f t="shared" si="7"/>
        <v>49729</v>
      </c>
      <c r="G225" s="7"/>
    </row>
    <row r="226" spans="1:7" x14ac:dyDescent="0.35">
      <c r="A226" t="str">
        <f>"2005-11-29"</f>
        <v>2005-11-29</v>
      </c>
      <c r="B226" t="str">
        <f>"47.5491"</f>
        <v>47.5491</v>
      </c>
      <c r="C226">
        <v>224</v>
      </c>
      <c r="D226" s="7">
        <v>47.549100000000003</v>
      </c>
      <c r="E226" s="7">
        <f t="shared" si="6"/>
        <v>10650.9984</v>
      </c>
      <c r="F226" s="7">
        <f t="shared" si="7"/>
        <v>50176</v>
      </c>
      <c r="G226" s="7"/>
    </row>
    <row r="227" spans="1:7" x14ac:dyDescent="0.35">
      <c r="A227" t="str">
        <f>"2005-11-30"</f>
        <v>2005-11-30</v>
      </c>
      <c r="B227" t="str">
        <f>"50.3181"</f>
        <v>50.3181</v>
      </c>
      <c r="C227">
        <v>225</v>
      </c>
      <c r="D227" s="7">
        <v>50.318100000000001</v>
      </c>
      <c r="E227" s="7">
        <f t="shared" si="6"/>
        <v>11321.5725</v>
      </c>
      <c r="F227" s="7">
        <f t="shared" si="7"/>
        <v>50625</v>
      </c>
      <c r="G227" s="7"/>
    </row>
    <row r="228" spans="1:7" x14ac:dyDescent="0.35">
      <c r="A228" t="str">
        <f>"2005-12-01"</f>
        <v>2005-12-01</v>
      </c>
      <c r="B228" t="str">
        <f>"51.1328"</f>
        <v>51.1328</v>
      </c>
      <c r="C228">
        <v>226</v>
      </c>
      <c r="D228" s="7">
        <v>51.132800000000003</v>
      </c>
      <c r="E228" s="7">
        <f t="shared" si="6"/>
        <v>11556.0128</v>
      </c>
      <c r="F228" s="7">
        <f t="shared" si="7"/>
        <v>51076</v>
      </c>
      <c r="G228" s="7"/>
    </row>
    <row r="229" spans="1:7" x14ac:dyDescent="0.35">
      <c r="A229" t="str">
        <f>"2005-12-02"</f>
        <v>2005-12-02</v>
      </c>
      <c r="B229" t="str">
        <f>"51.1645"</f>
        <v>51.1645</v>
      </c>
      <c r="C229">
        <v>227</v>
      </c>
      <c r="D229" s="7">
        <v>51.164499999999997</v>
      </c>
      <c r="E229" s="7">
        <f t="shared" si="6"/>
        <v>11614.341499999999</v>
      </c>
      <c r="F229" s="7">
        <f t="shared" si="7"/>
        <v>51529</v>
      </c>
      <c r="G229" s="7"/>
    </row>
    <row r="230" spans="1:7" x14ac:dyDescent="0.35">
      <c r="A230" t="str">
        <f>"2005-12-05"</f>
        <v>2005-12-05</v>
      </c>
      <c r="B230" t="str">
        <f>"52.1386"</f>
        <v>52.1386</v>
      </c>
      <c r="C230">
        <v>228</v>
      </c>
      <c r="D230" s="7">
        <v>52.138599999999997</v>
      </c>
      <c r="E230" s="7">
        <f t="shared" si="6"/>
        <v>11887.6008</v>
      </c>
      <c r="F230" s="7">
        <f t="shared" si="7"/>
        <v>51984</v>
      </c>
      <c r="G230" s="7"/>
    </row>
    <row r="231" spans="1:7" x14ac:dyDescent="0.35">
      <c r="A231" t="str">
        <f>"2005-12-06"</f>
        <v>2005-12-06</v>
      </c>
      <c r="B231" t="str">
        <f>"50.6406"</f>
        <v>50.6406</v>
      </c>
      <c r="C231">
        <v>229</v>
      </c>
      <c r="D231" s="7">
        <v>50.640599999999999</v>
      </c>
      <c r="E231" s="7">
        <f t="shared" si="6"/>
        <v>11596.697399999999</v>
      </c>
      <c r="F231" s="7">
        <f t="shared" si="7"/>
        <v>52441</v>
      </c>
      <c r="G231" s="7"/>
    </row>
    <row r="232" spans="1:7" x14ac:dyDescent="0.35">
      <c r="A232" t="str">
        <f>"2005-12-07"</f>
        <v>2005-12-07</v>
      </c>
      <c r="B232" t="str">
        <f>"49.5226"</f>
        <v>49.5226</v>
      </c>
      <c r="C232">
        <v>230</v>
      </c>
      <c r="D232" s="7">
        <v>49.522599999999997</v>
      </c>
      <c r="E232" s="7">
        <f t="shared" si="6"/>
        <v>11390.197999999999</v>
      </c>
      <c r="F232" s="7">
        <f t="shared" si="7"/>
        <v>52900</v>
      </c>
      <c r="G232" s="7"/>
    </row>
    <row r="233" spans="1:7" x14ac:dyDescent="0.35">
      <c r="A233" t="str">
        <f>"2005-12-08"</f>
        <v>2005-12-08</v>
      </c>
      <c r="B233" t="str">
        <f>"48.2228"</f>
        <v>48.2228</v>
      </c>
      <c r="C233">
        <v>231</v>
      </c>
      <c r="D233" s="7">
        <v>48.222799999999999</v>
      </c>
      <c r="E233" s="7">
        <f t="shared" si="6"/>
        <v>11139.4668</v>
      </c>
      <c r="F233" s="7">
        <f t="shared" si="7"/>
        <v>53361</v>
      </c>
      <c r="G233" s="7"/>
    </row>
    <row r="234" spans="1:7" x14ac:dyDescent="0.35">
      <c r="A234" t="str">
        <f>"2005-12-09"</f>
        <v>2005-12-09</v>
      </c>
      <c r="B234" t="str">
        <f>"47.7065"</f>
        <v>47.7065</v>
      </c>
      <c r="C234">
        <v>232</v>
      </c>
      <c r="D234" s="7">
        <v>47.706499999999998</v>
      </c>
      <c r="E234" s="7">
        <f t="shared" si="6"/>
        <v>11067.907999999999</v>
      </c>
      <c r="F234" s="7">
        <f t="shared" si="7"/>
        <v>53824</v>
      </c>
      <c r="G234" s="7"/>
    </row>
    <row r="235" spans="1:7" x14ac:dyDescent="0.35">
      <c r="A235" t="str">
        <f>"2005-12-12"</f>
        <v>2005-12-12</v>
      </c>
      <c r="B235" t="str">
        <f>"47.3616"</f>
        <v>47.3616</v>
      </c>
      <c r="C235">
        <v>233</v>
      </c>
      <c r="D235" s="7">
        <v>47.361600000000003</v>
      </c>
      <c r="E235" s="7">
        <f t="shared" si="6"/>
        <v>11035.2528</v>
      </c>
      <c r="F235" s="7">
        <f t="shared" si="7"/>
        <v>54289</v>
      </c>
      <c r="G235" s="7"/>
    </row>
    <row r="236" spans="1:7" x14ac:dyDescent="0.35">
      <c r="A236" t="str">
        <f>"2005-12-13"</f>
        <v>2005-12-13</v>
      </c>
      <c r="B236" t="str">
        <f>"47.8244"</f>
        <v>47.8244</v>
      </c>
      <c r="C236">
        <v>234</v>
      </c>
      <c r="D236" s="7">
        <v>47.824399999999997</v>
      </c>
      <c r="E236" s="7">
        <f t="shared" si="6"/>
        <v>11190.909599999999</v>
      </c>
      <c r="F236" s="7">
        <f t="shared" si="7"/>
        <v>54756</v>
      </c>
      <c r="G236" s="7"/>
    </row>
    <row r="237" spans="1:7" x14ac:dyDescent="0.35">
      <c r="A237" t="str">
        <f>"2005-12-14"</f>
        <v>2005-12-14</v>
      </c>
      <c r="B237" t="str">
        <f>"48.036"</f>
        <v>48.036</v>
      </c>
      <c r="C237">
        <v>235</v>
      </c>
      <c r="D237" s="7">
        <v>48.036000000000001</v>
      </c>
      <c r="E237" s="7">
        <f t="shared" si="6"/>
        <v>11288.460000000001</v>
      </c>
      <c r="F237" s="7">
        <f t="shared" si="7"/>
        <v>55225</v>
      </c>
      <c r="G237" s="7"/>
    </row>
    <row r="238" spans="1:7" x14ac:dyDescent="0.35">
      <c r="A238" t="str">
        <f>"2005-12-15"</f>
        <v>2005-12-15</v>
      </c>
      <c r="B238" t="str">
        <f>"48.2122"</f>
        <v>48.2122</v>
      </c>
      <c r="C238">
        <v>236</v>
      </c>
      <c r="D238" s="7">
        <v>48.212200000000003</v>
      </c>
      <c r="E238" s="7">
        <f t="shared" si="6"/>
        <v>11378.0792</v>
      </c>
      <c r="F238" s="7">
        <f t="shared" si="7"/>
        <v>55696</v>
      </c>
      <c r="G238" s="7"/>
    </row>
    <row r="239" spans="1:7" x14ac:dyDescent="0.35">
      <c r="A239" t="str">
        <f>"2005-12-16"</f>
        <v>2005-12-16</v>
      </c>
      <c r="B239" t="str">
        <f>"50.2093"</f>
        <v>50.2093</v>
      </c>
      <c r="C239">
        <v>237</v>
      </c>
      <c r="D239" s="7">
        <v>50.209299999999999</v>
      </c>
      <c r="E239" s="7">
        <f t="shared" si="6"/>
        <v>11899.6041</v>
      </c>
      <c r="F239" s="7">
        <f t="shared" si="7"/>
        <v>56169</v>
      </c>
      <c r="G239" s="7"/>
    </row>
    <row r="240" spans="1:7" x14ac:dyDescent="0.35">
      <c r="A240" t="str">
        <f>"2005-12-19"</f>
        <v>2005-12-19</v>
      </c>
      <c r="B240" t="str">
        <f>"48.4416"</f>
        <v>48.4416</v>
      </c>
      <c r="C240">
        <v>238</v>
      </c>
      <c r="D240" s="7">
        <v>48.441600000000001</v>
      </c>
      <c r="E240" s="7">
        <f t="shared" si="6"/>
        <v>11529.1008</v>
      </c>
      <c r="F240" s="7">
        <f t="shared" si="7"/>
        <v>56644</v>
      </c>
      <c r="G240" s="7"/>
    </row>
    <row r="241" spans="1:7" x14ac:dyDescent="0.35">
      <c r="A241" t="str">
        <f>"2005-12-20"</f>
        <v>2005-12-20</v>
      </c>
      <c r="B241" t="str">
        <f>"48.7324"</f>
        <v>48.7324</v>
      </c>
      <c r="C241">
        <v>239</v>
      </c>
      <c r="D241" s="7">
        <v>48.732399999999998</v>
      </c>
      <c r="E241" s="7">
        <f t="shared" si="6"/>
        <v>11647.043599999999</v>
      </c>
      <c r="F241" s="7">
        <f t="shared" si="7"/>
        <v>57121</v>
      </c>
      <c r="G241" s="7"/>
    </row>
    <row r="242" spans="1:7" x14ac:dyDescent="0.35">
      <c r="A242" t="str">
        <f>"2005-12-21"</f>
        <v>2005-12-21</v>
      </c>
      <c r="B242" t="str">
        <f>"49.1868"</f>
        <v>49.1868</v>
      </c>
      <c r="C242">
        <v>240</v>
      </c>
      <c r="D242" s="7">
        <v>49.186799999999998</v>
      </c>
      <c r="E242" s="7">
        <f t="shared" si="6"/>
        <v>11804.832</v>
      </c>
      <c r="F242" s="7">
        <f t="shared" si="7"/>
        <v>57600</v>
      </c>
      <c r="G242" s="7"/>
    </row>
    <row r="243" spans="1:7" x14ac:dyDescent="0.35">
      <c r="A243" t="str">
        <f>"2005-12-22"</f>
        <v>2005-12-22</v>
      </c>
      <c r="B243" t="str">
        <f>"49.1095"</f>
        <v>49.1095</v>
      </c>
      <c r="C243">
        <v>241</v>
      </c>
      <c r="D243" s="7">
        <v>49.109499999999997</v>
      </c>
      <c r="E243" s="7">
        <f t="shared" si="6"/>
        <v>11835.389499999999</v>
      </c>
      <c r="F243" s="7">
        <f t="shared" si="7"/>
        <v>58081</v>
      </c>
      <c r="G243" s="7"/>
    </row>
    <row r="244" spans="1:7" x14ac:dyDescent="0.35">
      <c r="A244" t="str">
        <f>"2005-12-23"</f>
        <v>2005-12-23</v>
      </c>
      <c r="B244" t="str">
        <f>"49.97"</f>
        <v>49.97</v>
      </c>
      <c r="C244">
        <v>242</v>
      </c>
      <c r="D244" s="7">
        <v>49.97</v>
      </c>
      <c r="E244" s="7">
        <f t="shared" si="6"/>
        <v>12092.74</v>
      </c>
      <c r="F244" s="7">
        <f t="shared" si="7"/>
        <v>58564</v>
      </c>
      <c r="G244" s="7"/>
    </row>
    <row r="245" spans="1:7" x14ac:dyDescent="0.35">
      <c r="A245" t="str">
        <f>"2005-12-27"</f>
        <v>2005-12-27</v>
      </c>
      <c r="B245" t="str">
        <f>"48.6332"</f>
        <v>48.6332</v>
      </c>
      <c r="C245">
        <v>243</v>
      </c>
      <c r="D245" s="7">
        <v>48.633200000000002</v>
      </c>
      <c r="E245" s="7">
        <f t="shared" si="6"/>
        <v>11817.867600000001</v>
      </c>
      <c r="F245" s="7">
        <f t="shared" si="7"/>
        <v>59049</v>
      </c>
      <c r="G245" s="7"/>
    </row>
    <row r="246" spans="1:7" x14ac:dyDescent="0.35">
      <c r="A246" t="str">
        <f>"2005-12-28"</f>
        <v>2005-12-28</v>
      </c>
      <c r="B246" t="str">
        <f>"48.0753"</f>
        <v>48.0753</v>
      </c>
      <c r="C246">
        <v>244</v>
      </c>
      <c r="D246" s="7">
        <v>48.075299999999999</v>
      </c>
      <c r="E246" s="7">
        <f t="shared" si="6"/>
        <v>11730.3732</v>
      </c>
      <c r="F246" s="7">
        <f t="shared" si="7"/>
        <v>59536</v>
      </c>
      <c r="G246" s="7"/>
    </row>
    <row r="247" spans="1:7" x14ac:dyDescent="0.35">
      <c r="A247" t="str">
        <f>"2005-12-29"</f>
        <v>2005-12-29</v>
      </c>
      <c r="B247" t="str">
        <f>"48.2263"</f>
        <v>48.2263</v>
      </c>
      <c r="C247">
        <v>245</v>
      </c>
      <c r="D247" s="7">
        <v>48.226300000000002</v>
      </c>
      <c r="E247" s="7">
        <f t="shared" si="6"/>
        <v>11815.443500000001</v>
      </c>
      <c r="F247" s="7">
        <f t="shared" si="7"/>
        <v>60025</v>
      </c>
      <c r="G247" s="7"/>
    </row>
    <row r="248" spans="1:7" x14ac:dyDescent="0.35">
      <c r="A248" t="str">
        <f>"2005-12-30"</f>
        <v>2005-12-30</v>
      </c>
      <c r="B248" t="str">
        <f>"47.7419"</f>
        <v>47.7419</v>
      </c>
      <c r="C248">
        <v>246</v>
      </c>
      <c r="D248" s="7">
        <v>47.741900000000001</v>
      </c>
      <c r="E248" s="7">
        <f t="shared" si="6"/>
        <v>11744.5074</v>
      </c>
      <c r="F248" s="7">
        <f t="shared" si="7"/>
        <v>60516</v>
      </c>
      <c r="G248" s="7"/>
    </row>
    <row r="249" spans="1:7" x14ac:dyDescent="0.35">
      <c r="A249" t="str">
        <f>"2006-01-03"</f>
        <v>2006-01-03</v>
      </c>
      <c r="B249" t="str">
        <f>"48.7341"</f>
        <v>48.7341</v>
      </c>
      <c r="C249">
        <v>247</v>
      </c>
      <c r="D249" s="7">
        <v>48.734099999999998</v>
      </c>
      <c r="E249" s="7">
        <f t="shared" si="6"/>
        <v>12037.322699999999</v>
      </c>
      <c r="F249" s="7">
        <f t="shared" si="7"/>
        <v>61009</v>
      </c>
      <c r="G249" s="7"/>
    </row>
    <row r="250" spans="1:7" x14ac:dyDescent="0.35">
      <c r="A250" t="str">
        <f>"2006-01-04"</f>
        <v>2006-01-04</v>
      </c>
      <c r="B250" t="str">
        <f>"49.3306"</f>
        <v>49.3306</v>
      </c>
      <c r="C250">
        <v>248</v>
      </c>
      <c r="D250" s="7">
        <v>49.330599999999997</v>
      </c>
      <c r="E250" s="7">
        <f t="shared" si="6"/>
        <v>12233.988799999999</v>
      </c>
      <c r="F250" s="7">
        <f t="shared" si="7"/>
        <v>61504</v>
      </c>
      <c r="G250" s="7"/>
    </row>
    <row r="251" spans="1:7" x14ac:dyDescent="0.35">
      <c r="A251" t="str">
        <f>"2006-01-05"</f>
        <v>2006-01-05</v>
      </c>
      <c r="B251" t="str">
        <f>"49.4919"</f>
        <v>49.4919</v>
      </c>
      <c r="C251">
        <v>249</v>
      </c>
      <c r="D251" s="7">
        <v>49.491900000000001</v>
      </c>
      <c r="E251" s="7">
        <f t="shared" si="6"/>
        <v>12323.483099999999</v>
      </c>
      <c r="F251" s="7">
        <f t="shared" si="7"/>
        <v>62001</v>
      </c>
      <c r="G251" s="7"/>
    </row>
    <row r="252" spans="1:7" x14ac:dyDescent="0.35">
      <c r="A252" t="str">
        <f>"2006-01-06"</f>
        <v>2006-01-06</v>
      </c>
      <c r="B252" t="str">
        <f>"49.2521"</f>
        <v>49.2521</v>
      </c>
      <c r="C252">
        <v>250</v>
      </c>
      <c r="D252" s="7">
        <v>49.252099999999999</v>
      </c>
      <c r="E252" s="7">
        <f t="shared" si="6"/>
        <v>12313.025</v>
      </c>
      <c r="F252" s="7">
        <f t="shared" si="7"/>
        <v>62500</v>
      </c>
      <c r="G252" s="7"/>
    </row>
    <row r="253" spans="1:7" x14ac:dyDescent="0.35">
      <c r="A253" t="str">
        <f>"2006-01-09"</f>
        <v>2006-01-09</v>
      </c>
      <c r="B253" t="str">
        <f>"48.1912"</f>
        <v>48.1912</v>
      </c>
      <c r="C253">
        <v>251</v>
      </c>
      <c r="D253" s="7">
        <v>48.191200000000002</v>
      </c>
      <c r="E253" s="7">
        <f t="shared" si="6"/>
        <v>12095.9912</v>
      </c>
      <c r="F253" s="7">
        <f t="shared" si="7"/>
        <v>63001</v>
      </c>
      <c r="G253" s="7"/>
    </row>
    <row r="254" spans="1:7" x14ac:dyDescent="0.35">
      <c r="A254" t="str">
        <f>"2006-01-10"</f>
        <v>2006-01-10</v>
      </c>
      <c r="B254" t="str">
        <f>"48.2724"</f>
        <v>48.2724</v>
      </c>
      <c r="C254">
        <v>252</v>
      </c>
      <c r="D254" s="7">
        <v>48.272399999999998</v>
      </c>
      <c r="E254" s="7">
        <f t="shared" si="6"/>
        <v>12164.6448</v>
      </c>
      <c r="F254" s="7">
        <f t="shared" si="7"/>
        <v>63504</v>
      </c>
      <c r="G254" s="7"/>
    </row>
    <row r="255" spans="1:7" x14ac:dyDescent="0.35">
      <c r="A255" t="str">
        <f>"2006-01-11"</f>
        <v>2006-01-11</v>
      </c>
      <c r="B255" t="str">
        <f>"48.2248"</f>
        <v>48.2248</v>
      </c>
      <c r="C255">
        <v>253</v>
      </c>
      <c r="D255" s="7">
        <v>48.224800000000002</v>
      </c>
      <c r="E255" s="7">
        <f t="shared" si="6"/>
        <v>12200.874400000001</v>
      </c>
      <c r="F255" s="7">
        <f t="shared" si="7"/>
        <v>64009</v>
      </c>
      <c r="G255" s="7"/>
    </row>
    <row r="256" spans="1:7" x14ac:dyDescent="0.35">
      <c r="A256" t="str">
        <f>"2006-01-12"</f>
        <v>2006-01-12</v>
      </c>
      <c r="B256" t="str">
        <f>"48.2073"</f>
        <v>48.2073</v>
      </c>
      <c r="C256">
        <v>254</v>
      </c>
      <c r="D256" s="7">
        <v>48.207299999999996</v>
      </c>
      <c r="E256" s="7">
        <f t="shared" si="6"/>
        <v>12244.654199999999</v>
      </c>
      <c r="F256" s="7">
        <f t="shared" si="7"/>
        <v>64516</v>
      </c>
      <c r="G256" s="7"/>
    </row>
    <row r="257" spans="1:7" x14ac:dyDescent="0.35">
      <c r="A257" t="str">
        <f>"2006-01-13"</f>
        <v>2006-01-13</v>
      </c>
      <c r="B257" t="str">
        <f>"47.4956"</f>
        <v>47.4956</v>
      </c>
      <c r="C257">
        <v>255</v>
      </c>
      <c r="D257" s="7">
        <v>47.495600000000003</v>
      </c>
      <c r="E257" s="7">
        <f t="shared" si="6"/>
        <v>12111.378000000001</v>
      </c>
      <c r="F257" s="7">
        <f t="shared" si="7"/>
        <v>65025</v>
      </c>
      <c r="G257" s="7"/>
    </row>
    <row r="258" spans="1:7" x14ac:dyDescent="0.35">
      <c r="A258" t="str">
        <f>"2006-01-17"</f>
        <v>2006-01-17</v>
      </c>
      <c r="B258" t="str">
        <f>"45.8437"</f>
        <v>45.8437</v>
      </c>
      <c r="C258">
        <v>256</v>
      </c>
      <c r="D258" s="7">
        <v>45.843699999999998</v>
      </c>
      <c r="E258" s="7">
        <f t="shared" si="6"/>
        <v>11735.9872</v>
      </c>
      <c r="F258" s="7">
        <f t="shared" si="7"/>
        <v>65536</v>
      </c>
      <c r="G258" s="7"/>
    </row>
    <row r="259" spans="1:7" x14ac:dyDescent="0.35">
      <c r="A259" t="str">
        <f>"2006-01-18"</f>
        <v>2006-01-18</v>
      </c>
      <c r="B259" t="str">
        <f>"43.4223"</f>
        <v>43.4223</v>
      </c>
      <c r="C259">
        <v>257</v>
      </c>
      <c r="D259" s="7">
        <v>43.4223</v>
      </c>
      <c r="E259" s="7">
        <f t="shared" si="6"/>
        <v>11159.5311</v>
      </c>
      <c r="F259" s="7">
        <f t="shared" si="7"/>
        <v>66049</v>
      </c>
      <c r="G259" s="7"/>
    </row>
    <row r="260" spans="1:7" x14ac:dyDescent="0.35">
      <c r="A260" t="str">
        <f>"2006-01-19"</f>
        <v>2006-01-19</v>
      </c>
      <c r="B260" t="str">
        <f>"42.8558"</f>
        <v>42.8558</v>
      </c>
      <c r="C260">
        <v>258</v>
      </c>
      <c r="D260" s="7">
        <v>42.855800000000002</v>
      </c>
      <c r="E260" s="7">
        <f t="shared" ref="E260:E323" si="8">C260*D260</f>
        <v>11056.796400000001</v>
      </c>
      <c r="F260" s="7">
        <f t="shared" ref="F260:F323" si="9">C260*C260</f>
        <v>66564</v>
      </c>
      <c r="G260" s="7"/>
    </row>
    <row r="261" spans="1:7" x14ac:dyDescent="0.35">
      <c r="A261" t="str">
        <f>"2006-01-20"</f>
        <v>2006-01-20</v>
      </c>
      <c r="B261" t="str">
        <f>"44.0359"</f>
        <v>44.0359</v>
      </c>
      <c r="C261">
        <v>259</v>
      </c>
      <c r="D261" s="7">
        <v>44.035899999999998</v>
      </c>
      <c r="E261" s="7">
        <f t="shared" si="8"/>
        <v>11405.2981</v>
      </c>
      <c r="F261" s="7">
        <f t="shared" si="9"/>
        <v>67081</v>
      </c>
      <c r="G261" s="7"/>
    </row>
    <row r="262" spans="1:7" x14ac:dyDescent="0.35">
      <c r="A262" t="str">
        <f>"2006-01-23"</f>
        <v>2006-01-23</v>
      </c>
      <c r="B262" t="str">
        <f>"43.47"</f>
        <v>43.47</v>
      </c>
      <c r="C262">
        <v>260</v>
      </c>
      <c r="D262" s="7">
        <v>43.47</v>
      </c>
      <c r="E262" s="7">
        <f t="shared" si="8"/>
        <v>11302.199999999999</v>
      </c>
      <c r="F262" s="7">
        <f t="shared" si="9"/>
        <v>67600</v>
      </c>
      <c r="G262" s="7"/>
    </row>
    <row r="263" spans="1:7" x14ac:dyDescent="0.35">
      <c r="A263" t="str">
        <f>"2006-01-24"</f>
        <v>2006-01-24</v>
      </c>
      <c r="B263" t="str">
        <f>"42.497"</f>
        <v>42.497</v>
      </c>
      <c r="C263">
        <v>261</v>
      </c>
      <c r="D263" s="7">
        <v>42.497</v>
      </c>
      <c r="E263" s="7">
        <f t="shared" si="8"/>
        <v>11091.717000000001</v>
      </c>
      <c r="F263" s="7">
        <f t="shared" si="9"/>
        <v>68121</v>
      </c>
      <c r="G263" s="7"/>
    </row>
    <row r="264" spans="1:7" x14ac:dyDescent="0.35">
      <c r="A264" t="str">
        <f>"2006-01-25"</f>
        <v>2006-01-25</v>
      </c>
      <c r="B264" t="str">
        <f>"44.6105"</f>
        <v>44.6105</v>
      </c>
      <c r="C264">
        <v>262</v>
      </c>
      <c r="D264" s="7">
        <v>44.610500000000002</v>
      </c>
      <c r="E264" s="7">
        <f t="shared" si="8"/>
        <v>11687.951000000001</v>
      </c>
      <c r="F264" s="7">
        <f t="shared" si="9"/>
        <v>68644</v>
      </c>
      <c r="G264" s="7"/>
    </row>
    <row r="265" spans="1:7" x14ac:dyDescent="0.35">
      <c r="A265" t="str">
        <f>"2006-01-26"</f>
        <v>2006-01-26</v>
      </c>
      <c r="B265" t="str">
        <f>"46.5605"</f>
        <v>46.5605</v>
      </c>
      <c r="C265">
        <v>263</v>
      </c>
      <c r="D265" s="7">
        <v>46.560499999999998</v>
      </c>
      <c r="E265" s="7">
        <f t="shared" si="8"/>
        <v>12245.4115</v>
      </c>
      <c r="F265" s="7">
        <f t="shared" si="9"/>
        <v>69169</v>
      </c>
      <c r="G265" s="7"/>
    </row>
    <row r="266" spans="1:7" x14ac:dyDescent="0.35">
      <c r="A266" t="str">
        <f>"2006-01-27"</f>
        <v>2006-01-27</v>
      </c>
      <c r="B266" t="str">
        <f>"45.2497"</f>
        <v>45.2497</v>
      </c>
      <c r="C266">
        <v>264</v>
      </c>
      <c r="D266" s="7">
        <v>45.249699999999997</v>
      </c>
      <c r="E266" s="7">
        <f t="shared" si="8"/>
        <v>11945.9208</v>
      </c>
      <c r="F266" s="7">
        <f t="shared" si="9"/>
        <v>69696</v>
      </c>
      <c r="G266" s="7"/>
    </row>
    <row r="267" spans="1:7" x14ac:dyDescent="0.35">
      <c r="A267" t="str">
        <f>"2006-01-30"</f>
        <v>2006-01-30</v>
      </c>
      <c r="B267" t="str">
        <f>"44.5231"</f>
        <v>44.5231</v>
      </c>
      <c r="C267">
        <v>265</v>
      </c>
      <c r="D267" s="7">
        <v>44.523099999999999</v>
      </c>
      <c r="E267" s="7">
        <f t="shared" si="8"/>
        <v>11798.621499999999</v>
      </c>
      <c r="F267" s="7">
        <f t="shared" si="9"/>
        <v>70225</v>
      </c>
      <c r="G267" s="7"/>
    </row>
    <row r="268" spans="1:7" x14ac:dyDescent="0.35">
      <c r="A268" t="str">
        <f>"2006-01-31"</f>
        <v>2006-01-31</v>
      </c>
      <c r="B268" t="str">
        <f>"43.0886"</f>
        <v>43.0886</v>
      </c>
      <c r="C268">
        <v>266</v>
      </c>
      <c r="D268" s="7">
        <v>43.0886</v>
      </c>
      <c r="E268" s="7">
        <f t="shared" si="8"/>
        <v>11461.5676</v>
      </c>
      <c r="F268" s="7">
        <f t="shared" si="9"/>
        <v>70756</v>
      </c>
      <c r="G268" s="7"/>
    </row>
    <row r="269" spans="1:7" x14ac:dyDescent="0.35">
      <c r="A269" t="str">
        <f>"2006-02-01"</f>
        <v>2006-02-01</v>
      </c>
      <c r="B269" t="str">
        <f>"43.4563"</f>
        <v>43.4563</v>
      </c>
      <c r="C269">
        <v>267</v>
      </c>
      <c r="D269" s="7">
        <v>43.456299999999999</v>
      </c>
      <c r="E269" s="7">
        <f t="shared" si="8"/>
        <v>11602.8321</v>
      </c>
      <c r="F269" s="7">
        <f t="shared" si="9"/>
        <v>71289</v>
      </c>
      <c r="G269" s="7"/>
    </row>
    <row r="270" spans="1:7" x14ac:dyDescent="0.35">
      <c r="A270" t="str">
        <f>"2006-02-02"</f>
        <v>2006-02-02</v>
      </c>
      <c r="B270" t="str">
        <f>"43.7417"</f>
        <v>43.7417</v>
      </c>
      <c r="C270">
        <v>268</v>
      </c>
      <c r="D270" s="7">
        <v>43.741700000000002</v>
      </c>
      <c r="E270" s="7">
        <f t="shared" si="8"/>
        <v>11722.775600000001</v>
      </c>
      <c r="F270" s="7">
        <f t="shared" si="9"/>
        <v>71824</v>
      </c>
      <c r="G270" s="7"/>
    </row>
    <row r="271" spans="1:7" x14ac:dyDescent="0.35">
      <c r="A271" t="str">
        <f>"2006-02-03"</f>
        <v>2006-02-03</v>
      </c>
      <c r="B271" t="str">
        <f>"43.6094"</f>
        <v>43.6094</v>
      </c>
      <c r="C271">
        <v>269</v>
      </c>
      <c r="D271" s="7">
        <v>43.609400000000001</v>
      </c>
      <c r="E271" s="7">
        <f t="shared" si="8"/>
        <v>11730.928600000001</v>
      </c>
      <c r="F271" s="7">
        <f t="shared" si="9"/>
        <v>72361</v>
      </c>
      <c r="G271" s="7"/>
    </row>
    <row r="272" spans="1:7" x14ac:dyDescent="0.35">
      <c r="A272" t="str">
        <f>"2006-02-06"</f>
        <v>2006-02-06</v>
      </c>
      <c r="B272" t="str">
        <f>"43.5088"</f>
        <v>43.5088</v>
      </c>
      <c r="C272">
        <v>270</v>
      </c>
      <c r="D272" s="7">
        <v>43.508800000000001</v>
      </c>
      <c r="E272" s="7">
        <f t="shared" si="8"/>
        <v>11747.376</v>
      </c>
      <c r="F272" s="7">
        <f t="shared" si="9"/>
        <v>72900</v>
      </c>
      <c r="G272" s="7"/>
    </row>
    <row r="273" spans="1:7" x14ac:dyDescent="0.35">
      <c r="A273" t="str">
        <f>"2006-02-07"</f>
        <v>2006-02-07</v>
      </c>
      <c r="B273" t="str">
        <f>"45.2093"</f>
        <v>45.2093</v>
      </c>
      <c r="C273">
        <v>271</v>
      </c>
      <c r="D273" s="7">
        <v>45.209299999999999</v>
      </c>
      <c r="E273" s="7">
        <f t="shared" si="8"/>
        <v>12251.720299999999</v>
      </c>
      <c r="F273" s="7">
        <f t="shared" si="9"/>
        <v>73441</v>
      </c>
      <c r="G273" s="7"/>
    </row>
    <row r="274" spans="1:7" x14ac:dyDescent="0.35">
      <c r="A274" t="str">
        <f>"2006-02-08"</f>
        <v>2006-02-08</v>
      </c>
      <c r="B274" t="str">
        <f>"44.7442"</f>
        <v>44.7442</v>
      </c>
      <c r="C274">
        <v>272</v>
      </c>
      <c r="D274" s="7">
        <v>44.744199999999999</v>
      </c>
      <c r="E274" s="7">
        <f t="shared" si="8"/>
        <v>12170.422399999999</v>
      </c>
      <c r="F274" s="7">
        <f t="shared" si="9"/>
        <v>73984</v>
      </c>
      <c r="G274" s="7"/>
    </row>
    <row r="275" spans="1:7" x14ac:dyDescent="0.35">
      <c r="A275" t="str">
        <f>"2006-02-09"</f>
        <v>2006-02-09</v>
      </c>
      <c r="B275" t="str">
        <f>"43.6028"</f>
        <v>43.6028</v>
      </c>
      <c r="C275">
        <v>273</v>
      </c>
      <c r="D275" s="7">
        <v>43.602800000000002</v>
      </c>
      <c r="E275" s="7">
        <f t="shared" si="8"/>
        <v>11903.564400000001</v>
      </c>
      <c r="F275" s="7">
        <f t="shared" si="9"/>
        <v>74529</v>
      </c>
      <c r="G275" s="7"/>
    </row>
    <row r="276" spans="1:7" x14ac:dyDescent="0.35">
      <c r="A276" t="str">
        <f>"2006-02-10"</f>
        <v>2006-02-10</v>
      </c>
      <c r="B276" t="str">
        <f>"45.0056"</f>
        <v>45.0056</v>
      </c>
      <c r="C276">
        <v>274</v>
      </c>
      <c r="D276" s="7">
        <v>45.005600000000001</v>
      </c>
      <c r="E276" s="7">
        <f t="shared" si="8"/>
        <v>12331.5344</v>
      </c>
      <c r="F276" s="7">
        <f t="shared" si="9"/>
        <v>75076</v>
      </c>
      <c r="G276" s="7"/>
    </row>
    <row r="277" spans="1:7" x14ac:dyDescent="0.35">
      <c r="A277" t="str">
        <f>"2006-02-13"</f>
        <v>2006-02-13</v>
      </c>
      <c r="B277" t="str">
        <f>"46.6311"</f>
        <v>46.6311</v>
      </c>
      <c r="C277">
        <v>275</v>
      </c>
      <c r="D277" s="7">
        <v>46.631100000000004</v>
      </c>
      <c r="E277" s="7">
        <f t="shared" si="8"/>
        <v>12823.552500000002</v>
      </c>
      <c r="F277" s="7">
        <f t="shared" si="9"/>
        <v>75625</v>
      </c>
      <c r="G277" s="7"/>
    </row>
    <row r="278" spans="1:7" x14ac:dyDescent="0.35">
      <c r="A278" t="str">
        <f>"2006-02-14"</f>
        <v>2006-02-14</v>
      </c>
      <c r="B278" t="str">
        <f>"45.2074"</f>
        <v>45.2074</v>
      </c>
      <c r="C278">
        <v>276</v>
      </c>
      <c r="D278" s="7">
        <v>45.2074</v>
      </c>
      <c r="E278" s="7">
        <f t="shared" si="8"/>
        <v>12477.242399999999</v>
      </c>
      <c r="F278" s="7">
        <f t="shared" si="9"/>
        <v>76176</v>
      </c>
      <c r="G278" s="7"/>
    </row>
    <row r="279" spans="1:7" x14ac:dyDescent="0.35">
      <c r="A279" t="str">
        <f>"2006-02-15"</f>
        <v>2006-02-15</v>
      </c>
      <c r="B279" t="str">
        <f>"45.2127"</f>
        <v>45.2127</v>
      </c>
      <c r="C279">
        <v>277</v>
      </c>
      <c r="D279" s="7">
        <v>45.212699999999998</v>
      </c>
      <c r="E279" s="7">
        <f t="shared" si="8"/>
        <v>12523.9179</v>
      </c>
      <c r="F279" s="7">
        <f t="shared" si="9"/>
        <v>76729</v>
      </c>
      <c r="G279" s="7"/>
    </row>
    <row r="280" spans="1:7" x14ac:dyDescent="0.35">
      <c r="A280" t="str">
        <f>"2006-02-16"</f>
        <v>2006-02-16</v>
      </c>
      <c r="B280" t="str">
        <f>"45.7092"</f>
        <v>45.7092</v>
      </c>
      <c r="C280">
        <v>278</v>
      </c>
      <c r="D280" s="7">
        <v>45.709200000000003</v>
      </c>
      <c r="E280" s="7">
        <f t="shared" si="8"/>
        <v>12707.1576</v>
      </c>
      <c r="F280" s="7">
        <f t="shared" si="9"/>
        <v>77284</v>
      </c>
      <c r="G280" s="7"/>
    </row>
    <row r="281" spans="1:7" x14ac:dyDescent="0.35">
      <c r="A281" t="str">
        <f>"2006-02-17"</f>
        <v>2006-02-17</v>
      </c>
      <c r="B281" t="str">
        <f>"45.7738"</f>
        <v>45.7738</v>
      </c>
      <c r="C281">
        <v>279</v>
      </c>
      <c r="D281" s="7">
        <v>45.773800000000001</v>
      </c>
      <c r="E281" s="7">
        <f t="shared" si="8"/>
        <v>12770.8902</v>
      </c>
      <c r="F281" s="7">
        <f t="shared" si="9"/>
        <v>77841</v>
      </c>
      <c r="G281" s="7"/>
    </row>
    <row r="282" spans="1:7" x14ac:dyDescent="0.35">
      <c r="A282" t="str">
        <f>"2006-02-21"</f>
        <v>2006-02-21</v>
      </c>
      <c r="B282" t="str">
        <f>"47.0493"</f>
        <v>47.0493</v>
      </c>
      <c r="C282">
        <v>280</v>
      </c>
      <c r="D282" s="7">
        <v>47.049300000000002</v>
      </c>
      <c r="E282" s="7">
        <f t="shared" si="8"/>
        <v>13173.804</v>
      </c>
      <c r="F282" s="7">
        <f t="shared" si="9"/>
        <v>78400</v>
      </c>
      <c r="G282" s="7"/>
    </row>
    <row r="283" spans="1:7" x14ac:dyDescent="0.35">
      <c r="A283" t="str">
        <f>"2006-02-22"</f>
        <v>2006-02-22</v>
      </c>
      <c r="B283" t="str">
        <f>"47.0943"</f>
        <v>47.0943</v>
      </c>
      <c r="C283">
        <v>281</v>
      </c>
      <c r="D283" s="7">
        <v>47.094299999999997</v>
      </c>
      <c r="E283" s="7">
        <f t="shared" si="8"/>
        <v>13233.498299999999</v>
      </c>
      <c r="F283" s="7">
        <f t="shared" si="9"/>
        <v>78961</v>
      </c>
      <c r="G283" s="7"/>
    </row>
    <row r="284" spans="1:7" x14ac:dyDescent="0.35">
      <c r="A284" t="str">
        <f>"2006-02-23"</f>
        <v>2006-02-23</v>
      </c>
      <c r="B284" t="str">
        <f>"47.3736"</f>
        <v>47.3736</v>
      </c>
      <c r="C284">
        <v>282</v>
      </c>
      <c r="D284" s="7">
        <v>47.373600000000003</v>
      </c>
      <c r="E284" s="7">
        <f t="shared" si="8"/>
        <v>13359.355200000002</v>
      </c>
      <c r="F284" s="7">
        <f t="shared" si="9"/>
        <v>79524</v>
      </c>
      <c r="G284" s="7"/>
    </row>
    <row r="285" spans="1:7" x14ac:dyDescent="0.35">
      <c r="A285" t="str">
        <f>"2006-02-24"</f>
        <v>2006-02-24</v>
      </c>
      <c r="B285" t="str">
        <f>"46.5201"</f>
        <v>46.5201</v>
      </c>
      <c r="C285">
        <v>283</v>
      </c>
      <c r="D285" s="7">
        <v>46.520099999999999</v>
      </c>
      <c r="E285" s="7">
        <f t="shared" si="8"/>
        <v>13165.1883</v>
      </c>
      <c r="F285" s="7">
        <f t="shared" si="9"/>
        <v>80089</v>
      </c>
      <c r="G285" s="7"/>
    </row>
    <row r="286" spans="1:7" x14ac:dyDescent="0.35">
      <c r="A286" t="str">
        <f>"2006-02-27"</f>
        <v>2006-02-27</v>
      </c>
      <c r="B286" t="str">
        <f>"46.8537"</f>
        <v>46.8537</v>
      </c>
      <c r="C286">
        <v>284</v>
      </c>
      <c r="D286" s="7">
        <v>46.853700000000003</v>
      </c>
      <c r="E286" s="7">
        <f t="shared" si="8"/>
        <v>13306.450800000001</v>
      </c>
      <c r="F286" s="7">
        <f t="shared" si="9"/>
        <v>80656</v>
      </c>
      <c r="G286" s="7"/>
    </row>
    <row r="287" spans="1:7" x14ac:dyDescent="0.35">
      <c r="A287" t="str">
        <f>"2006-02-28"</f>
        <v>2006-02-28</v>
      </c>
      <c r="B287" t="str">
        <f>"46.5349"</f>
        <v>46.5349</v>
      </c>
      <c r="C287">
        <v>285</v>
      </c>
      <c r="D287" s="7">
        <v>46.5349</v>
      </c>
      <c r="E287" s="7">
        <f t="shared" si="8"/>
        <v>13262.4465</v>
      </c>
      <c r="F287" s="7">
        <f t="shared" si="9"/>
        <v>81225</v>
      </c>
      <c r="G287" s="7"/>
    </row>
    <row r="288" spans="1:7" x14ac:dyDescent="0.35">
      <c r="A288" t="str">
        <f>"2006-03-01"</f>
        <v>2006-03-01</v>
      </c>
      <c r="B288" t="str">
        <f>"46.0378"</f>
        <v>46.0378</v>
      </c>
      <c r="C288">
        <v>286</v>
      </c>
      <c r="D288" s="7">
        <v>46.037799999999997</v>
      </c>
      <c r="E288" s="7">
        <f t="shared" si="8"/>
        <v>13166.810799999999</v>
      </c>
      <c r="F288" s="7">
        <f t="shared" si="9"/>
        <v>81796</v>
      </c>
      <c r="G288" s="7"/>
    </row>
    <row r="289" spans="1:7" x14ac:dyDescent="0.35">
      <c r="A289" t="str">
        <f>"2006-03-02"</f>
        <v>2006-03-02</v>
      </c>
      <c r="B289" t="str">
        <f>"45.8851"</f>
        <v>45.8851</v>
      </c>
      <c r="C289">
        <v>287</v>
      </c>
      <c r="D289" s="7">
        <v>45.885100000000001</v>
      </c>
      <c r="E289" s="7">
        <f t="shared" si="8"/>
        <v>13169.0237</v>
      </c>
      <c r="F289" s="7">
        <f t="shared" si="9"/>
        <v>82369</v>
      </c>
      <c r="G289" s="7"/>
    </row>
    <row r="290" spans="1:7" x14ac:dyDescent="0.35">
      <c r="A290" t="str">
        <f>"2006-03-03"</f>
        <v>2006-03-03</v>
      </c>
      <c r="B290" t="str">
        <f>"45.9645"</f>
        <v>45.9645</v>
      </c>
      <c r="C290">
        <v>288</v>
      </c>
      <c r="D290" s="7">
        <v>45.964500000000001</v>
      </c>
      <c r="E290" s="7">
        <f t="shared" si="8"/>
        <v>13237.776</v>
      </c>
      <c r="F290" s="7">
        <f t="shared" si="9"/>
        <v>82944</v>
      </c>
      <c r="G290" s="7"/>
    </row>
    <row r="291" spans="1:7" x14ac:dyDescent="0.35">
      <c r="A291" t="str">
        <f>"2006-03-06"</f>
        <v>2006-03-06</v>
      </c>
      <c r="B291" t="str">
        <f>"45.7713"</f>
        <v>45.7713</v>
      </c>
      <c r="C291">
        <v>289</v>
      </c>
      <c r="D291" s="7">
        <v>45.771299999999997</v>
      </c>
      <c r="E291" s="7">
        <f t="shared" si="8"/>
        <v>13227.905699999999</v>
      </c>
      <c r="F291" s="7">
        <f t="shared" si="9"/>
        <v>83521</v>
      </c>
      <c r="G291" s="7"/>
    </row>
    <row r="292" spans="1:7" x14ac:dyDescent="0.35">
      <c r="A292" t="str">
        <f>"2006-03-07"</f>
        <v>2006-03-07</v>
      </c>
      <c r="B292" t="str">
        <f>"43.6796"</f>
        <v>43.6796</v>
      </c>
      <c r="C292">
        <v>290</v>
      </c>
      <c r="D292" s="7">
        <v>43.679600000000001</v>
      </c>
      <c r="E292" s="7">
        <f t="shared" si="8"/>
        <v>12667.084000000001</v>
      </c>
      <c r="F292" s="7">
        <f t="shared" si="9"/>
        <v>84100</v>
      </c>
      <c r="G292" s="7"/>
    </row>
    <row r="293" spans="1:7" x14ac:dyDescent="0.35">
      <c r="A293" t="str">
        <f>"2006-03-08"</f>
        <v>2006-03-08</v>
      </c>
      <c r="B293" t="str">
        <f>"41.8265"</f>
        <v>41.8265</v>
      </c>
      <c r="C293">
        <v>291</v>
      </c>
      <c r="D293" s="7">
        <v>41.826500000000003</v>
      </c>
      <c r="E293" s="7">
        <f t="shared" si="8"/>
        <v>12171.511500000001</v>
      </c>
      <c r="F293" s="7">
        <f t="shared" si="9"/>
        <v>84681</v>
      </c>
      <c r="G293" s="7"/>
    </row>
    <row r="294" spans="1:7" x14ac:dyDescent="0.35">
      <c r="A294" t="str">
        <f>"2006-03-09"</f>
        <v>2006-03-09</v>
      </c>
      <c r="B294" t="str">
        <f>"42.0897"</f>
        <v>42.0897</v>
      </c>
      <c r="C294">
        <v>292</v>
      </c>
      <c r="D294" s="7">
        <v>42.089700000000001</v>
      </c>
      <c r="E294" s="7">
        <f t="shared" si="8"/>
        <v>12290.1924</v>
      </c>
      <c r="F294" s="7">
        <f t="shared" si="9"/>
        <v>85264</v>
      </c>
      <c r="G294" s="7"/>
    </row>
    <row r="295" spans="1:7" x14ac:dyDescent="0.35">
      <c r="A295" t="str">
        <f>"2006-03-10"</f>
        <v>2006-03-10</v>
      </c>
      <c r="B295" t="str">
        <f>"41.3967"</f>
        <v>41.3967</v>
      </c>
      <c r="C295">
        <v>293</v>
      </c>
      <c r="D295" s="7">
        <v>41.396700000000003</v>
      </c>
      <c r="E295" s="7">
        <f t="shared" si="8"/>
        <v>12129.233100000001</v>
      </c>
      <c r="F295" s="7">
        <f t="shared" si="9"/>
        <v>85849</v>
      </c>
      <c r="G295" s="7"/>
    </row>
    <row r="296" spans="1:7" x14ac:dyDescent="0.35">
      <c r="A296" t="str">
        <f>"2006-03-13"</f>
        <v>2006-03-13</v>
      </c>
      <c r="B296" t="str">
        <f>"42.1811"</f>
        <v>42.1811</v>
      </c>
      <c r="C296">
        <v>294</v>
      </c>
      <c r="D296" s="7">
        <v>42.181100000000001</v>
      </c>
      <c r="E296" s="7">
        <f t="shared" si="8"/>
        <v>12401.243399999999</v>
      </c>
      <c r="F296" s="7">
        <f t="shared" si="9"/>
        <v>86436</v>
      </c>
      <c r="G296" s="7"/>
    </row>
    <row r="297" spans="1:7" x14ac:dyDescent="0.35">
      <c r="A297" t="str">
        <f>"2006-03-14"</f>
        <v>2006-03-14</v>
      </c>
      <c r="B297" t="str">
        <f>"42.5826"</f>
        <v>42.5826</v>
      </c>
      <c r="C297">
        <v>295</v>
      </c>
      <c r="D297" s="7">
        <v>42.582599999999999</v>
      </c>
      <c r="E297" s="7">
        <f t="shared" si="8"/>
        <v>12561.867</v>
      </c>
      <c r="F297" s="7">
        <f t="shared" si="9"/>
        <v>87025</v>
      </c>
      <c r="G297" s="7"/>
    </row>
    <row r="298" spans="1:7" x14ac:dyDescent="0.35">
      <c r="A298" t="str">
        <f>"2006-03-15"</f>
        <v>2006-03-15</v>
      </c>
      <c r="B298" t="str">
        <f>"42.6684"</f>
        <v>42.6684</v>
      </c>
      <c r="C298">
        <v>296</v>
      </c>
      <c r="D298" s="7">
        <v>42.668399999999998</v>
      </c>
      <c r="E298" s="7">
        <f t="shared" si="8"/>
        <v>12629.8464</v>
      </c>
      <c r="F298" s="7">
        <f t="shared" si="9"/>
        <v>87616</v>
      </c>
      <c r="G298" s="7"/>
    </row>
    <row r="299" spans="1:7" x14ac:dyDescent="0.35">
      <c r="A299" t="str">
        <f>"2006-03-16"</f>
        <v>2006-03-16</v>
      </c>
      <c r="B299" t="str">
        <f>"42.9284"</f>
        <v>42.9284</v>
      </c>
      <c r="C299">
        <v>297</v>
      </c>
      <c r="D299" s="7">
        <v>42.928400000000003</v>
      </c>
      <c r="E299" s="7">
        <f t="shared" si="8"/>
        <v>12749.7348</v>
      </c>
      <c r="F299" s="7">
        <f t="shared" si="9"/>
        <v>88209</v>
      </c>
      <c r="G299" s="7"/>
    </row>
    <row r="300" spans="1:7" x14ac:dyDescent="0.35">
      <c r="A300" t="str">
        <f>"2006-03-17"</f>
        <v>2006-03-17</v>
      </c>
      <c r="B300" t="str">
        <f>"43.4425"</f>
        <v>43.4425</v>
      </c>
      <c r="C300">
        <v>298</v>
      </c>
      <c r="D300" s="7">
        <v>43.442500000000003</v>
      </c>
      <c r="E300" s="7">
        <f t="shared" si="8"/>
        <v>12945.865000000002</v>
      </c>
      <c r="F300" s="7">
        <f t="shared" si="9"/>
        <v>88804</v>
      </c>
      <c r="G300" s="7"/>
    </row>
    <row r="301" spans="1:7" x14ac:dyDescent="0.35">
      <c r="A301" t="str">
        <f>"2006-03-20"</f>
        <v>2006-03-20</v>
      </c>
      <c r="B301" t="str">
        <f>"42.9817"</f>
        <v>42.9817</v>
      </c>
      <c r="C301">
        <v>299</v>
      </c>
      <c r="D301" s="7">
        <v>42.981699999999996</v>
      </c>
      <c r="E301" s="7">
        <f t="shared" si="8"/>
        <v>12851.528299999998</v>
      </c>
      <c r="F301" s="7">
        <f t="shared" si="9"/>
        <v>89401</v>
      </c>
      <c r="G301" s="7"/>
    </row>
    <row r="302" spans="1:7" x14ac:dyDescent="0.35">
      <c r="A302" t="str">
        <f>"2006-03-21"</f>
        <v>2006-03-21</v>
      </c>
      <c r="B302" t="str">
        <f>"40.68"</f>
        <v>40.68</v>
      </c>
      <c r="C302">
        <v>300</v>
      </c>
      <c r="D302" s="7">
        <v>40.68</v>
      </c>
      <c r="E302" s="7">
        <f t="shared" si="8"/>
        <v>12204</v>
      </c>
      <c r="F302" s="7">
        <f t="shared" si="9"/>
        <v>90000</v>
      </c>
      <c r="G302" s="7"/>
    </row>
    <row r="303" spans="1:7" x14ac:dyDescent="0.35">
      <c r="A303" t="str">
        <f>"2006-03-22"</f>
        <v>2006-03-22</v>
      </c>
      <c r="B303" t="str">
        <f>"40.0565"</f>
        <v>40.0565</v>
      </c>
      <c r="C303">
        <v>301</v>
      </c>
      <c r="D303" s="7">
        <v>40.0565</v>
      </c>
      <c r="E303" s="7">
        <f t="shared" si="8"/>
        <v>12057.0065</v>
      </c>
      <c r="F303" s="7">
        <f t="shared" si="9"/>
        <v>90601</v>
      </c>
      <c r="G303" s="7"/>
    </row>
    <row r="304" spans="1:7" x14ac:dyDescent="0.35">
      <c r="A304" t="str">
        <f>"2006-03-23"</f>
        <v>2006-03-23</v>
      </c>
      <c r="B304" t="str">
        <f>"40.07"</f>
        <v>40.07</v>
      </c>
      <c r="C304">
        <v>302</v>
      </c>
      <c r="D304" s="7">
        <v>40.07</v>
      </c>
      <c r="E304" s="7">
        <f t="shared" si="8"/>
        <v>12101.14</v>
      </c>
      <c r="F304" s="7">
        <f t="shared" si="9"/>
        <v>91204</v>
      </c>
      <c r="G304" s="7"/>
    </row>
    <row r="305" spans="1:7" x14ac:dyDescent="0.35">
      <c r="A305" t="str">
        <f>"2006-03-24"</f>
        <v>2006-03-24</v>
      </c>
      <c r="B305" t="str">
        <f>"38.5706"</f>
        <v>38.5706</v>
      </c>
      <c r="C305">
        <v>303</v>
      </c>
      <c r="D305" s="7">
        <v>38.570599999999999</v>
      </c>
      <c r="E305" s="7">
        <f t="shared" si="8"/>
        <v>11686.891799999999</v>
      </c>
      <c r="F305" s="7">
        <f t="shared" si="9"/>
        <v>91809</v>
      </c>
      <c r="G305" s="7"/>
    </row>
    <row r="306" spans="1:7" x14ac:dyDescent="0.35">
      <c r="A306" t="str">
        <f>"2006-03-27"</f>
        <v>2006-03-27</v>
      </c>
      <c r="B306" t="str">
        <f>"36.6656"</f>
        <v>36.6656</v>
      </c>
      <c r="C306">
        <v>304</v>
      </c>
      <c r="D306" s="7">
        <v>36.665599999999998</v>
      </c>
      <c r="E306" s="7">
        <f t="shared" si="8"/>
        <v>11146.3424</v>
      </c>
      <c r="F306" s="7">
        <f t="shared" si="9"/>
        <v>92416</v>
      </c>
      <c r="G306" s="7"/>
    </row>
    <row r="307" spans="1:7" x14ac:dyDescent="0.35">
      <c r="A307" t="str">
        <f>"2006-03-28"</f>
        <v>2006-03-28</v>
      </c>
      <c r="B307" t="str">
        <f>"35.1125"</f>
        <v>35.1125</v>
      </c>
      <c r="C307">
        <v>305</v>
      </c>
      <c r="D307" s="7">
        <v>35.112499999999997</v>
      </c>
      <c r="E307" s="7">
        <f t="shared" si="8"/>
        <v>10709.3125</v>
      </c>
      <c r="F307" s="7">
        <f t="shared" si="9"/>
        <v>93025</v>
      </c>
      <c r="G307" s="7"/>
    </row>
    <row r="308" spans="1:7" x14ac:dyDescent="0.35">
      <c r="A308" t="str">
        <f>"2006-03-29"</f>
        <v>2006-03-29</v>
      </c>
      <c r="B308" t="str">
        <f>"34.6202"</f>
        <v>34.6202</v>
      </c>
      <c r="C308">
        <v>306</v>
      </c>
      <c r="D308" s="7">
        <v>34.620199999999997</v>
      </c>
      <c r="E308" s="7">
        <f t="shared" si="8"/>
        <v>10593.781199999999</v>
      </c>
      <c r="F308" s="7">
        <f t="shared" si="9"/>
        <v>93636</v>
      </c>
      <c r="G308" s="7"/>
    </row>
    <row r="309" spans="1:7" x14ac:dyDescent="0.35">
      <c r="A309" t="str">
        <f>"2006-03-30"</f>
        <v>2006-03-30</v>
      </c>
      <c r="B309" t="str">
        <f>"35.5268"</f>
        <v>35.5268</v>
      </c>
      <c r="C309">
        <v>307</v>
      </c>
      <c r="D309" s="7">
        <v>35.526800000000001</v>
      </c>
      <c r="E309" s="7">
        <f t="shared" si="8"/>
        <v>10906.7276</v>
      </c>
      <c r="F309" s="7">
        <f t="shared" si="9"/>
        <v>94249</v>
      </c>
      <c r="G309" s="7"/>
    </row>
    <row r="310" spans="1:7" x14ac:dyDescent="0.35">
      <c r="A310" t="str">
        <f>"2006-03-31"</f>
        <v>2006-03-31</v>
      </c>
      <c r="B310" t="str">
        <f>"36.0137"</f>
        <v>36.0137</v>
      </c>
      <c r="C310">
        <v>308</v>
      </c>
      <c r="D310" s="7">
        <v>36.0137</v>
      </c>
      <c r="E310" s="7">
        <f t="shared" si="8"/>
        <v>11092.2196</v>
      </c>
      <c r="F310" s="7">
        <f t="shared" si="9"/>
        <v>94864</v>
      </c>
      <c r="G310" s="7"/>
    </row>
    <row r="311" spans="1:7" x14ac:dyDescent="0.35">
      <c r="A311" t="str">
        <f>"2006-04-03"</f>
        <v>2006-04-03</v>
      </c>
      <c r="B311" t="str">
        <f>"36.5917"</f>
        <v>36.5917</v>
      </c>
      <c r="C311">
        <v>309</v>
      </c>
      <c r="D311" s="7">
        <v>36.591700000000003</v>
      </c>
      <c r="E311" s="7">
        <f t="shared" si="8"/>
        <v>11306.835300000001</v>
      </c>
      <c r="F311" s="7">
        <f t="shared" si="9"/>
        <v>95481</v>
      </c>
      <c r="G311" s="7"/>
    </row>
    <row r="312" spans="1:7" x14ac:dyDescent="0.35">
      <c r="A312" t="str">
        <f>"2006-04-04"</f>
        <v>2006-04-04</v>
      </c>
      <c r="B312" t="str">
        <f>"37.0399"</f>
        <v>37.0399</v>
      </c>
      <c r="C312">
        <v>310</v>
      </c>
      <c r="D312" s="7">
        <v>37.039900000000003</v>
      </c>
      <c r="E312" s="7">
        <f t="shared" si="8"/>
        <v>11482.369000000001</v>
      </c>
      <c r="F312" s="7">
        <f t="shared" si="9"/>
        <v>96100</v>
      </c>
      <c r="G312" s="7"/>
    </row>
    <row r="313" spans="1:7" x14ac:dyDescent="0.35">
      <c r="A313" t="str">
        <f>"2006-04-05"</f>
        <v>2006-04-05</v>
      </c>
      <c r="B313" t="str">
        <f>"37.0752"</f>
        <v>37.0752</v>
      </c>
      <c r="C313">
        <v>311</v>
      </c>
      <c r="D313" s="7">
        <v>37.075200000000002</v>
      </c>
      <c r="E313" s="7">
        <f t="shared" si="8"/>
        <v>11530.387200000001</v>
      </c>
      <c r="F313" s="7">
        <f t="shared" si="9"/>
        <v>96721</v>
      </c>
      <c r="G313" s="7"/>
    </row>
    <row r="314" spans="1:7" x14ac:dyDescent="0.35">
      <c r="A314" t="str">
        <f>"2006-04-06"</f>
        <v>2006-04-06</v>
      </c>
      <c r="B314" t="str">
        <f>"35.9466"</f>
        <v>35.9466</v>
      </c>
      <c r="C314">
        <v>312</v>
      </c>
      <c r="D314" s="7">
        <v>35.946599999999997</v>
      </c>
      <c r="E314" s="7">
        <f t="shared" si="8"/>
        <v>11215.339199999999</v>
      </c>
      <c r="F314" s="7">
        <f t="shared" si="9"/>
        <v>97344</v>
      </c>
      <c r="G314" s="7"/>
    </row>
    <row r="315" spans="1:7" x14ac:dyDescent="0.35">
      <c r="A315" t="str">
        <f>"2006-04-07"</f>
        <v>2006-04-07</v>
      </c>
      <c r="B315" t="str">
        <f>"36.0978"</f>
        <v>36.0978</v>
      </c>
      <c r="C315">
        <v>313</v>
      </c>
      <c r="D315" s="7">
        <v>36.097799999999999</v>
      </c>
      <c r="E315" s="7">
        <f t="shared" si="8"/>
        <v>11298.6114</v>
      </c>
      <c r="F315" s="7">
        <f t="shared" si="9"/>
        <v>97969</v>
      </c>
      <c r="G315" s="7"/>
    </row>
    <row r="316" spans="1:7" x14ac:dyDescent="0.35">
      <c r="A316" t="str">
        <f>"2006-04-10"</f>
        <v>2006-04-10</v>
      </c>
      <c r="B316" t="str">
        <f>"35.6755"</f>
        <v>35.6755</v>
      </c>
      <c r="C316">
        <v>314</v>
      </c>
      <c r="D316" s="7">
        <v>35.6755</v>
      </c>
      <c r="E316" s="7">
        <f t="shared" si="8"/>
        <v>11202.107</v>
      </c>
      <c r="F316" s="7">
        <f t="shared" si="9"/>
        <v>98596</v>
      </c>
      <c r="G316" s="7"/>
    </row>
    <row r="317" spans="1:7" x14ac:dyDescent="0.35">
      <c r="A317" t="str">
        <f>"2006-04-11"</f>
        <v>2006-04-11</v>
      </c>
      <c r="B317" t="str">
        <f>"35.4243"</f>
        <v>35.4243</v>
      </c>
      <c r="C317">
        <v>315</v>
      </c>
      <c r="D317" s="7">
        <v>35.424300000000002</v>
      </c>
      <c r="E317" s="7">
        <f t="shared" si="8"/>
        <v>11158.654500000001</v>
      </c>
      <c r="F317" s="7">
        <f t="shared" si="9"/>
        <v>99225</v>
      </c>
      <c r="G317" s="7"/>
    </row>
    <row r="318" spans="1:7" x14ac:dyDescent="0.35">
      <c r="A318" t="str">
        <f>"2006-04-12"</f>
        <v>2006-04-12</v>
      </c>
      <c r="B318" t="str">
        <f>"34.7036"</f>
        <v>34.7036</v>
      </c>
      <c r="C318">
        <v>316</v>
      </c>
      <c r="D318" s="7">
        <v>34.703600000000002</v>
      </c>
      <c r="E318" s="7">
        <f t="shared" si="8"/>
        <v>10966.337600000001</v>
      </c>
      <c r="F318" s="7">
        <f t="shared" si="9"/>
        <v>99856</v>
      </c>
      <c r="G318" s="7"/>
    </row>
    <row r="319" spans="1:7" x14ac:dyDescent="0.35">
      <c r="A319" t="str">
        <f>"2006-04-13"</f>
        <v>2006-04-13</v>
      </c>
      <c r="B319" t="str">
        <f>"34.3615"</f>
        <v>34.3615</v>
      </c>
      <c r="C319">
        <v>317</v>
      </c>
      <c r="D319" s="7">
        <v>34.361499999999999</v>
      </c>
      <c r="E319" s="7">
        <f t="shared" si="8"/>
        <v>10892.595499999999</v>
      </c>
      <c r="F319" s="7">
        <f t="shared" si="9"/>
        <v>100489</v>
      </c>
      <c r="G319" s="7"/>
    </row>
    <row r="320" spans="1:7" x14ac:dyDescent="0.35">
      <c r="A320" t="str">
        <f>"2006-04-17"</f>
        <v>2006-04-17</v>
      </c>
      <c r="B320" t="str">
        <f>"33.782"</f>
        <v>33.782</v>
      </c>
      <c r="C320">
        <v>318</v>
      </c>
      <c r="D320" s="7">
        <v>33.781999999999996</v>
      </c>
      <c r="E320" s="7">
        <f t="shared" si="8"/>
        <v>10742.675999999999</v>
      </c>
      <c r="F320" s="7">
        <f t="shared" si="9"/>
        <v>101124</v>
      </c>
      <c r="G320" s="7"/>
    </row>
    <row r="321" spans="1:7" x14ac:dyDescent="0.35">
      <c r="A321" t="str">
        <f>"2006-04-18"</f>
        <v>2006-04-18</v>
      </c>
      <c r="B321" t="str">
        <f>"33.9472"</f>
        <v>33.9472</v>
      </c>
      <c r="C321">
        <v>319</v>
      </c>
      <c r="D321" s="7">
        <v>33.947200000000002</v>
      </c>
      <c r="E321" s="7">
        <f t="shared" si="8"/>
        <v>10829.156800000001</v>
      </c>
      <c r="F321" s="7">
        <f t="shared" si="9"/>
        <v>101761</v>
      </c>
      <c r="G321" s="7"/>
    </row>
    <row r="322" spans="1:7" x14ac:dyDescent="0.35">
      <c r="A322" t="str">
        <f>"2006-04-19"</f>
        <v>2006-04-19</v>
      </c>
      <c r="B322" t="str">
        <f>"34.3761"</f>
        <v>34.3761</v>
      </c>
      <c r="C322">
        <v>320</v>
      </c>
      <c r="D322" s="7">
        <v>34.376100000000001</v>
      </c>
      <c r="E322" s="7">
        <f t="shared" si="8"/>
        <v>11000.352000000001</v>
      </c>
      <c r="F322" s="7">
        <f t="shared" si="9"/>
        <v>102400</v>
      </c>
      <c r="G322" s="7"/>
    </row>
    <row r="323" spans="1:7" x14ac:dyDescent="0.35">
      <c r="A323" t="str">
        <f>"2006-04-20"</f>
        <v>2006-04-20</v>
      </c>
      <c r="B323" t="str">
        <f>"34.4171"</f>
        <v>34.4171</v>
      </c>
      <c r="C323">
        <v>321</v>
      </c>
      <c r="D323" s="7">
        <v>34.417099999999998</v>
      </c>
      <c r="E323" s="7">
        <f t="shared" si="8"/>
        <v>11047.889099999999</v>
      </c>
      <c r="F323" s="7">
        <f t="shared" si="9"/>
        <v>103041</v>
      </c>
      <c r="G323" s="7"/>
    </row>
    <row r="324" spans="1:7" x14ac:dyDescent="0.35">
      <c r="A324" t="str">
        <f>"2006-04-21"</f>
        <v>2006-04-21</v>
      </c>
      <c r="B324" t="str">
        <f>"33.8445"</f>
        <v>33.8445</v>
      </c>
      <c r="C324">
        <v>322</v>
      </c>
      <c r="D324" s="7">
        <v>33.844499999999996</v>
      </c>
      <c r="E324" s="7">
        <f t="shared" ref="E324:E387" si="10">C324*D324</f>
        <v>10897.928999999998</v>
      </c>
      <c r="F324" s="7">
        <f t="shared" ref="F324:F387" si="11">C324*C324</f>
        <v>103684</v>
      </c>
      <c r="G324" s="7"/>
    </row>
    <row r="325" spans="1:7" x14ac:dyDescent="0.35">
      <c r="A325" t="str">
        <f>"2006-04-24"</f>
        <v>2006-04-24</v>
      </c>
      <c r="B325" t="str">
        <f>"34.0336"</f>
        <v>34.0336</v>
      </c>
      <c r="C325">
        <v>323</v>
      </c>
      <c r="D325" s="7">
        <v>34.0336</v>
      </c>
      <c r="E325" s="7">
        <f t="shared" si="10"/>
        <v>10992.852800000001</v>
      </c>
      <c r="F325" s="7">
        <f t="shared" si="11"/>
        <v>104329</v>
      </c>
      <c r="G325" s="7"/>
    </row>
    <row r="326" spans="1:7" x14ac:dyDescent="0.35">
      <c r="A326" t="str">
        <f>"2006-04-25"</f>
        <v>2006-04-25</v>
      </c>
      <c r="B326" t="str">
        <f>"33.9165"</f>
        <v>33.9165</v>
      </c>
      <c r="C326">
        <v>324</v>
      </c>
      <c r="D326" s="7">
        <v>33.916499999999999</v>
      </c>
      <c r="E326" s="7">
        <f t="shared" si="10"/>
        <v>10988.946</v>
      </c>
      <c r="F326" s="7">
        <f t="shared" si="11"/>
        <v>104976</v>
      </c>
      <c r="G326" s="7"/>
    </row>
    <row r="327" spans="1:7" x14ac:dyDescent="0.35">
      <c r="A327" t="str">
        <f>"2006-04-26"</f>
        <v>2006-04-26</v>
      </c>
      <c r="B327" t="str">
        <f>"33.7035"</f>
        <v>33.7035</v>
      </c>
      <c r="C327">
        <v>325</v>
      </c>
      <c r="D327" s="7">
        <v>33.703499999999998</v>
      </c>
      <c r="E327" s="7">
        <f t="shared" si="10"/>
        <v>10953.637499999999</v>
      </c>
      <c r="F327" s="7">
        <f t="shared" si="11"/>
        <v>105625</v>
      </c>
      <c r="G327" s="7"/>
    </row>
    <row r="328" spans="1:7" x14ac:dyDescent="0.35">
      <c r="A328" t="str">
        <f>"2006-04-27"</f>
        <v>2006-04-27</v>
      </c>
      <c r="B328" t="str">
        <f>"33.6516"</f>
        <v>33.6516</v>
      </c>
      <c r="C328">
        <v>326</v>
      </c>
      <c r="D328" s="7">
        <v>33.651600000000002</v>
      </c>
      <c r="E328" s="7">
        <f t="shared" si="10"/>
        <v>10970.421600000001</v>
      </c>
      <c r="F328" s="7">
        <f t="shared" si="11"/>
        <v>106276</v>
      </c>
      <c r="G328" s="7"/>
    </row>
    <row r="329" spans="1:7" x14ac:dyDescent="0.35">
      <c r="A329" t="str">
        <f>"2006-04-28"</f>
        <v>2006-04-28</v>
      </c>
      <c r="B329" t="str">
        <f>"32.5281"</f>
        <v>32.5281</v>
      </c>
      <c r="C329">
        <v>327</v>
      </c>
      <c r="D329" s="7">
        <v>32.528100000000002</v>
      </c>
      <c r="E329" s="7">
        <f t="shared" si="10"/>
        <v>10636.688700000001</v>
      </c>
      <c r="F329" s="7">
        <f t="shared" si="11"/>
        <v>106929</v>
      </c>
      <c r="G329" s="7"/>
    </row>
    <row r="330" spans="1:7" x14ac:dyDescent="0.35">
      <c r="A330" t="str">
        <f>"2006-05-01"</f>
        <v>2006-05-01</v>
      </c>
      <c r="B330" t="str">
        <f>"32.7034"</f>
        <v>32.7034</v>
      </c>
      <c r="C330">
        <v>328</v>
      </c>
      <c r="D330" s="7">
        <v>32.703400000000002</v>
      </c>
      <c r="E330" s="7">
        <f t="shared" si="10"/>
        <v>10726.715200000001</v>
      </c>
      <c r="F330" s="7">
        <f t="shared" si="11"/>
        <v>107584</v>
      </c>
      <c r="G330" s="7"/>
    </row>
    <row r="331" spans="1:7" x14ac:dyDescent="0.35">
      <c r="A331" t="str">
        <f>"2006-05-02"</f>
        <v>2006-05-02</v>
      </c>
      <c r="B331" t="str">
        <f>"32.4283"</f>
        <v>32.4283</v>
      </c>
      <c r="C331">
        <v>329</v>
      </c>
      <c r="D331" s="7">
        <v>32.4283</v>
      </c>
      <c r="E331" s="7">
        <f t="shared" si="10"/>
        <v>10668.9107</v>
      </c>
      <c r="F331" s="7">
        <f t="shared" si="11"/>
        <v>108241</v>
      </c>
      <c r="G331" s="7"/>
    </row>
    <row r="332" spans="1:7" x14ac:dyDescent="0.35">
      <c r="A332" t="str">
        <f>"2006-05-03"</f>
        <v>2006-05-03</v>
      </c>
      <c r="B332" t="str">
        <f>"32.2589"</f>
        <v>32.2589</v>
      </c>
      <c r="C332">
        <v>330</v>
      </c>
      <c r="D332" s="7">
        <v>32.258899999999997</v>
      </c>
      <c r="E332" s="7">
        <f t="shared" si="10"/>
        <v>10645.437</v>
      </c>
      <c r="F332" s="7">
        <f t="shared" si="11"/>
        <v>108900</v>
      </c>
      <c r="G332" s="7"/>
    </row>
    <row r="333" spans="1:7" x14ac:dyDescent="0.35">
      <c r="A333" t="str">
        <f>"2006-05-04"</f>
        <v>2006-05-04</v>
      </c>
      <c r="B333" t="str">
        <f>"31.4234"</f>
        <v>31.4234</v>
      </c>
      <c r="C333">
        <v>331</v>
      </c>
      <c r="D333" s="7">
        <v>31.423400000000001</v>
      </c>
      <c r="E333" s="7">
        <f t="shared" si="10"/>
        <v>10401.145399999999</v>
      </c>
      <c r="F333" s="7">
        <f t="shared" si="11"/>
        <v>109561</v>
      </c>
      <c r="G333" s="7"/>
    </row>
    <row r="334" spans="1:7" x14ac:dyDescent="0.35">
      <c r="A334" t="str">
        <f>"2006-05-05"</f>
        <v>2006-05-05</v>
      </c>
      <c r="B334" t="str">
        <f>"30.8982"</f>
        <v>30.8982</v>
      </c>
      <c r="C334">
        <v>332</v>
      </c>
      <c r="D334" s="7">
        <v>30.898199999999999</v>
      </c>
      <c r="E334" s="7">
        <f t="shared" si="10"/>
        <v>10258.2024</v>
      </c>
      <c r="F334" s="7">
        <f t="shared" si="11"/>
        <v>110224</v>
      </c>
      <c r="G334" s="7"/>
    </row>
    <row r="335" spans="1:7" x14ac:dyDescent="0.35">
      <c r="A335" t="str">
        <f>"2006-05-08"</f>
        <v>2006-05-08</v>
      </c>
      <c r="B335" t="str">
        <f>"31.1379"</f>
        <v>31.1379</v>
      </c>
      <c r="C335">
        <v>333</v>
      </c>
      <c r="D335" s="7">
        <v>31.137899999999998</v>
      </c>
      <c r="E335" s="7">
        <f t="shared" si="10"/>
        <v>10368.920699999999</v>
      </c>
      <c r="F335" s="7">
        <f t="shared" si="11"/>
        <v>110889</v>
      </c>
      <c r="G335" s="7"/>
    </row>
    <row r="336" spans="1:7" x14ac:dyDescent="0.35">
      <c r="A336" t="str">
        <f>"2006-05-09"</f>
        <v>2006-05-09</v>
      </c>
      <c r="B336" t="str">
        <f>"30.8251"</f>
        <v>30.8251</v>
      </c>
      <c r="C336">
        <v>334</v>
      </c>
      <c r="D336" s="7">
        <v>30.825099999999999</v>
      </c>
      <c r="E336" s="7">
        <f t="shared" si="10"/>
        <v>10295.5834</v>
      </c>
      <c r="F336" s="7">
        <f t="shared" si="11"/>
        <v>111556</v>
      </c>
      <c r="G336" s="7"/>
    </row>
    <row r="337" spans="1:7" x14ac:dyDescent="0.35">
      <c r="A337" t="str">
        <f>"2006-05-10"</f>
        <v>2006-05-10</v>
      </c>
      <c r="B337" t="str">
        <f>"30.5719"</f>
        <v>30.5719</v>
      </c>
      <c r="C337">
        <v>335</v>
      </c>
      <c r="D337" s="7">
        <v>30.571899999999999</v>
      </c>
      <c r="E337" s="7">
        <f t="shared" si="10"/>
        <v>10241.586499999999</v>
      </c>
      <c r="F337" s="7">
        <f t="shared" si="11"/>
        <v>112225</v>
      </c>
      <c r="G337" s="7"/>
    </row>
    <row r="338" spans="1:7" x14ac:dyDescent="0.35">
      <c r="A338" t="str">
        <f>"2006-05-11"</f>
        <v>2006-05-11</v>
      </c>
      <c r="B338" t="str">
        <f>"29.4033"</f>
        <v>29.4033</v>
      </c>
      <c r="C338">
        <v>336</v>
      </c>
      <c r="D338" s="7">
        <v>29.403300000000002</v>
      </c>
      <c r="E338" s="7">
        <f t="shared" si="10"/>
        <v>9879.5087999999996</v>
      </c>
      <c r="F338" s="7">
        <f t="shared" si="11"/>
        <v>112896</v>
      </c>
      <c r="G338" s="7"/>
    </row>
    <row r="339" spans="1:7" x14ac:dyDescent="0.35">
      <c r="A339" t="str">
        <f>"2006-05-12"</f>
        <v>2006-05-12</v>
      </c>
      <c r="B339" t="str">
        <f>"28.8999"</f>
        <v>28.8999</v>
      </c>
      <c r="C339">
        <v>337</v>
      </c>
      <c r="D339" s="7">
        <v>28.899899999999999</v>
      </c>
      <c r="E339" s="7">
        <f t="shared" si="10"/>
        <v>9739.2662999999993</v>
      </c>
      <c r="F339" s="7">
        <f t="shared" si="11"/>
        <v>113569</v>
      </c>
      <c r="G339" s="7"/>
    </row>
    <row r="340" spans="1:7" x14ac:dyDescent="0.35">
      <c r="A340" t="str">
        <f>"2006-05-15"</f>
        <v>2006-05-15</v>
      </c>
      <c r="B340" t="str">
        <f>"28.7097"</f>
        <v>28.7097</v>
      </c>
      <c r="C340">
        <v>338</v>
      </c>
      <c r="D340" s="7">
        <v>28.709700000000002</v>
      </c>
      <c r="E340" s="7">
        <f t="shared" si="10"/>
        <v>9703.8786</v>
      </c>
      <c r="F340" s="7">
        <f t="shared" si="11"/>
        <v>114244</v>
      </c>
      <c r="G340" s="7"/>
    </row>
    <row r="341" spans="1:7" x14ac:dyDescent="0.35">
      <c r="A341" t="str">
        <f>"2006-05-16"</f>
        <v>2006-05-16</v>
      </c>
      <c r="B341" t="str">
        <f>"28.5976"</f>
        <v>28.5976</v>
      </c>
      <c r="C341">
        <v>339</v>
      </c>
      <c r="D341" s="7">
        <v>28.5976</v>
      </c>
      <c r="E341" s="7">
        <f t="shared" si="10"/>
        <v>9694.5864000000001</v>
      </c>
      <c r="F341" s="7">
        <f t="shared" si="11"/>
        <v>114921</v>
      </c>
      <c r="G341" s="7"/>
    </row>
    <row r="342" spans="1:7" x14ac:dyDescent="0.35">
      <c r="A342" t="str">
        <f>"2006-05-17"</f>
        <v>2006-05-17</v>
      </c>
      <c r="B342" t="str">
        <f>"28.0379"</f>
        <v>28.0379</v>
      </c>
      <c r="C342">
        <v>340</v>
      </c>
      <c r="D342" s="7">
        <v>28.0379</v>
      </c>
      <c r="E342" s="7">
        <f t="shared" si="10"/>
        <v>9532.8860000000004</v>
      </c>
      <c r="F342" s="7">
        <f t="shared" si="11"/>
        <v>115600</v>
      </c>
      <c r="G342" s="7"/>
    </row>
    <row r="343" spans="1:7" x14ac:dyDescent="0.35">
      <c r="A343" t="str">
        <f>"2006-05-18"</f>
        <v>2006-05-18</v>
      </c>
      <c r="B343" t="str">
        <f>"28.0882"</f>
        <v>28.0882</v>
      </c>
      <c r="C343">
        <v>341</v>
      </c>
      <c r="D343" s="7">
        <v>28.088200000000001</v>
      </c>
      <c r="E343" s="7">
        <f t="shared" si="10"/>
        <v>9578.0761999999995</v>
      </c>
      <c r="F343" s="7">
        <f t="shared" si="11"/>
        <v>116281</v>
      </c>
      <c r="G343" s="7"/>
    </row>
    <row r="344" spans="1:7" x14ac:dyDescent="0.35">
      <c r="A344" t="str">
        <f>"2006-05-19"</f>
        <v>2006-05-19</v>
      </c>
      <c r="B344" t="str">
        <f>"29.461"</f>
        <v>29.461</v>
      </c>
      <c r="C344">
        <v>342</v>
      </c>
      <c r="D344" s="7">
        <v>29.460999999999999</v>
      </c>
      <c r="E344" s="7">
        <f t="shared" si="10"/>
        <v>10075.662</v>
      </c>
      <c r="F344" s="7">
        <f t="shared" si="11"/>
        <v>116964</v>
      </c>
      <c r="G344" s="7"/>
    </row>
    <row r="345" spans="1:7" x14ac:dyDescent="0.35">
      <c r="A345" t="str">
        <f>"2006-05-22"</f>
        <v>2006-05-22</v>
      </c>
      <c r="B345" t="str">
        <f>"28.3541"</f>
        <v>28.3541</v>
      </c>
      <c r="C345">
        <v>343</v>
      </c>
      <c r="D345" s="7">
        <v>28.354099999999999</v>
      </c>
      <c r="E345" s="7">
        <f t="shared" si="10"/>
        <v>9725.4562999999998</v>
      </c>
      <c r="F345" s="7">
        <f t="shared" si="11"/>
        <v>117649</v>
      </c>
      <c r="G345" s="7"/>
    </row>
    <row r="346" spans="1:7" x14ac:dyDescent="0.35">
      <c r="A346" t="str">
        <f>"2006-05-23"</f>
        <v>2006-05-23</v>
      </c>
      <c r="B346" t="str">
        <f>"28.4969"</f>
        <v>28.4969</v>
      </c>
      <c r="C346">
        <v>344</v>
      </c>
      <c r="D346" s="7">
        <v>28.4969</v>
      </c>
      <c r="E346" s="7">
        <f t="shared" si="10"/>
        <v>9802.9336000000003</v>
      </c>
      <c r="F346" s="7">
        <f t="shared" si="11"/>
        <v>118336</v>
      </c>
      <c r="G346" s="7"/>
    </row>
    <row r="347" spans="1:7" x14ac:dyDescent="0.35">
      <c r="A347" t="str">
        <f>"2006-05-24"</f>
        <v>2006-05-24</v>
      </c>
      <c r="B347" t="str">
        <f>"28.98"</f>
        <v>28.98</v>
      </c>
      <c r="C347">
        <v>345</v>
      </c>
      <c r="D347" s="7">
        <v>28.98</v>
      </c>
      <c r="E347" s="7">
        <f t="shared" si="10"/>
        <v>9998.1</v>
      </c>
      <c r="F347" s="7">
        <f t="shared" si="11"/>
        <v>119025</v>
      </c>
      <c r="G347" s="7"/>
    </row>
    <row r="348" spans="1:7" x14ac:dyDescent="0.35">
      <c r="A348" t="str">
        <f>"2006-05-25"</f>
        <v>2006-05-25</v>
      </c>
      <c r="B348" t="str">
        <f>"23.5618"</f>
        <v>23.5618</v>
      </c>
      <c r="C348">
        <v>346</v>
      </c>
      <c r="D348" s="7">
        <v>23.561800000000002</v>
      </c>
      <c r="E348" s="7">
        <f t="shared" si="10"/>
        <v>8152.3828000000003</v>
      </c>
      <c r="F348" s="7">
        <f t="shared" si="11"/>
        <v>119716</v>
      </c>
      <c r="G348" s="7"/>
    </row>
    <row r="349" spans="1:7" x14ac:dyDescent="0.35">
      <c r="A349" t="str">
        <f>"2006-05-26"</f>
        <v>2006-05-26</v>
      </c>
      <c r="B349" t="str">
        <f>"24.238"</f>
        <v>24.238</v>
      </c>
      <c r="C349">
        <v>347</v>
      </c>
      <c r="D349" s="7">
        <v>24.238</v>
      </c>
      <c r="E349" s="7">
        <f t="shared" si="10"/>
        <v>8410.5859999999993</v>
      </c>
      <c r="F349" s="7">
        <f t="shared" si="11"/>
        <v>120409</v>
      </c>
      <c r="G349" s="7"/>
    </row>
    <row r="350" spans="1:7" x14ac:dyDescent="0.35">
      <c r="A350" t="str">
        <f>"2006-05-30"</f>
        <v>2006-05-30</v>
      </c>
      <c r="B350" t="str">
        <f>"22.9305"</f>
        <v>22.9305</v>
      </c>
      <c r="C350">
        <v>348</v>
      </c>
      <c r="D350" s="7">
        <v>22.930499999999999</v>
      </c>
      <c r="E350" s="7">
        <f t="shared" si="10"/>
        <v>7979.8139999999994</v>
      </c>
      <c r="F350" s="7">
        <f t="shared" si="11"/>
        <v>121104</v>
      </c>
      <c r="G350" s="7"/>
    </row>
    <row r="351" spans="1:7" x14ac:dyDescent="0.35">
      <c r="A351" t="str">
        <f>"2006-05-31"</f>
        <v>2006-05-31</v>
      </c>
      <c r="B351" t="str">
        <f>"23.1695"</f>
        <v>23.1695</v>
      </c>
      <c r="C351">
        <v>349</v>
      </c>
      <c r="D351" s="7">
        <v>23.169499999999999</v>
      </c>
      <c r="E351" s="7">
        <f t="shared" si="10"/>
        <v>8086.1554999999998</v>
      </c>
      <c r="F351" s="7">
        <f t="shared" si="11"/>
        <v>121801</v>
      </c>
      <c r="G351" s="7"/>
    </row>
    <row r="352" spans="1:7" x14ac:dyDescent="0.35">
      <c r="A352" t="str">
        <f>"2006-06-01"</f>
        <v>2006-06-01</v>
      </c>
      <c r="B352" t="str">
        <f>"24.4396"</f>
        <v>24.4396</v>
      </c>
      <c r="C352">
        <v>350</v>
      </c>
      <c r="D352" s="7">
        <v>24.439599999999999</v>
      </c>
      <c r="E352" s="7">
        <f t="shared" si="10"/>
        <v>8553.8599999999988</v>
      </c>
      <c r="F352" s="7">
        <f t="shared" si="11"/>
        <v>122500</v>
      </c>
      <c r="G352" s="7"/>
    </row>
    <row r="353" spans="1:7" x14ac:dyDescent="0.35">
      <c r="A353" t="str">
        <f>"2006-06-02"</f>
        <v>2006-06-02</v>
      </c>
      <c r="B353" t="str">
        <f>"23.6898"</f>
        <v>23.6898</v>
      </c>
      <c r="C353">
        <v>351</v>
      </c>
      <c r="D353" s="7">
        <v>23.689800000000002</v>
      </c>
      <c r="E353" s="7">
        <f t="shared" si="10"/>
        <v>8315.1198000000004</v>
      </c>
      <c r="F353" s="7">
        <f t="shared" si="11"/>
        <v>123201</v>
      </c>
      <c r="G353" s="7"/>
    </row>
    <row r="354" spans="1:7" x14ac:dyDescent="0.35">
      <c r="A354" t="str">
        <f>"2006-06-05"</f>
        <v>2006-06-05</v>
      </c>
      <c r="B354" t="str">
        <f>"22.8259"</f>
        <v>22.8259</v>
      </c>
      <c r="C354">
        <v>352</v>
      </c>
      <c r="D354" s="7">
        <v>22.825900000000001</v>
      </c>
      <c r="E354" s="7">
        <f t="shared" si="10"/>
        <v>8034.7168000000001</v>
      </c>
      <c r="F354" s="7">
        <f t="shared" si="11"/>
        <v>123904</v>
      </c>
      <c r="G354" s="7"/>
    </row>
    <row r="355" spans="1:7" x14ac:dyDescent="0.35">
      <c r="A355" t="str">
        <f>"2006-06-06"</f>
        <v>2006-06-06</v>
      </c>
      <c r="B355" t="str">
        <f>"23.2761"</f>
        <v>23.2761</v>
      </c>
      <c r="C355">
        <v>353</v>
      </c>
      <c r="D355" s="7">
        <v>23.2761</v>
      </c>
      <c r="E355" s="7">
        <f t="shared" si="10"/>
        <v>8216.4632999999994</v>
      </c>
      <c r="F355" s="7">
        <f t="shared" si="11"/>
        <v>124609</v>
      </c>
      <c r="G355" s="7"/>
    </row>
    <row r="356" spans="1:7" x14ac:dyDescent="0.35">
      <c r="A356" t="str">
        <f>"2006-06-07"</f>
        <v>2006-06-07</v>
      </c>
      <c r="B356" t="str">
        <f>"23.5616"</f>
        <v>23.5616</v>
      </c>
      <c r="C356">
        <v>354</v>
      </c>
      <c r="D356" s="7">
        <v>23.561599999999999</v>
      </c>
      <c r="E356" s="7">
        <f t="shared" si="10"/>
        <v>8340.8063999999995</v>
      </c>
      <c r="F356" s="7">
        <f t="shared" si="11"/>
        <v>125316</v>
      </c>
      <c r="G356" s="7"/>
    </row>
    <row r="357" spans="1:7" x14ac:dyDescent="0.35">
      <c r="A357" t="str">
        <f>"2006-06-08"</f>
        <v>2006-06-08</v>
      </c>
      <c r="B357" t="str">
        <f>"23.5657"</f>
        <v>23.5657</v>
      </c>
      <c r="C357">
        <v>355</v>
      </c>
      <c r="D357" s="7">
        <v>23.5657</v>
      </c>
      <c r="E357" s="7">
        <f t="shared" si="10"/>
        <v>8365.8235000000004</v>
      </c>
      <c r="F357" s="7">
        <f t="shared" si="11"/>
        <v>126025</v>
      </c>
      <c r="G357" s="7"/>
    </row>
    <row r="358" spans="1:7" x14ac:dyDescent="0.35">
      <c r="A358" t="str">
        <f>"2006-06-09"</f>
        <v>2006-06-09</v>
      </c>
      <c r="B358" t="str">
        <f>"22.8179"</f>
        <v>22.8179</v>
      </c>
      <c r="C358">
        <v>356</v>
      </c>
      <c r="D358" s="7">
        <v>22.817900000000002</v>
      </c>
      <c r="E358" s="7">
        <f t="shared" si="10"/>
        <v>8123.1724000000004</v>
      </c>
      <c r="F358" s="7">
        <f t="shared" si="11"/>
        <v>126736</v>
      </c>
      <c r="G358" s="7"/>
    </row>
    <row r="359" spans="1:7" x14ac:dyDescent="0.35">
      <c r="A359" t="str">
        <f>"2006-06-12"</f>
        <v>2006-06-12</v>
      </c>
      <c r="B359" t="str">
        <f>"22.0971"</f>
        <v>22.0971</v>
      </c>
      <c r="C359">
        <v>357</v>
      </c>
      <c r="D359" s="7">
        <v>22.097100000000001</v>
      </c>
      <c r="E359" s="7">
        <f t="shared" si="10"/>
        <v>7888.6647000000003</v>
      </c>
      <c r="F359" s="7">
        <f t="shared" si="11"/>
        <v>127449</v>
      </c>
      <c r="G359" s="7"/>
    </row>
    <row r="360" spans="1:7" x14ac:dyDescent="0.35">
      <c r="A360" t="str">
        <f>"2006-06-13"</f>
        <v>2006-06-13</v>
      </c>
      <c r="B360" t="str">
        <f>"21.162"</f>
        <v>21.162</v>
      </c>
      <c r="C360">
        <v>358</v>
      </c>
      <c r="D360" s="7">
        <v>21.161999999999999</v>
      </c>
      <c r="E360" s="7">
        <f t="shared" si="10"/>
        <v>7575.9960000000001</v>
      </c>
      <c r="F360" s="7">
        <f t="shared" si="11"/>
        <v>128164</v>
      </c>
      <c r="G360" s="7"/>
    </row>
    <row r="361" spans="1:7" x14ac:dyDescent="0.35">
      <c r="A361" t="str">
        <f>"2006-06-14"</f>
        <v>2006-06-14</v>
      </c>
      <c r="B361" t="str">
        <f>"23.5571"</f>
        <v>23.5571</v>
      </c>
      <c r="C361">
        <v>359</v>
      </c>
      <c r="D361" s="7">
        <v>23.557099999999998</v>
      </c>
      <c r="E361" s="7">
        <f t="shared" si="10"/>
        <v>8456.9988999999987</v>
      </c>
      <c r="F361" s="7">
        <f t="shared" si="11"/>
        <v>128881</v>
      </c>
      <c r="G361" s="7"/>
    </row>
    <row r="362" spans="1:7" x14ac:dyDescent="0.35">
      <c r="A362" t="str">
        <f>"2006-06-15"</f>
        <v>2006-06-15</v>
      </c>
      <c r="B362" t="str">
        <f>"25.9836"</f>
        <v>25.9836</v>
      </c>
      <c r="C362">
        <v>360</v>
      </c>
      <c r="D362" s="7">
        <v>25.983599999999999</v>
      </c>
      <c r="E362" s="7">
        <f t="shared" si="10"/>
        <v>9354.0959999999995</v>
      </c>
      <c r="F362" s="7">
        <f t="shared" si="11"/>
        <v>129600</v>
      </c>
      <c r="G362" s="7"/>
    </row>
    <row r="363" spans="1:7" x14ac:dyDescent="0.35">
      <c r="A363" t="str">
        <f>"2006-06-16"</f>
        <v>2006-06-16</v>
      </c>
      <c r="B363" t="str">
        <f>"25.7906"</f>
        <v>25.7906</v>
      </c>
      <c r="C363">
        <v>361</v>
      </c>
      <c r="D363" s="7">
        <v>25.790600000000001</v>
      </c>
      <c r="E363" s="7">
        <f t="shared" si="10"/>
        <v>9310.4066000000003</v>
      </c>
      <c r="F363" s="7">
        <f t="shared" si="11"/>
        <v>130321</v>
      </c>
      <c r="G363" s="7"/>
    </row>
    <row r="364" spans="1:7" x14ac:dyDescent="0.35">
      <c r="A364" t="str">
        <f>"2006-06-19"</f>
        <v>2006-06-19</v>
      </c>
      <c r="B364" t="str">
        <f>"24.7647"</f>
        <v>24.7647</v>
      </c>
      <c r="C364">
        <v>362</v>
      </c>
      <c r="D364" s="7">
        <v>24.764700000000001</v>
      </c>
      <c r="E364" s="7">
        <f t="shared" si="10"/>
        <v>8964.8214000000007</v>
      </c>
      <c r="F364" s="7">
        <f t="shared" si="11"/>
        <v>131044</v>
      </c>
      <c r="G364" s="7"/>
    </row>
    <row r="365" spans="1:7" x14ac:dyDescent="0.35">
      <c r="A365" t="str">
        <f>"2006-06-20"</f>
        <v>2006-06-20</v>
      </c>
      <c r="B365" t="str">
        <f>"24.0553"</f>
        <v>24.0553</v>
      </c>
      <c r="C365">
        <v>363</v>
      </c>
      <c r="D365" s="7">
        <v>24.055299999999999</v>
      </c>
      <c r="E365" s="7">
        <f t="shared" si="10"/>
        <v>8732.0738999999994</v>
      </c>
      <c r="F365" s="7">
        <f t="shared" si="11"/>
        <v>131769</v>
      </c>
      <c r="G365" s="7"/>
    </row>
    <row r="366" spans="1:7" x14ac:dyDescent="0.35">
      <c r="A366" t="str">
        <f>"2006-06-21"</f>
        <v>2006-06-21</v>
      </c>
      <c r="B366" t="str">
        <f>"22.3781"</f>
        <v>22.3781</v>
      </c>
      <c r="C366">
        <v>364</v>
      </c>
      <c r="D366" s="7">
        <v>22.3781</v>
      </c>
      <c r="E366" s="7">
        <f t="shared" si="10"/>
        <v>8145.6283999999996</v>
      </c>
      <c r="F366" s="7">
        <f t="shared" si="11"/>
        <v>132496</v>
      </c>
      <c r="G366" s="7"/>
    </row>
    <row r="367" spans="1:7" x14ac:dyDescent="0.35">
      <c r="A367" t="str">
        <f>"2006-06-22"</f>
        <v>2006-06-22</v>
      </c>
      <c r="B367" t="str">
        <f>"22.2833"</f>
        <v>22.2833</v>
      </c>
      <c r="C367">
        <v>365</v>
      </c>
      <c r="D367" s="7">
        <v>22.283300000000001</v>
      </c>
      <c r="E367" s="7">
        <f t="shared" si="10"/>
        <v>8133.4045000000006</v>
      </c>
      <c r="F367" s="7">
        <f t="shared" si="11"/>
        <v>133225</v>
      </c>
      <c r="G367" s="7"/>
    </row>
    <row r="368" spans="1:7" x14ac:dyDescent="0.35">
      <c r="A368" t="str">
        <f>"2006-06-23"</f>
        <v>2006-06-23</v>
      </c>
      <c r="B368" t="str">
        <f>"21.6345"</f>
        <v>21.6345</v>
      </c>
      <c r="C368">
        <v>366</v>
      </c>
      <c r="D368" s="7">
        <v>21.634499999999999</v>
      </c>
      <c r="E368" s="7">
        <f t="shared" si="10"/>
        <v>7918.2269999999999</v>
      </c>
      <c r="F368" s="7">
        <f t="shared" si="11"/>
        <v>133956</v>
      </c>
      <c r="G368" s="7"/>
    </row>
    <row r="369" spans="1:7" x14ac:dyDescent="0.35">
      <c r="A369" t="str">
        <f>"2006-06-26"</f>
        <v>2006-06-26</v>
      </c>
      <c r="B369" t="str">
        <f>"21.108"</f>
        <v>21.108</v>
      </c>
      <c r="C369">
        <v>367</v>
      </c>
      <c r="D369" s="7">
        <v>21.108000000000001</v>
      </c>
      <c r="E369" s="7">
        <f t="shared" si="10"/>
        <v>7746.6360000000004</v>
      </c>
      <c r="F369" s="7">
        <f t="shared" si="11"/>
        <v>134689</v>
      </c>
      <c r="G369" s="7"/>
    </row>
    <row r="370" spans="1:7" x14ac:dyDescent="0.35">
      <c r="A370" t="str">
        <f>"2006-06-27"</f>
        <v>2006-06-27</v>
      </c>
      <c r="B370" t="str">
        <f>"22.0666"</f>
        <v>22.0666</v>
      </c>
      <c r="C370">
        <v>368</v>
      </c>
      <c r="D370" s="7">
        <v>22.066600000000001</v>
      </c>
      <c r="E370" s="7">
        <f t="shared" si="10"/>
        <v>8120.5088000000005</v>
      </c>
      <c r="F370" s="7">
        <f t="shared" si="11"/>
        <v>135424</v>
      </c>
      <c r="G370" s="7"/>
    </row>
    <row r="371" spans="1:7" x14ac:dyDescent="0.35">
      <c r="A371" t="str">
        <f>"2006-06-28"</f>
        <v>2006-06-28</v>
      </c>
      <c r="B371" t="str">
        <f>"22.8122"</f>
        <v>22.8122</v>
      </c>
      <c r="C371">
        <v>369</v>
      </c>
      <c r="D371" s="7">
        <v>22.812200000000001</v>
      </c>
      <c r="E371" s="7">
        <f t="shared" si="10"/>
        <v>8417.7018000000007</v>
      </c>
      <c r="F371" s="7">
        <f t="shared" si="11"/>
        <v>136161</v>
      </c>
      <c r="G371" s="7"/>
    </row>
    <row r="372" spans="1:7" x14ac:dyDescent="0.35">
      <c r="A372" t="str">
        <f>"2006-06-29"</f>
        <v>2006-06-29</v>
      </c>
      <c r="B372" t="str">
        <f>"22.9928"</f>
        <v>22.9928</v>
      </c>
      <c r="C372">
        <v>370</v>
      </c>
      <c r="D372" s="7">
        <v>22.992799999999999</v>
      </c>
      <c r="E372" s="7">
        <f t="shared" si="10"/>
        <v>8507.3359999999993</v>
      </c>
      <c r="F372" s="7">
        <f t="shared" si="11"/>
        <v>136900</v>
      </c>
      <c r="G372" s="7"/>
    </row>
    <row r="373" spans="1:7" x14ac:dyDescent="0.35">
      <c r="A373" t="str">
        <f>"2006-06-30"</f>
        <v>2006-06-30</v>
      </c>
      <c r="B373" t="str">
        <f>"22.4075"</f>
        <v>22.4075</v>
      </c>
      <c r="C373">
        <v>371</v>
      </c>
      <c r="D373" s="7">
        <v>22.407499999999999</v>
      </c>
      <c r="E373" s="7">
        <f t="shared" si="10"/>
        <v>8313.182499999999</v>
      </c>
      <c r="F373" s="7">
        <f t="shared" si="11"/>
        <v>137641</v>
      </c>
      <c r="G373" s="7"/>
    </row>
    <row r="374" spans="1:7" x14ac:dyDescent="0.35">
      <c r="A374" t="str">
        <f>"2006-07-05"</f>
        <v>2006-07-05</v>
      </c>
      <c r="B374" t="str">
        <f>"21.3806"</f>
        <v>21.3806</v>
      </c>
      <c r="C374">
        <v>372</v>
      </c>
      <c r="D374" s="7">
        <v>21.380600000000001</v>
      </c>
      <c r="E374" s="7">
        <f t="shared" si="10"/>
        <v>7953.5832</v>
      </c>
      <c r="F374" s="7">
        <f t="shared" si="11"/>
        <v>138384</v>
      </c>
      <c r="G374" s="7"/>
    </row>
    <row r="375" spans="1:7" x14ac:dyDescent="0.35">
      <c r="A375" t="str">
        <f>"2006-07-06"</f>
        <v>2006-07-06</v>
      </c>
      <c r="B375" t="str">
        <f>"21.3727"</f>
        <v>21.3727</v>
      </c>
      <c r="C375">
        <v>373</v>
      </c>
      <c r="D375" s="7">
        <v>21.372699999999998</v>
      </c>
      <c r="E375" s="7">
        <f t="shared" si="10"/>
        <v>7972.0170999999991</v>
      </c>
      <c r="F375" s="7">
        <f t="shared" si="11"/>
        <v>139129</v>
      </c>
      <c r="G375" s="7"/>
    </row>
    <row r="376" spans="1:7" x14ac:dyDescent="0.35">
      <c r="A376" t="str">
        <f>"2006-07-07"</f>
        <v>2006-07-07</v>
      </c>
      <c r="B376" t="str">
        <f>"21.7368"</f>
        <v>21.7368</v>
      </c>
      <c r="C376">
        <v>374</v>
      </c>
      <c r="D376" s="7">
        <v>21.736799999999999</v>
      </c>
      <c r="E376" s="7">
        <f t="shared" si="10"/>
        <v>8129.5631999999996</v>
      </c>
      <c r="F376" s="7">
        <f t="shared" si="11"/>
        <v>139876</v>
      </c>
      <c r="G376" s="7"/>
    </row>
    <row r="377" spans="1:7" x14ac:dyDescent="0.35">
      <c r="A377" t="str">
        <f>"2006-07-10"</f>
        <v>2006-07-10</v>
      </c>
      <c r="B377" t="str">
        <f>"22.1744"</f>
        <v>22.1744</v>
      </c>
      <c r="C377">
        <v>375</v>
      </c>
      <c r="D377" s="7">
        <v>22.174399999999999</v>
      </c>
      <c r="E377" s="7">
        <f t="shared" si="10"/>
        <v>8315.4</v>
      </c>
      <c r="F377" s="7">
        <f t="shared" si="11"/>
        <v>140625</v>
      </c>
      <c r="G377" s="7"/>
    </row>
    <row r="378" spans="1:7" x14ac:dyDescent="0.35">
      <c r="A378" t="str">
        <f>"2006-07-11"</f>
        <v>2006-07-11</v>
      </c>
      <c r="B378" t="str">
        <f>"21.3693"</f>
        <v>21.3693</v>
      </c>
      <c r="C378">
        <v>376</v>
      </c>
      <c r="D378" s="7">
        <v>21.369299999999999</v>
      </c>
      <c r="E378" s="7">
        <f t="shared" si="10"/>
        <v>8034.8567999999996</v>
      </c>
      <c r="F378" s="7">
        <f t="shared" si="11"/>
        <v>141376</v>
      </c>
      <c r="G378" s="7"/>
    </row>
    <row r="379" spans="1:7" x14ac:dyDescent="0.35">
      <c r="A379" t="str">
        <f>"2006-07-12"</f>
        <v>2006-07-12</v>
      </c>
      <c r="B379" t="str">
        <f>"21.1798"</f>
        <v>21.1798</v>
      </c>
      <c r="C379">
        <v>377</v>
      </c>
      <c r="D379" s="7">
        <v>21.1798</v>
      </c>
      <c r="E379" s="7">
        <f t="shared" si="10"/>
        <v>7984.7846</v>
      </c>
      <c r="F379" s="7">
        <f t="shared" si="11"/>
        <v>142129</v>
      </c>
      <c r="G379" s="7"/>
    </row>
    <row r="380" spans="1:7" x14ac:dyDescent="0.35">
      <c r="A380" t="str">
        <f>"2006-07-13"</f>
        <v>2006-07-13</v>
      </c>
      <c r="B380" t="str">
        <f>"19.5079"</f>
        <v>19.5079</v>
      </c>
      <c r="C380">
        <v>378</v>
      </c>
      <c r="D380" s="7">
        <v>19.507899999999999</v>
      </c>
      <c r="E380" s="7">
        <f t="shared" si="10"/>
        <v>7373.9861999999994</v>
      </c>
      <c r="F380" s="7">
        <f t="shared" si="11"/>
        <v>142884</v>
      </c>
      <c r="G380" s="7"/>
    </row>
    <row r="381" spans="1:7" x14ac:dyDescent="0.35">
      <c r="A381" t="str">
        <f>"2006-07-14"</f>
        <v>2006-07-14</v>
      </c>
      <c r="B381" t="str">
        <f>"18.9472"</f>
        <v>18.9472</v>
      </c>
      <c r="C381">
        <v>379</v>
      </c>
      <c r="D381" s="7">
        <v>18.947199999999999</v>
      </c>
      <c r="E381" s="7">
        <f t="shared" si="10"/>
        <v>7180.9887999999992</v>
      </c>
      <c r="F381" s="7">
        <f t="shared" si="11"/>
        <v>143641</v>
      </c>
      <c r="G381" s="7"/>
    </row>
    <row r="382" spans="1:7" x14ac:dyDescent="0.35">
      <c r="A382" t="str">
        <f>"2006-07-17"</f>
        <v>2006-07-17</v>
      </c>
      <c r="B382" t="str">
        <f>"19.221"</f>
        <v>19.221</v>
      </c>
      <c r="C382">
        <v>380</v>
      </c>
      <c r="D382" s="7">
        <v>19.221</v>
      </c>
      <c r="E382" s="7">
        <f t="shared" si="10"/>
        <v>7303.9800000000005</v>
      </c>
      <c r="F382" s="7">
        <f t="shared" si="11"/>
        <v>144400</v>
      </c>
      <c r="G382" s="7"/>
    </row>
    <row r="383" spans="1:7" x14ac:dyDescent="0.35">
      <c r="A383" t="str">
        <f>"2006-07-18"</f>
        <v>2006-07-18</v>
      </c>
      <c r="B383" t="str">
        <f>"20.3167"</f>
        <v>20.3167</v>
      </c>
      <c r="C383">
        <v>381</v>
      </c>
      <c r="D383" s="7">
        <v>20.316700000000001</v>
      </c>
      <c r="E383" s="7">
        <f t="shared" si="10"/>
        <v>7740.6627000000008</v>
      </c>
      <c r="F383" s="7">
        <f t="shared" si="11"/>
        <v>145161</v>
      </c>
      <c r="G383" s="7"/>
    </row>
    <row r="384" spans="1:7" x14ac:dyDescent="0.35">
      <c r="A384" t="str">
        <f>"2006-07-19"</f>
        <v>2006-07-19</v>
      </c>
      <c r="B384" t="str">
        <f>"20.4382"</f>
        <v>20.4382</v>
      </c>
      <c r="C384">
        <v>382</v>
      </c>
      <c r="D384" s="7">
        <v>20.438199999999998</v>
      </c>
      <c r="E384" s="7">
        <f t="shared" si="10"/>
        <v>7807.3923999999997</v>
      </c>
      <c r="F384" s="7">
        <f t="shared" si="11"/>
        <v>145924</v>
      </c>
      <c r="G384" s="7"/>
    </row>
    <row r="385" spans="1:7" x14ac:dyDescent="0.35">
      <c r="A385" t="str">
        <f>"2006-07-20"</f>
        <v>2006-07-20</v>
      </c>
      <c r="B385" t="str">
        <f>"20.4174"</f>
        <v>20.4174</v>
      </c>
      <c r="C385">
        <v>383</v>
      </c>
      <c r="D385" s="7">
        <v>20.417400000000001</v>
      </c>
      <c r="E385" s="7">
        <f t="shared" si="10"/>
        <v>7819.8642</v>
      </c>
      <c r="F385" s="7">
        <f t="shared" si="11"/>
        <v>146689</v>
      </c>
      <c r="G385" s="7"/>
    </row>
    <row r="386" spans="1:7" x14ac:dyDescent="0.35">
      <c r="A386" t="str">
        <f>"2006-07-21"</f>
        <v>2006-07-21</v>
      </c>
      <c r="B386" t="str">
        <f>"21.0399"</f>
        <v>21.0399</v>
      </c>
      <c r="C386">
        <v>384</v>
      </c>
      <c r="D386" s="7">
        <v>21.039899999999999</v>
      </c>
      <c r="E386" s="7">
        <f t="shared" si="10"/>
        <v>8079.3215999999993</v>
      </c>
      <c r="F386" s="7">
        <f t="shared" si="11"/>
        <v>147456</v>
      </c>
      <c r="G386" s="7"/>
    </row>
    <row r="387" spans="1:7" x14ac:dyDescent="0.35">
      <c r="A387" t="str">
        <f>"2006-07-24"</f>
        <v>2006-07-24</v>
      </c>
      <c r="B387" t="str">
        <f>"21.6115"</f>
        <v>21.6115</v>
      </c>
      <c r="C387">
        <v>385</v>
      </c>
      <c r="D387" s="7">
        <v>21.611499999999999</v>
      </c>
      <c r="E387" s="7">
        <f t="shared" si="10"/>
        <v>8320.4274999999998</v>
      </c>
      <c r="F387" s="7">
        <f t="shared" si="11"/>
        <v>148225</v>
      </c>
      <c r="G387" s="7"/>
    </row>
    <row r="388" spans="1:7" x14ac:dyDescent="0.35">
      <c r="A388" t="str">
        <f>"2006-07-25"</f>
        <v>2006-07-25</v>
      </c>
      <c r="B388" t="str">
        <f>"21.9422"</f>
        <v>21.9422</v>
      </c>
      <c r="C388">
        <v>386</v>
      </c>
      <c r="D388" s="7">
        <v>21.9422</v>
      </c>
      <c r="E388" s="7">
        <f t="shared" ref="E388:E451" si="12">C388*D388</f>
        <v>8469.6892000000007</v>
      </c>
      <c r="F388" s="7">
        <f t="shared" ref="F388:F451" si="13">C388*C388</f>
        <v>148996</v>
      </c>
      <c r="G388" s="7"/>
    </row>
    <row r="389" spans="1:7" x14ac:dyDescent="0.35">
      <c r="A389" t="str">
        <f>"2006-07-26"</f>
        <v>2006-07-26</v>
      </c>
      <c r="B389" t="str">
        <f>"21.9808"</f>
        <v>21.9808</v>
      </c>
      <c r="C389">
        <v>387</v>
      </c>
      <c r="D389" s="7">
        <v>21.980799999999999</v>
      </c>
      <c r="E389" s="7">
        <f t="shared" si="12"/>
        <v>8506.5695999999989</v>
      </c>
      <c r="F389" s="7">
        <f t="shared" si="13"/>
        <v>149769</v>
      </c>
      <c r="G389" s="7"/>
    </row>
    <row r="390" spans="1:7" x14ac:dyDescent="0.35">
      <c r="A390" t="str">
        <f>"2006-07-27"</f>
        <v>2006-07-27</v>
      </c>
      <c r="B390" t="str">
        <f>"22.0492"</f>
        <v>22.0492</v>
      </c>
      <c r="C390">
        <v>388</v>
      </c>
      <c r="D390" s="7">
        <v>22.049199999999999</v>
      </c>
      <c r="E390" s="7">
        <f t="shared" si="12"/>
        <v>8555.0895999999993</v>
      </c>
      <c r="F390" s="7">
        <f t="shared" si="13"/>
        <v>150544</v>
      </c>
      <c r="G390" s="7"/>
    </row>
    <row r="391" spans="1:7" x14ac:dyDescent="0.35">
      <c r="A391" t="str">
        <f>"2006-07-28"</f>
        <v>2006-07-28</v>
      </c>
      <c r="B391" t="str">
        <f>"22.2004"</f>
        <v>22.2004</v>
      </c>
      <c r="C391">
        <v>389</v>
      </c>
      <c r="D391" s="7">
        <v>22.200399999999998</v>
      </c>
      <c r="E391" s="7">
        <f t="shared" si="12"/>
        <v>8635.9555999999993</v>
      </c>
      <c r="F391" s="7">
        <f t="shared" si="13"/>
        <v>151321</v>
      </c>
      <c r="G391" s="7"/>
    </row>
    <row r="392" spans="1:7" x14ac:dyDescent="0.35">
      <c r="A392" t="str">
        <f>"2006-07-31"</f>
        <v>2006-07-31</v>
      </c>
      <c r="B392" t="str">
        <f>"21.7187"</f>
        <v>21.7187</v>
      </c>
      <c r="C392">
        <v>390</v>
      </c>
      <c r="D392" s="7">
        <v>21.718699999999998</v>
      </c>
      <c r="E392" s="7">
        <f t="shared" si="12"/>
        <v>8470.2929999999997</v>
      </c>
      <c r="F392" s="7">
        <f t="shared" si="13"/>
        <v>152100</v>
      </c>
      <c r="G392" s="7"/>
    </row>
    <row r="393" spans="1:7" x14ac:dyDescent="0.35">
      <c r="A393" t="str">
        <f>"2006-08-01"</f>
        <v>2006-08-01</v>
      </c>
      <c r="B393" t="str">
        <f>"20.9594"</f>
        <v>20.9594</v>
      </c>
      <c r="C393">
        <v>391</v>
      </c>
      <c r="D393" s="7">
        <v>20.959399999999999</v>
      </c>
      <c r="E393" s="7">
        <f t="shared" si="12"/>
        <v>8195.125399999999</v>
      </c>
      <c r="F393" s="7">
        <f t="shared" si="13"/>
        <v>152881</v>
      </c>
      <c r="G393" s="7"/>
    </row>
    <row r="394" spans="1:7" x14ac:dyDescent="0.35">
      <c r="A394" t="str">
        <f>"2006-08-02"</f>
        <v>2006-08-02</v>
      </c>
      <c r="B394" t="str">
        <f>"20.5359"</f>
        <v>20.5359</v>
      </c>
      <c r="C394">
        <v>392</v>
      </c>
      <c r="D394" s="7">
        <v>20.535900000000002</v>
      </c>
      <c r="E394" s="7">
        <f t="shared" si="12"/>
        <v>8050.0728000000008</v>
      </c>
      <c r="F394" s="7">
        <f t="shared" si="13"/>
        <v>153664</v>
      </c>
      <c r="G394" s="7"/>
    </row>
    <row r="395" spans="1:7" x14ac:dyDescent="0.35">
      <c r="A395" t="str">
        <f>"2006-08-03"</f>
        <v>2006-08-03</v>
      </c>
      <c r="B395" t="str">
        <f>"21.1957"</f>
        <v>21.1957</v>
      </c>
      <c r="C395">
        <v>393</v>
      </c>
      <c r="D395" s="7">
        <v>21.195699999999999</v>
      </c>
      <c r="E395" s="7">
        <f t="shared" si="12"/>
        <v>8329.9100999999991</v>
      </c>
      <c r="F395" s="7">
        <f t="shared" si="13"/>
        <v>154449</v>
      </c>
      <c r="G395" s="7"/>
    </row>
    <row r="396" spans="1:7" x14ac:dyDescent="0.35">
      <c r="A396" t="str">
        <f>"2006-08-04"</f>
        <v>2006-08-04</v>
      </c>
      <c r="B396" t="str">
        <f>"21.6033"</f>
        <v>21.6033</v>
      </c>
      <c r="C396">
        <v>394</v>
      </c>
      <c r="D396" s="7">
        <v>21.603300000000001</v>
      </c>
      <c r="E396" s="7">
        <f t="shared" si="12"/>
        <v>8511.7002000000011</v>
      </c>
      <c r="F396" s="7">
        <f t="shared" si="13"/>
        <v>155236</v>
      </c>
      <c r="G396" s="7"/>
    </row>
    <row r="397" spans="1:7" x14ac:dyDescent="0.35">
      <c r="A397" t="str">
        <f>"2006-08-07"</f>
        <v>2006-08-07</v>
      </c>
      <c r="B397" t="str">
        <f>"21.5356"</f>
        <v>21.5356</v>
      </c>
      <c r="C397">
        <v>395</v>
      </c>
      <c r="D397" s="7">
        <v>21.535599999999999</v>
      </c>
      <c r="E397" s="7">
        <f t="shared" si="12"/>
        <v>8506.5619999999999</v>
      </c>
      <c r="F397" s="7">
        <f t="shared" si="13"/>
        <v>156025</v>
      </c>
      <c r="G397" s="7"/>
    </row>
    <row r="398" spans="1:7" x14ac:dyDescent="0.35">
      <c r="A398" t="str">
        <f>"2006-08-08"</f>
        <v>2006-08-08</v>
      </c>
      <c r="B398" t="str">
        <f>"21.9347"</f>
        <v>21.9347</v>
      </c>
      <c r="C398">
        <v>396</v>
      </c>
      <c r="D398" s="7">
        <v>21.934699999999999</v>
      </c>
      <c r="E398" s="7">
        <f t="shared" si="12"/>
        <v>8686.1412</v>
      </c>
      <c r="F398" s="7">
        <f t="shared" si="13"/>
        <v>156816</v>
      </c>
      <c r="G398" s="7"/>
    </row>
    <row r="399" spans="1:7" x14ac:dyDescent="0.35">
      <c r="A399" t="str">
        <f>"2006-08-09"</f>
        <v>2006-08-09</v>
      </c>
      <c r="B399" t="str">
        <f>"22.1209"</f>
        <v>22.1209</v>
      </c>
      <c r="C399">
        <v>397</v>
      </c>
      <c r="D399" s="7">
        <v>22.120899999999999</v>
      </c>
      <c r="E399" s="7">
        <f t="shared" si="12"/>
        <v>8781.9972999999991</v>
      </c>
      <c r="F399" s="7">
        <f t="shared" si="13"/>
        <v>157609</v>
      </c>
      <c r="G399" s="7"/>
    </row>
    <row r="400" spans="1:7" x14ac:dyDescent="0.35">
      <c r="A400" t="str">
        <f>"2006-08-10"</f>
        <v>2006-08-10</v>
      </c>
      <c r="B400" t="str">
        <f>"22.913"</f>
        <v>22.913</v>
      </c>
      <c r="C400">
        <v>398</v>
      </c>
      <c r="D400" s="7">
        <v>22.913</v>
      </c>
      <c r="E400" s="7">
        <f t="shared" si="12"/>
        <v>9119.3739999999998</v>
      </c>
      <c r="F400" s="7">
        <f t="shared" si="13"/>
        <v>158404</v>
      </c>
      <c r="G400" s="7"/>
    </row>
    <row r="401" spans="1:7" x14ac:dyDescent="0.35">
      <c r="A401" t="str">
        <f>"2006-08-11"</f>
        <v>2006-08-11</v>
      </c>
      <c r="B401" t="str">
        <f>"22.8515"</f>
        <v>22.8515</v>
      </c>
      <c r="C401">
        <v>399</v>
      </c>
      <c r="D401" s="7">
        <v>22.851500000000001</v>
      </c>
      <c r="E401" s="7">
        <f t="shared" si="12"/>
        <v>9117.7484999999997</v>
      </c>
      <c r="F401" s="7">
        <f t="shared" si="13"/>
        <v>159201</v>
      </c>
      <c r="G401" s="7"/>
    </row>
    <row r="402" spans="1:7" x14ac:dyDescent="0.35">
      <c r="A402" t="str">
        <f>"2006-08-14"</f>
        <v>2006-08-14</v>
      </c>
      <c r="B402" t="str">
        <f>"22.3893"</f>
        <v>22.3893</v>
      </c>
      <c r="C402">
        <v>400</v>
      </c>
      <c r="D402" s="7">
        <v>22.389299999999999</v>
      </c>
      <c r="E402" s="7">
        <f t="shared" si="12"/>
        <v>8955.7199999999993</v>
      </c>
      <c r="F402" s="7">
        <f t="shared" si="13"/>
        <v>160000</v>
      </c>
      <c r="G402" s="7"/>
    </row>
    <row r="403" spans="1:7" x14ac:dyDescent="0.35">
      <c r="A403" t="str">
        <f>"2006-08-15"</f>
        <v>2006-08-15</v>
      </c>
      <c r="B403" t="str">
        <f>"22.4726"</f>
        <v>22.4726</v>
      </c>
      <c r="C403">
        <v>401</v>
      </c>
      <c r="D403" s="7">
        <v>22.4726</v>
      </c>
      <c r="E403" s="7">
        <f t="shared" si="12"/>
        <v>9011.5126</v>
      </c>
      <c r="F403" s="7">
        <f t="shared" si="13"/>
        <v>160801</v>
      </c>
      <c r="G403" s="7"/>
    </row>
    <row r="404" spans="1:7" x14ac:dyDescent="0.35">
      <c r="A404" t="str">
        <f>"2006-08-16"</f>
        <v>2006-08-16</v>
      </c>
      <c r="B404" t="str">
        <f>"22.9517"</f>
        <v>22.9517</v>
      </c>
      <c r="C404">
        <v>402</v>
      </c>
      <c r="D404" s="7">
        <v>22.951699999999999</v>
      </c>
      <c r="E404" s="7">
        <f t="shared" si="12"/>
        <v>9226.5833999999995</v>
      </c>
      <c r="F404" s="7">
        <f t="shared" si="13"/>
        <v>161604</v>
      </c>
      <c r="G404" s="7"/>
    </row>
    <row r="405" spans="1:7" x14ac:dyDescent="0.35">
      <c r="A405" t="str">
        <f>"2006-08-17"</f>
        <v>2006-08-17</v>
      </c>
      <c r="B405" t="str">
        <f>"23.6711"</f>
        <v>23.6711</v>
      </c>
      <c r="C405">
        <v>403</v>
      </c>
      <c r="D405" s="7">
        <v>23.671099999999999</v>
      </c>
      <c r="E405" s="7">
        <f t="shared" si="12"/>
        <v>9539.4532999999992</v>
      </c>
      <c r="F405" s="7">
        <f t="shared" si="13"/>
        <v>162409</v>
      </c>
      <c r="G405" s="7"/>
    </row>
    <row r="406" spans="1:7" x14ac:dyDescent="0.35">
      <c r="A406" t="str">
        <f>"2006-08-18"</f>
        <v>2006-08-18</v>
      </c>
      <c r="B406" t="str">
        <f>"23.0129"</f>
        <v>23.0129</v>
      </c>
      <c r="C406">
        <v>404</v>
      </c>
      <c r="D406" s="7">
        <v>23.012899999999998</v>
      </c>
      <c r="E406" s="7">
        <f t="shared" si="12"/>
        <v>9297.2115999999987</v>
      </c>
      <c r="F406" s="7">
        <f t="shared" si="13"/>
        <v>163216</v>
      </c>
      <c r="G406" s="7"/>
    </row>
    <row r="407" spans="1:7" x14ac:dyDescent="0.35">
      <c r="A407" t="str">
        <f>"2006-08-21"</f>
        <v>2006-08-21</v>
      </c>
      <c r="B407" t="str">
        <f>"22.4349"</f>
        <v>22.4349</v>
      </c>
      <c r="C407">
        <v>405</v>
      </c>
      <c r="D407" s="7">
        <v>22.434899999999999</v>
      </c>
      <c r="E407" s="7">
        <f t="shared" si="12"/>
        <v>9086.1345000000001</v>
      </c>
      <c r="F407" s="7">
        <f t="shared" si="13"/>
        <v>164025</v>
      </c>
      <c r="G407" s="7"/>
    </row>
    <row r="408" spans="1:7" x14ac:dyDescent="0.35">
      <c r="A408" t="str">
        <f>"2006-08-22"</f>
        <v>2006-08-22</v>
      </c>
      <c r="B408" t="str">
        <f>"22.0279"</f>
        <v>22.0279</v>
      </c>
      <c r="C408">
        <v>406</v>
      </c>
      <c r="D408" s="7">
        <v>22.027899999999999</v>
      </c>
      <c r="E408" s="7">
        <f t="shared" si="12"/>
        <v>8943.3274000000001</v>
      </c>
      <c r="F408" s="7">
        <f t="shared" si="13"/>
        <v>164836</v>
      </c>
      <c r="G408" s="7"/>
    </row>
    <row r="409" spans="1:7" x14ac:dyDescent="0.35">
      <c r="A409" t="str">
        <f>"2006-08-23"</f>
        <v>2006-08-23</v>
      </c>
      <c r="B409" t="str">
        <f>"21.7838"</f>
        <v>21.7838</v>
      </c>
      <c r="C409">
        <v>407</v>
      </c>
      <c r="D409" s="7">
        <v>21.783799999999999</v>
      </c>
      <c r="E409" s="7">
        <f t="shared" si="12"/>
        <v>8866.0066000000006</v>
      </c>
      <c r="F409" s="7">
        <f t="shared" si="13"/>
        <v>165649</v>
      </c>
      <c r="G409" s="7"/>
    </row>
    <row r="410" spans="1:7" x14ac:dyDescent="0.35">
      <c r="A410" t="str">
        <f>"2006-08-24"</f>
        <v>2006-08-24</v>
      </c>
      <c r="B410" t="str">
        <f>"21.4461"</f>
        <v>21.4461</v>
      </c>
      <c r="C410">
        <v>408</v>
      </c>
      <c r="D410" s="7">
        <v>21.446100000000001</v>
      </c>
      <c r="E410" s="7">
        <f t="shared" si="12"/>
        <v>8750.0087999999996</v>
      </c>
      <c r="F410" s="7">
        <f t="shared" si="13"/>
        <v>166464</v>
      </c>
      <c r="G410" s="7"/>
    </row>
    <row r="411" spans="1:7" x14ac:dyDescent="0.35">
      <c r="A411" t="str">
        <f>"2006-08-25"</f>
        <v>2006-08-25</v>
      </c>
      <c r="B411" t="str">
        <f>"21.4705"</f>
        <v>21.4705</v>
      </c>
      <c r="C411">
        <v>409</v>
      </c>
      <c r="D411" s="7">
        <v>21.470500000000001</v>
      </c>
      <c r="E411" s="7">
        <f t="shared" si="12"/>
        <v>8781.4345000000012</v>
      </c>
      <c r="F411" s="7">
        <f t="shared" si="13"/>
        <v>167281</v>
      </c>
      <c r="G411" s="7"/>
    </row>
    <row r="412" spans="1:7" x14ac:dyDescent="0.35">
      <c r="A412" t="str">
        <f>"2006-08-28"</f>
        <v>2006-08-28</v>
      </c>
      <c r="B412" t="str">
        <f>"21.784"</f>
        <v>21.784</v>
      </c>
      <c r="C412">
        <v>410</v>
      </c>
      <c r="D412" s="7">
        <v>21.783999999999999</v>
      </c>
      <c r="E412" s="7">
        <f t="shared" si="12"/>
        <v>8931.4399999999987</v>
      </c>
      <c r="F412" s="7">
        <f t="shared" si="13"/>
        <v>168100</v>
      </c>
      <c r="G412" s="7"/>
    </row>
    <row r="413" spans="1:7" x14ac:dyDescent="0.35">
      <c r="A413" t="str">
        <f>"2006-08-29"</f>
        <v>2006-08-29</v>
      </c>
      <c r="B413" t="str">
        <f>"22.1418"</f>
        <v>22.1418</v>
      </c>
      <c r="C413">
        <v>411</v>
      </c>
      <c r="D413" s="7">
        <v>22.1418</v>
      </c>
      <c r="E413" s="7">
        <f t="shared" si="12"/>
        <v>9100.2798000000003</v>
      </c>
      <c r="F413" s="7">
        <f t="shared" si="13"/>
        <v>168921</v>
      </c>
      <c r="G413" s="7"/>
    </row>
    <row r="414" spans="1:7" x14ac:dyDescent="0.35">
      <c r="A414" t="str">
        <f>"2006-08-30"</f>
        <v>2006-08-30</v>
      </c>
      <c r="B414" t="str">
        <f>"21.9132"</f>
        <v>21.9132</v>
      </c>
      <c r="C414">
        <v>412</v>
      </c>
      <c r="D414" s="7">
        <v>21.9132</v>
      </c>
      <c r="E414" s="7">
        <f t="shared" si="12"/>
        <v>9028.2384000000002</v>
      </c>
      <c r="F414" s="7">
        <f t="shared" si="13"/>
        <v>169744</v>
      </c>
      <c r="G414" s="7"/>
    </row>
    <row r="415" spans="1:7" x14ac:dyDescent="0.35">
      <c r="A415" t="str">
        <f>"2006-08-31"</f>
        <v>2006-08-31</v>
      </c>
      <c r="B415" t="str">
        <f>"21.722"</f>
        <v>21.722</v>
      </c>
      <c r="C415">
        <v>413</v>
      </c>
      <c r="D415" s="7">
        <v>21.722000000000001</v>
      </c>
      <c r="E415" s="7">
        <f t="shared" si="12"/>
        <v>8971.1859999999997</v>
      </c>
      <c r="F415" s="7">
        <f t="shared" si="13"/>
        <v>170569</v>
      </c>
      <c r="G415" s="7"/>
    </row>
    <row r="416" spans="1:7" x14ac:dyDescent="0.35">
      <c r="A416" t="str">
        <f>"2006-09-01"</f>
        <v>2006-09-01</v>
      </c>
      <c r="B416" t="str">
        <f>"21.8638"</f>
        <v>21.8638</v>
      </c>
      <c r="C416">
        <v>414</v>
      </c>
      <c r="D416" s="7">
        <v>21.863800000000001</v>
      </c>
      <c r="E416" s="7">
        <f t="shared" si="12"/>
        <v>9051.6131999999998</v>
      </c>
      <c r="F416" s="7">
        <f t="shared" si="13"/>
        <v>171396</v>
      </c>
      <c r="G416" s="7"/>
    </row>
    <row r="417" spans="1:7" x14ac:dyDescent="0.35">
      <c r="A417" t="str">
        <f>"2006-09-04"</f>
        <v>2006-09-04</v>
      </c>
      <c r="B417" t="str">
        <f>"22.4183"</f>
        <v>22.4183</v>
      </c>
      <c r="C417">
        <v>415</v>
      </c>
      <c r="D417" s="7">
        <v>22.418299999999999</v>
      </c>
      <c r="E417" s="7">
        <f t="shared" si="12"/>
        <v>9303.5944999999992</v>
      </c>
      <c r="F417" s="7">
        <f t="shared" si="13"/>
        <v>172225</v>
      </c>
      <c r="G417" s="7"/>
    </row>
    <row r="418" spans="1:7" x14ac:dyDescent="0.35">
      <c r="A418" t="str">
        <f>"2006-09-05"</f>
        <v>2006-09-05</v>
      </c>
      <c r="B418" t="str">
        <f>"22.0537"</f>
        <v>22.0537</v>
      </c>
      <c r="C418">
        <v>416</v>
      </c>
      <c r="D418" s="7">
        <v>22.053699999999999</v>
      </c>
      <c r="E418" s="7">
        <f t="shared" si="12"/>
        <v>9174.3392000000003</v>
      </c>
      <c r="F418" s="7">
        <f t="shared" si="13"/>
        <v>173056</v>
      </c>
      <c r="G418" s="7"/>
    </row>
    <row r="419" spans="1:7" x14ac:dyDescent="0.35">
      <c r="A419" t="str">
        <f>"2006-09-06"</f>
        <v>2006-09-06</v>
      </c>
      <c r="B419" t="str">
        <f>"21.4468"</f>
        <v>21.4468</v>
      </c>
      <c r="C419">
        <v>417</v>
      </c>
      <c r="D419" s="7">
        <v>21.4468</v>
      </c>
      <c r="E419" s="7">
        <f t="shared" si="12"/>
        <v>8943.3155999999999</v>
      </c>
      <c r="F419" s="7">
        <f t="shared" si="13"/>
        <v>173889</v>
      </c>
      <c r="G419" s="7"/>
    </row>
    <row r="420" spans="1:7" x14ac:dyDescent="0.35">
      <c r="A420" t="str">
        <f>"2006-09-07"</f>
        <v>2006-09-07</v>
      </c>
      <c r="B420" t="str">
        <f>"21.6781"</f>
        <v>21.6781</v>
      </c>
      <c r="C420">
        <v>418</v>
      </c>
      <c r="D420" s="7">
        <v>21.678100000000001</v>
      </c>
      <c r="E420" s="7">
        <f t="shared" si="12"/>
        <v>9061.4457999999995</v>
      </c>
      <c r="F420" s="7">
        <f t="shared" si="13"/>
        <v>174724</v>
      </c>
      <c r="G420" s="7"/>
    </row>
    <row r="421" spans="1:7" x14ac:dyDescent="0.35">
      <c r="A421" t="str">
        <f>"2006-09-08"</f>
        <v>2006-09-08</v>
      </c>
      <c r="B421" t="str">
        <f>"22.8354"</f>
        <v>22.8354</v>
      </c>
      <c r="C421">
        <v>419</v>
      </c>
      <c r="D421" s="7">
        <v>22.8354</v>
      </c>
      <c r="E421" s="7">
        <f t="shared" si="12"/>
        <v>9568.0326000000005</v>
      </c>
      <c r="F421" s="7">
        <f t="shared" si="13"/>
        <v>175561</v>
      </c>
      <c r="G421" s="7"/>
    </row>
    <row r="422" spans="1:7" x14ac:dyDescent="0.35">
      <c r="A422" t="str">
        <f>"2006-09-11"</f>
        <v>2006-09-11</v>
      </c>
      <c r="B422" t="str">
        <f>"25.781"</f>
        <v>25.781</v>
      </c>
      <c r="C422">
        <v>420</v>
      </c>
      <c r="D422" s="7">
        <v>25.780999999999999</v>
      </c>
      <c r="E422" s="7">
        <f t="shared" si="12"/>
        <v>10828.019999999999</v>
      </c>
      <c r="F422" s="7">
        <f t="shared" si="13"/>
        <v>176400</v>
      </c>
      <c r="G422" s="7"/>
    </row>
    <row r="423" spans="1:7" x14ac:dyDescent="0.35">
      <c r="A423" t="str">
        <f>"2006-09-12"</f>
        <v>2006-09-12</v>
      </c>
      <c r="B423" t="str">
        <f>"26.8811"</f>
        <v>26.8811</v>
      </c>
      <c r="C423">
        <v>421</v>
      </c>
      <c r="D423" s="7">
        <v>26.8811</v>
      </c>
      <c r="E423" s="7">
        <f t="shared" si="12"/>
        <v>11316.9431</v>
      </c>
      <c r="F423" s="7">
        <f t="shared" si="13"/>
        <v>177241</v>
      </c>
      <c r="G423" s="7"/>
    </row>
    <row r="424" spans="1:7" x14ac:dyDescent="0.35">
      <c r="A424" t="str">
        <f>"2006-09-13"</f>
        <v>2006-09-13</v>
      </c>
      <c r="B424" t="str">
        <f>"26.9636"</f>
        <v>26.9636</v>
      </c>
      <c r="C424">
        <v>422</v>
      </c>
      <c r="D424" s="7">
        <v>26.9636</v>
      </c>
      <c r="E424" s="7">
        <f t="shared" si="12"/>
        <v>11378.6392</v>
      </c>
      <c r="F424" s="7">
        <f t="shared" si="13"/>
        <v>178084</v>
      </c>
      <c r="G424" s="7"/>
    </row>
    <row r="425" spans="1:7" x14ac:dyDescent="0.35">
      <c r="A425" t="str">
        <f>"2006-09-14"</f>
        <v>2006-09-14</v>
      </c>
      <c r="B425" t="str">
        <f>"26.5373"</f>
        <v>26.5373</v>
      </c>
      <c r="C425">
        <v>423</v>
      </c>
      <c r="D425" s="7">
        <v>26.537299999999998</v>
      </c>
      <c r="E425" s="7">
        <f t="shared" si="12"/>
        <v>11225.277899999999</v>
      </c>
      <c r="F425" s="7">
        <f t="shared" si="13"/>
        <v>178929</v>
      </c>
      <c r="G425" s="7"/>
    </row>
    <row r="426" spans="1:7" x14ac:dyDescent="0.35">
      <c r="A426" t="str">
        <f>"2006-09-15"</f>
        <v>2006-09-15</v>
      </c>
      <c r="B426" t="str">
        <f>"26.273"</f>
        <v>26.273</v>
      </c>
      <c r="C426">
        <v>424</v>
      </c>
      <c r="D426" s="7">
        <v>26.273</v>
      </c>
      <c r="E426" s="7">
        <f t="shared" si="12"/>
        <v>11139.752</v>
      </c>
      <c r="F426" s="7">
        <f t="shared" si="13"/>
        <v>179776</v>
      </c>
      <c r="G426" s="7"/>
    </row>
    <row r="427" spans="1:7" x14ac:dyDescent="0.35">
      <c r="A427" t="str">
        <f>"2006-09-18"</f>
        <v>2006-09-18</v>
      </c>
      <c r="B427" t="str">
        <f>"25.8781"</f>
        <v>25.8781</v>
      </c>
      <c r="C427">
        <v>425</v>
      </c>
      <c r="D427" s="7">
        <v>25.8781</v>
      </c>
      <c r="E427" s="7">
        <f t="shared" si="12"/>
        <v>10998.192499999999</v>
      </c>
      <c r="F427" s="7">
        <f t="shared" si="13"/>
        <v>180625</v>
      </c>
      <c r="G427" s="7"/>
    </row>
    <row r="428" spans="1:7" x14ac:dyDescent="0.35">
      <c r="A428" t="str">
        <f>"2006-09-19"</f>
        <v>2006-09-19</v>
      </c>
      <c r="B428" t="str">
        <f>"26.1901"</f>
        <v>26.1901</v>
      </c>
      <c r="C428">
        <v>426</v>
      </c>
      <c r="D428" s="7">
        <v>26.190100000000001</v>
      </c>
      <c r="E428" s="7">
        <f t="shared" si="12"/>
        <v>11156.982600000001</v>
      </c>
      <c r="F428" s="7">
        <f t="shared" si="13"/>
        <v>181476</v>
      </c>
      <c r="G428" s="7"/>
    </row>
    <row r="429" spans="1:7" x14ac:dyDescent="0.35">
      <c r="A429" t="str">
        <f>"2006-09-20"</f>
        <v>2006-09-20</v>
      </c>
      <c r="B429" t="str">
        <f>"26.4582"</f>
        <v>26.4582</v>
      </c>
      <c r="C429">
        <v>427</v>
      </c>
      <c r="D429" s="7">
        <v>26.458200000000001</v>
      </c>
      <c r="E429" s="7">
        <f t="shared" si="12"/>
        <v>11297.651400000001</v>
      </c>
      <c r="F429" s="7">
        <f t="shared" si="13"/>
        <v>182329</v>
      </c>
      <c r="G429" s="7"/>
    </row>
    <row r="430" spans="1:7" x14ac:dyDescent="0.35">
      <c r="A430" t="str">
        <f>"2006-09-21"</f>
        <v>2006-09-21</v>
      </c>
      <c r="B430" t="str">
        <f>"25.6714"</f>
        <v>25.6714</v>
      </c>
      <c r="C430">
        <v>428</v>
      </c>
      <c r="D430" s="7">
        <v>25.671399999999998</v>
      </c>
      <c r="E430" s="7">
        <f t="shared" si="12"/>
        <v>10987.359199999999</v>
      </c>
      <c r="F430" s="7">
        <f t="shared" si="13"/>
        <v>183184</v>
      </c>
      <c r="G430" s="7"/>
    </row>
    <row r="431" spans="1:7" x14ac:dyDescent="0.35">
      <c r="A431" t="str">
        <f>"2006-09-22"</f>
        <v>2006-09-22</v>
      </c>
      <c r="B431" t="str">
        <f>"25.0637"</f>
        <v>25.0637</v>
      </c>
      <c r="C431">
        <v>429</v>
      </c>
      <c r="D431" s="7">
        <v>25.063700000000001</v>
      </c>
      <c r="E431" s="7">
        <f t="shared" si="12"/>
        <v>10752.327300000001</v>
      </c>
      <c r="F431" s="7">
        <f t="shared" si="13"/>
        <v>184041</v>
      </c>
      <c r="G431" s="7"/>
    </row>
    <row r="432" spans="1:7" x14ac:dyDescent="0.35">
      <c r="A432" t="str">
        <f>"2006-09-25"</f>
        <v>2006-09-25</v>
      </c>
      <c r="B432" t="str">
        <f>"26.3406"</f>
        <v>26.3406</v>
      </c>
      <c r="C432">
        <v>430</v>
      </c>
      <c r="D432" s="7">
        <v>26.340599999999998</v>
      </c>
      <c r="E432" s="7">
        <f t="shared" si="12"/>
        <v>11326.457999999999</v>
      </c>
      <c r="F432" s="7">
        <f t="shared" si="13"/>
        <v>184900</v>
      </c>
      <c r="G432" s="7"/>
    </row>
    <row r="433" spans="1:7" x14ac:dyDescent="0.35">
      <c r="A433" t="str">
        <f>"2006-09-26"</f>
        <v>2006-09-26</v>
      </c>
      <c r="B433" t="str">
        <f>"26.3753"</f>
        <v>26.3753</v>
      </c>
      <c r="C433">
        <v>431</v>
      </c>
      <c r="D433" s="7">
        <v>26.375299999999999</v>
      </c>
      <c r="E433" s="7">
        <f t="shared" si="12"/>
        <v>11367.754300000001</v>
      </c>
      <c r="F433" s="7">
        <f t="shared" si="13"/>
        <v>185761</v>
      </c>
      <c r="G433" s="7"/>
    </row>
    <row r="434" spans="1:7" x14ac:dyDescent="0.35">
      <c r="A434" t="str">
        <f>"2006-09-27"</f>
        <v>2006-09-27</v>
      </c>
      <c r="B434" t="str">
        <f>"26.839"</f>
        <v>26.839</v>
      </c>
      <c r="C434">
        <v>432</v>
      </c>
      <c r="D434" s="7">
        <v>26.838999999999999</v>
      </c>
      <c r="E434" s="7">
        <f t="shared" si="12"/>
        <v>11594.448</v>
      </c>
      <c r="F434" s="7">
        <f t="shared" si="13"/>
        <v>186624</v>
      </c>
      <c r="G434" s="7"/>
    </row>
    <row r="435" spans="1:7" x14ac:dyDescent="0.35">
      <c r="A435" t="str">
        <f>"2006-09-28"</f>
        <v>2006-09-28</v>
      </c>
      <c r="B435" t="str">
        <f>"25.8682"</f>
        <v>25.8682</v>
      </c>
      <c r="C435">
        <v>433</v>
      </c>
      <c r="D435" s="7">
        <v>25.868200000000002</v>
      </c>
      <c r="E435" s="7">
        <f t="shared" si="12"/>
        <v>11200.930600000002</v>
      </c>
      <c r="F435" s="7">
        <f t="shared" si="13"/>
        <v>187489</v>
      </c>
      <c r="G435" s="7"/>
    </row>
    <row r="436" spans="1:7" x14ac:dyDescent="0.35">
      <c r="A436" t="str">
        <f>"2006-09-29"</f>
        <v>2006-09-29</v>
      </c>
      <c r="B436" t="str">
        <f>"26.0061"</f>
        <v>26.0061</v>
      </c>
      <c r="C436">
        <v>434</v>
      </c>
      <c r="D436" s="7">
        <v>26.0061</v>
      </c>
      <c r="E436" s="7">
        <f t="shared" si="12"/>
        <v>11286.6474</v>
      </c>
      <c r="F436" s="7">
        <f t="shared" si="13"/>
        <v>188356</v>
      </c>
      <c r="G436" s="7"/>
    </row>
    <row r="437" spans="1:7" x14ac:dyDescent="0.35">
      <c r="A437" t="str">
        <f>"2006-10-02"</f>
        <v>2006-10-02</v>
      </c>
      <c r="B437" t="str">
        <f>"26.4483"</f>
        <v>26.4483</v>
      </c>
      <c r="C437">
        <v>435</v>
      </c>
      <c r="D437" s="7">
        <v>26.4483</v>
      </c>
      <c r="E437" s="7">
        <f t="shared" si="12"/>
        <v>11505.0105</v>
      </c>
      <c r="F437" s="7">
        <f t="shared" si="13"/>
        <v>189225</v>
      </c>
      <c r="G437" s="7"/>
    </row>
    <row r="438" spans="1:7" x14ac:dyDescent="0.35">
      <c r="A438" t="str">
        <f>"2006-10-03"</f>
        <v>2006-10-03</v>
      </c>
      <c r="B438" t="str">
        <f>"27.4304"</f>
        <v>27.4304</v>
      </c>
      <c r="C438">
        <v>436</v>
      </c>
      <c r="D438" s="7">
        <v>27.430399999999999</v>
      </c>
      <c r="E438" s="7">
        <f t="shared" si="12"/>
        <v>11959.654399999999</v>
      </c>
      <c r="F438" s="7">
        <f t="shared" si="13"/>
        <v>190096</v>
      </c>
      <c r="G438" s="7"/>
    </row>
    <row r="439" spans="1:7" x14ac:dyDescent="0.35">
      <c r="A439" t="str">
        <f>"2006-10-04"</f>
        <v>2006-10-04</v>
      </c>
      <c r="B439" t="str">
        <f>"29.0757"</f>
        <v>29.0757</v>
      </c>
      <c r="C439">
        <v>437</v>
      </c>
      <c r="D439" s="7">
        <v>29.075700000000001</v>
      </c>
      <c r="E439" s="7">
        <f t="shared" si="12"/>
        <v>12706.080900000001</v>
      </c>
      <c r="F439" s="7">
        <f t="shared" si="13"/>
        <v>190969</v>
      </c>
      <c r="G439" s="7"/>
    </row>
    <row r="440" spans="1:7" x14ac:dyDescent="0.35">
      <c r="A440" t="str">
        <f>"2006-10-05"</f>
        <v>2006-10-05</v>
      </c>
      <c r="B440" t="str">
        <f>"29.4376"</f>
        <v>29.4376</v>
      </c>
      <c r="C440">
        <v>438</v>
      </c>
      <c r="D440" s="7">
        <v>29.4376</v>
      </c>
      <c r="E440" s="7">
        <f t="shared" si="12"/>
        <v>12893.668799999999</v>
      </c>
      <c r="F440" s="7">
        <f t="shared" si="13"/>
        <v>191844</v>
      </c>
      <c r="G440" s="7"/>
    </row>
    <row r="441" spans="1:7" x14ac:dyDescent="0.35">
      <c r="A441" t="str">
        <f>"2006-10-06"</f>
        <v>2006-10-06</v>
      </c>
      <c r="B441" t="str">
        <f>"29.1736"</f>
        <v>29.1736</v>
      </c>
      <c r="C441">
        <v>439</v>
      </c>
      <c r="D441" s="7">
        <v>29.1736</v>
      </c>
      <c r="E441" s="7">
        <f t="shared" si="12"/>
        <v>12807.2104</v>
      </c>
      <c r="F441" s="7">
        <f t="shared" si="13"/>
        <v>192721</v>
      </c>
      <c r="G441" s="7"/>
    </row>
    <row r="442" spans="1:7" x14ac:dyDescent="0.35">
      <c r="A442" t="str">
        <f>"2006-10-09"</f>
        <v>2006-10-09</v>
      </c>
      <c r="B442" t="str">
        <f>"28.7358"</f>
        <v>28.7358</v>
      </c>
      <c r="C442">
        <v>440</v>
      </c>
      <c r="D442" s="7">
        <v>28.735800000000001</v>
      </c>
      <c r="E442" s="7">
        <f t="shared" si="12"/>
        <v>12643.752</v>
      </c>
      <c r="F442" s="7">
        <f t="shared" si="13"/>
        <v>193600</v>
      </c>
      <c r="G442" s="7"/>
    </row>
    <row r="443" spans="1:7" x14ac:dyDescent="0.35">
      <c r="A443" t="str">
        <f>"2006-10-10"</f>
        <v>2006-10-10</v>
      </c>
      <c r="B443" t="str">
        <f>"28.8228"</f>
        <v>28.8228</v>
      </c>
      <c r="C443">
        <v>441</v>
      </c>
      <c r="D443" s="7">
        <v>28.822800000000001</v>
      </c>
      <c r="E443" s="7">
        <f t="shared" si="12"/>
        <v>12710.854800000001</v>
      </c>
      <c r="F443" s="7">
        <f t="shared" si="13"/>
        <v>194481</v>
      </c>
      <c r="G443" s="7"/>
    </row>
    <row r="444" spans="1:7" x14ac:dyDescent="0.35">
      <c r="A444" t="str">
        <f>"2006-10-11"</f>
        <v>2006-10-11</v>
      </c>
      <c r="B444" t="str">
        <f>"28.8318"</f>
        <v>28.8318</v>
      </c>
      <c r="C444">
        <v>442</v>
      </c>
      <c r="D444" s="7">
        <v>28.831800000000001</v>
      </c>
      <c r="E444" s="7">
        <f t="shared" si="12"/>
        <v>12743.6556</v>
      </c>
      <c r="F444" s="7">
        <f t="shared" si="13"/>
        <v>195364</v>
      </c>
      <c r="G444" s="7"/>
    </row>
    <row r="445" spans="1:7" x14ac:dyDescent="0.35">
      <c r="A445" t="str">
        <f>"2006-10-12"</f>
        <v>2006-10-12</v>
      </c>
      <c r="B445" t="str">
        <f>"29.4472"</f>
        <v>29.4472</v>
      </c>
      <c r="C445">
        <v>443</v>
      </c>
      <c r="D445" s="7">
        <v>29.447199999999999</v>
      </c>
      <c r="E445" s="7">
        <f t="shared" si="12"/>
        <v>13045.1096</v>
      </c>
      <c r="F445" s="7">
        <f t="shared" si="13"/>
        <v>196249</v>
      </c>
      <c r="G445" s="7"/>
    </row>
    <row r="446" spans="1:7" x14ac:dyDescent="0.35">
      <c r="A446" t="str">
        <f>"2006-10-13"</f>
        <v>2006-10-13</v>
      </c>
      <c r="B446" t="str">
        <f>"28.7807"</f>
        <v>28.7807</v>
      </c>
      <c r="C446">
        <v>444</v>
      </c>
      <c r="D446" s="7">
        <v>28.7807</v>
      </c>
      <c r="E446" s="7">
        <f t="shared" si="12"/>
        <v>12778.630799999999</v>
      </c>
      <c r="F446" s="7">
        <f t="shared" si="13"/>
        <v>197136</v>
      </c>
      <c r="G446" s="7"/>
    </row>
    <row r="447" spans="1:7" x14ac:dyDescent="0.35">
      <c r="A447" t="str">
        <f>"2006-10-16"</f>
        <v>2006-10-16</v>
      </c>
      <c r="B447" t="str">
        <f>"28.2883"</f>
        <v>28.2883</v>
      </c>
      <c r="C447">
        <v>445</v>
      </c>
      <c r="D447" s="7">
        <v>28.2883</v>
      </c>
      <c r="E447" s="7">
        <f t="shared" si="12"/>
        <v>12588.2935</v>
      </c>
      <c r="F447" s="7">
        <f t="shared" si="13"/>
        <v>198025</v>
      </c>
      <c r="G447" s="7"/>
    </row>
    <row r="448" spans="1:7" x14ac:dyDescent="0.35">
      <c r="A448" t="str">
        <f>"2006-10-17"</f>
        <v>2006-10-17</v>
      </c>
      <c r="B448" t="str">
        <f>"28.3694"</f>
        <v>28.3694</v>
      </c>
      <c r="C448">
        <v>446</v>
      </c>
      <c r="D448" s="7">
        <v>28.369399999999999</v>
      </c>
      <c r="E448" s="7">
        <f t="shared" si="12"/>
        <v>12652.752399999999</v>
      </c>
      <c r="F448" s="7">
        <f t="shared" si="13"/>
        <v>198916</v>
      </c>
      <c r="G448" s="7"/>
    </row>
    <row r="449" spans="1:7" x14ac:dyDescent="0.35">
      <c r="A449" t="str">
        <f>"2006-10-18"</f>
        <v>2006-10-18</v>
      </c>
      <c r="B449" t="str">
        <f>"29.5679"</f>
        <v>29.5679</v>
      </c>
      <c r="C449">
        <v>447</v>
      </c>
      <c r="D449" s="7">
        <v>29.567900000000002</v>
      </c>
      <c r="E449" s="7">
        <f t="shared" si="12"/>
        <v>13216.8513</v>
      </c>
      <c r="F449" s="7">
        <f t="shared" si="13"/>
        <v>199809</v>
      </c>
      <c r="G449" s="7"/>
    </row>
    <row r="450" spans="1:7" x14ac:dyDescent="0.35">
      <c r="A450" t="str">
        <f>"2006-10-19"</f>
        <v>2006-10-19</v>
      </c>
      <c r="B450" t="str">
        <f>"30.4041"</f>
        <v>30.4041</v>
      </c>
      <c r="C450">
        <v>448</v>
      </c>
      <c r="D450" s="7">
        <v>30.4041</v>
      </c>
      <c r="E450" s="7">
        <f t="shared" si="12"/>
        <v>13621.0368</v>
      </c>
      <c r="F450" s="7">
        <f t="shared" si="13"/>
        <v>200704</v>
      </c>
      <c r="G450" s="7"/>
    </row>
    <row r="451" spans="1:7" x14ac:dyDescent="0.35">
      <c r="A451" t="str">
        <f>"2006-10-20"</f>
        <v>2006-10-20</v>
      </c>
      <c r="B451" t="str">
        <f>"30.193"</f>
        <v>30.193</v>
      </c>
      <c r="C451">
        <v>449</v>
      </c>
      <c r="D451" s="7">
        <v>30.193000000000001</v>
      </c>
      <c r="E451" s="7">
        <f t="shared" si="12"/>
        <v>13556.657000000001</v>
      </c>
      <c r="F451" s="7">
        <f t="shared" si="13"/>
        <v>201601</v>
      </c>
      <c r="G451" s="7"/>
    </row>
    <row r="452" spans="1:7" x14ac:dyDescent="0.35">
      <c r="A452" t="str">
        <f>"2006-10-23"</f>
        <v>2006-10-23</v>
      </c>
      <c r="B452" t="str">
        <f>"30.2907"</f>
        <v>30.2907</v>
      </c>
      <c r="C452">
        <v>450</v>
      </c>
      <c r="D452" s="7">
        <v>30.290700000000001</v>
      </c>
      <c r="E452" s="7">
        <f t="shared" ref="E452:E515" si="14">C452*D452</f>
        <v>13630.815000000001</v>
      </c>
      <c r="F452" s="7">
        <f t="shared" ref="F452:F515" si="15">C452*C452</f>
        <v>202500</v>
      </c>
      <c r="G452" s="7"/>
    </row>
    <row r="453" spans="1:7" x14ac:dyDescent="0.35">
      <c r="A453" t="str">
        <f>"2006-10-24"</f>
        <v>2006-10-24</v>
      </c>
      <c r="B453" t="str">
        <f>"30.0574"</f>
        <v>30.0574</v>
      </c>
      <c r="C453">
        <v>451</v>
      </c>
      <c r="D453" s="7">
        <v>30.057400000000001</v>
      </c>
      <c r="E453" s="7">
        <f t="shared" si="14"/>
        <v>13555.887400000001</v>
      </c>
      <c r="F453" s="7">
        <f t="shared" si="15"/>
        <v>203401</v>
      </c>
      <c r="G453" s="7"/>
    </row>
    <row r="454" spans="1:7" x14ac:dyDescent="0.35">
      <c r="A454" t="str">
        <f>"2006-10-25"</f>
        <v>2006-10-25</v>
      </c>
      <c r="B454" t="str">
        <f>"30.015"</f>
        <v>30.015</v>
      </c>
      <c r="C454">
        <v>452</v>
      </c>
      <c r="D454" s="7">
        <v>30.015000000000001</v>
      </c>
      <c r="E454" s="7">
        <f t="shared" si="14"/>
        <v>13566.78</v>
      </c>
      <c r="F454" s="7">
        <f t="shared" si="15"/>
        <v>204304</v>
      </c>
      <c r="G454" s="7"/>
    </row>
    <row r="455" spans="1:7" x14ac:dyDescent="0.35">
      <c r="A455" t="str">
        <f>"2006-10-26"</f>
        <v>2006-10-26</v>
      </c>
      <c r="B455" t="str">
        <f>"30.1446"</f>
        <v>30.1446</v>
      </c>
      <c r="C455">
        <v>453</v>
      </c>
      <c r="D455" s="7">
        <v>30.144600000000001</v>
      </c>
      <c r="E455" s="7">
        <f t="shared" si="14"/>
        <v>13655.5038</v>
      </c>
      <c r="F455" s="7">
        <f t="shared" si="15"/>
        <v>205209</v>
      </c>
      <c r="G455" s="7"/>
    </row>
    <row r="456" spans="1:7" x14ac:dyDescent="0.35">
      <c r="A456" t="str">
        <f>"2006-10-27"</f>
        <v>2006-10-27</v>
      </c>
      <c r="B456" t="str">
        <f>"30.0531"</f>
        <v>30.0531</v>
      </c>
      <c r="C456">
        <v>454</v>
      </c>
      <c r="D456" s="7">
        <v>30.053100000000001</v>
      </c>
      <c r="E456" s="7">
        <f t="shared" si="14"/>
        <v>13644.107400000001</v>
      </c>
      <c r="F456" s="7">
        <f t="shared" si="15"/>
        <v>206116</v>
      </c>
      <c r="G456" s="7"/>
    </row>
    <row r="457" spans="1:7" x14ac:dyDescent="0.35">
      <c r="A457" t="str">
        <f>"2006-10-30"</f>
        <v>2006-10-30</v>
      </c>
      <c r="B457" t="str">
        <f>"29.0137"</f>
        <v>29.0137</v>
      </c>
      <c r="C457">
        <v>455</v>
      </c>
      <c r="D457" s="7">
        <v>29.0137</v>
      </c>
      <c r="E457" s="7">
        <f t="shared" si="14"/>
        <v>13201.2335</v>
      </c>
      <c r="F457" s="7">
        <f t="shared" si="15"/>
        <v>207025</v>
      </c>
      <c r="G457" s="7"/>
    </row>
    <row r="458" spans="1:7" x14ac:dyDescent="0.35">
      <c r="A458" t="str">
        <f>"2006-10-31"</f>
        <v>2006-10-31</v>
      </c>
      <c r="B458" t="str">
        <f>"29.0526"</f>
        <v>29.0526</v>
      </c>
      <c r="C458">
        <v>456</v>
      </c>
      <c r="D458" s="7">
        <v>29.052600000000002</v>
      </c>
      <c r="E458" s="7">
        <f t="shared" si="14"/>
        <v>13247.9856</v>
      </c>
      <c r="F458" s="7">
        <f t="shared" si="15"/>
        <v>207936</v>
      </c>
      <c r="G458" s="7"/>
    </row>
    <row r="459" spans="1:7" x14ac:dyDescent="0.35">
      <c r="A459" t="str">
        <f>"2006-11-01"</f>
        <v>2006-11-01</v>
      </c>
      <c r="B459" t="str">
        <f>"28.7239"</f>
        <v>28.7239</v>
      </c>
      <c r="C459">
        <v>457</v>
      </c>
      <c r="D459" s="7">
        <v>28.7239</v>
      </c>
      <c r="E459" s="7">
        <f t="shared" si="14"/>
        <v>13126.8223</v>
      </c>
      <c r="F459" s="7">
        <f t="shared" si="15"/>
        <v>208849</v>
      </c>
      <c r="G459" s="7"/>
    </row>
    <row r="460" spans="1:7" x14ac:dyDescent="0.35">
      <c r="A460" t="str">
        <f>"2006-11-02"</f>
        <v>2006-11-02</v>
      </c>
      <c r="B460" t="str">
        <f>"27.5697"</f>
        <v>27.5697</v>
      </c>
      <c r="C460">
        <v>458</v>
      </c>
      <c r="D460" s="7">
        <v>27.569700000000001</v>
      </c>
      <c r="E460" s="7">
        <f t="shared" si="14"/>
        <v>12626.9226</v>
      </c>
      <c r="F460" s="7">
        <f t="shared" si="15"/>
        <v>209764</v>
      </c>
      <c r="G460" s="7"/>
    </row>
    <row r="461" spans="1:7" x14ac:dyDescent="0.35">
      <c r="A461" t="str">
        <f>"2006-11-03"</f>
        <v>2006-11-03</v>
      </c>
      <c r="B461" t="str">
        <f>"27.449"</f>
        <v>27.449</v>
      </c>
      <c r="C461">
        <v>459</v>
      </c>
      <c r="D461" s="7">
        <v>27.449000000000002</v>
      </c>
      <c r="E461" s="7">
        <f t="shared" si="14"/>
        <v>12599.091</v>
      </c>
      <c r="F461" s="7">
        <f t="shared" si="15"/>
        <v>210681</v>
      </c>
      <c r="G461" s="7"/>
    </row>
    <row r="462" spans="1:7" x14ac:dyDescent="0.35">
      <c r="A462" t="str">
        <f>"2006-11-06"</f>
        <v>2006-11-06</v>
      </c>
      <c r="B462" t="str">
        <f>"28.4787"</f>
        <v>28.4787</v>
      </c>
      <c r="C462">
        <v>460</v>
      </c>
      <c r="D462" s="7">
        <v>28.4787</v>
      </c>
      <c r="E462" s="7">
        <f t="shared" si="14"/>
        <v>13100.201999999999</v>
      </c>
      <c r="F462" s="7">
        <f t="shared" si="15"/>
        <v>211600</v>
      </c>
      <c r="G462" s="7"/>
    </row>
    <row r="463" spans="1:7" x14ac:dyDescent="0.35">
      <c r="A463" t="str">
        <f>"2006-11-07"</f>
        <v>2006-11-07</v>
      </c>
      <c r="B463" t="str">
        <f>"28.2543"</f>
        <v>28.2543</v>
      </c>
      <c r="C463">
        <v>461</v>
      </c>
      <c r="D463" s="7">
        <v>28.254300000000001</v>
      </c>
      <c r="E463" s="7">
        <f t="shared" si="14"/>
        <v>13025.2323</v>
      </c>
      <c r="F463" s="7">
        <f t="shared" si="15"/>
        <v>212521</v>
      </c>
      <c r="G463" s="7"/>
    </row>
    <row r="464" spans="1:7" x14ac:dyDescent="0.35">
      <c r="A464" t="str">
        <f>"2006-11-08"</f>
        <v>2006-11-08</v>
      </c>
      <c r="B464" t="str">
        <f>"29.2055"</f>
        <v>29.2055</v>
      </c>
      <c r="C464">
        <v>462</v>
      </c>
      <c r="D464" s="7">
        <v>29.205500000000001</v>
      </c>
      <c r="E464" s="7">
        <f t="shared" si="14"/>
        <v>13492.941000000001</v>
      </c>
      <c r="F464" s="7">
        <f t="shared" si="15"/>
        <v>213444</v>
      </c>
      <c r="G464" s="7"/>
    </row>
    <row r="465" spans="1:7" x14ac:dyDescent="0.35">
      <c r="A465" t="str">
        <f>"2006-11-09"</f>
        <v>2006-11-09</v>
      </c>
      <c r="B465" t="str">
        <f>"29.3818"</f>
        <v>29.3818</v>
      </c>
      <c r="C465">
        <v>463</v>
      </c>
      <c r="D465" s="7">
        <v>29.381799999999998</v>
      </c>
      <c r="E465" s="7">
        <f t="shared" si="14"/>
        <v>13603.7734</v>
      </c>
      <c r="F465" s="7">
        <f t="shared" si="15"/>
        <v>214369</v>
      </c>
      <c r="G465" s="7"/>
    </row>
    <row r="466" spans="1:7" x14ac:dyDescent="0.35">
      <c r="A466" t="str">
        <f>"2006-11-10"</f>
        <v>2006-11-10</v>
      </c>
      <c r="B466" t="str">
        <f>"28.975"</f>
        <v>28.975</v>
      </c>
      <c r="C466">
        <v>464</v>
      </c>
      <c r="D466" s="7">
        <v>28.975000000000001</v>
      </c>
      <c r="E466" s="7">
        <f t="shared" si="14"/>
        <v>13444.400000000001</v>
      </c>
      <c r="F466" s="7">
        <f t="shared" si="15"/>
        <v>215296</v>
      </c>
      <c r="G466" s="7"/>
    </row>
    <row r="467" spans="1:7" x14ac:dyDescent="0.35">
      <c r="A467" t="str">
        <f>"2006-11-13"</f>
        <v>2006-11-13</v>
      </c>
      <c r="B467" t="str">
        <f>"28.2046"</f>
        <v>28.2046</v>
      </c>
      <c r="C467">
        <v>465</v>
      </c>
      <c r="D467" s="7">
        <v>28.204599999999999</v>
      </c>
      <c r="E467" s="7">
        <f t="shared" si="14"/>
        <v>13115.138999999999</v>
      </c>
      <c r="F467" s="7">
        <f t="shared" si="15"/>
        <v>216225</v>
      </c>
      <c r="G467" s="7"/>
    </row>
    <row r="468" spans="1:7" x14ac:dyDescent="0.35">
      <c r="A468" t="str">
        <f>"2006-11-14"</f>
        <v>2006-11-14</v>
      </c>
      <c r="B468" t="str">
        <f>"28.4552"</f>
        <v>28.4552</v>
      </c>
      <c r="C468">
        <v>466</v>
      </c>
      <c r="D468" s="7">
        <v>28.455200000000001</v>
      </c>
      <c r="E468" s="7">
        <f t="shared" si="14"/>
        <v>13260.1232</v>
      </c>
      <c r="F468" s="7">
        <f t="shared" si="15"/>
        <v>217156</v>
      </c>
      <c r="G468" s="7"/>
    </row>
    <row r="469" spans="1:7" x14ac:dyDescent="0.35">
      <c r="A469" t="str">
        <f>"2006-11-15"</f>
        <v>2006-11-15</v>
      </c>
      <c r="B469" t="str">
        <f>"28.58"</f>
        <v>28.58</v>
      </c>
      <c r="C469">
        <v>467</v>
      </c>
      <c r="D469" s="7">
        <v>28.58</v>
      </c>
      <c r="E469" s="7">
        <f t="shared" si="14"/>
        <v>13346.859999999999</v>
      </c>
      <c r="F469" s="7">
        <f t="shared" si="15"/>
        <v>218089</v>
      </c>
      <c r="G469" s="7"/>
    </row>
    <row r="470" spans="1:7" x14ac:dyDescent="0.35">
      <c r="A470" t="str">
        <f>"2006-11-16"</f>
        <v>2006-11-16</v>
      </c>
      <c r="B470" t="str">
        <f>"28.3642"</f>
        <v>28.3642</v>
      </c>
      <c r="C470">
        <v>468</v>
      </c>
      <c r="D470" s="7">
        <v>28.3642</v>
      </c>
      <c r="E470" s="7">
        <f t="shared" si="14"/>
        <v>13274.445600000001</v>
      </c>
      <c r="F470" s="7">
        <f t="shared" si="15"/>
        <v>219024</v>
      </c>
      <c r="G470" s="7"/>
    </row>
    <row r="471" spans="1:7" x14ac:dyDescent="0.35">
      <c r="A471" t="str">
        <f>"2006-11-17"</f>
        <v>2006-11-17</v>
      </c>
      <c r="B471" t="str">
        <f>"27.859"</f>
        <v>27.859</v>
      </c>
      <c r="C471">
        <v>469</v>
      </c>
      <c r="D471" s="7">
        <v>27.859000000000002</v>
      </c>
      <c r="E471" s="7">
        <f t="shared" si="14"/>
        <v>13065.871000000001</v>
      </c>
      <c r="F471" s="7">
        <f t="shared" si="15"/>
        <v>219961</v>
      </c>
      <c r="G471" s="7"/>
    </row>
    <row r="472" spans="1:7" x14ac:dyDescent="0.35">
      <c r="A472" t="str">
        <f>"2006-11-20"</f>
        <v>2006-11-20</v>
      </c>
      <c r="B472" t="str">
        <f>"27.5001"</f>
        <v>27.5001</v>
      </c>
      <c r="C472">
        <v>470</v>
      </c>
      <c r="D472" s="7">
        <v>27.5001</v>
      </c>
      <c r="E472" s="7">
        <f t="shared" si="14"/>
        <v>12925.047</v>
      </c>
      <c r="F472" s="7">
        <f t="shared" si="15"/>
        <v>220900</v>
      </c>
      <c r="G472" s="7"/>
    </row>
    <row r="473" spans="1:7" x14ac:dyDescent="0.35">
      <c r="A473" t="str">
        <f>"2006-11-21"</f>
        <v>2006-11-21</v>
      </c>
      <c r="B473" t="str">
        <f>"26.6164"</f>
        <v>26.6164</v>
      </c>
      <c r="C473">
        <v>471</v>
      </c>
      <c r="D473" s="7">
        <v>26.616399999999999</v>
      </c>
      <c r="E473" s="7">
        <f t="shared" si="14"/>
        <v>12536.3244</v>
      </c>
      <c r="F473" s="7">
        <f t="shared" si="15"/>
        <v>221841</v>
      </c>
      <c r="G473" s="7"/>
    </row>
    <row r="474" spans="1:7" x14ac:dyDescent="0.35">
      <c r="A474" t="str">
        <f>"2006-11-22"</f>
        <v>2006-11-22</v>
      </c>
      <c r="B474" t="str">
        <f>"25.8899"</f>
        <v>25.8899</v>
      </c>
      <c r="C474">
        <v>472</v>
      </c>
      <c r="D474" s="7">
        <v>25.889900000000001</v>
      </c>
      <c r="E474" s="7">
        <f t="shared" si="14"/>
        <v>12220.032800000001</v>
      </c>
      <c r="F474" s="7">
        <f t="shared" si="15"/>
        <v>222784</v>
      </c>
      <c r="G474" s="7"/>
    </row>
    <row r="475" spans="1:7" x14ac:dyDescent="0.35">
      <c r="A475" t="str">
        <f>"2006-11-24"</f>
        <v>2006-11-24</v>
      </c>
      <c r="B475" t="str">
        <f>"25.9874"</f>
        <v>25.9874</v>
      </c>
      <c r="C475">
        <v>473</v>
      </c>
      <c r="D475" s="7">
        <v>25.987400000000001</v>
      </c>
      <c r="E475" s="7">
        <f t="shared" si="14"/>
        <v>12292.040200000001</v>
      </c>
      <c r="F475" s="7">
        <f t="shared" si="15"/>
        <v>223729</v>
      </c>
      <c r="G475" s="7"/>
    </row>
    <row r="476" spans="1:7" x14ac:dyDescent="0.35">
      <c r="A476" t="str">
        <f>"2006-11-28"</f>
        <v>2006-11-28</v>
      </c>
      <c r="B476" t="str">
        <f>"25.5462"</f>
        <v>25.5462</v>
      </c>
      <c r="C476">
        <v>474</v>
      </c>
      <c r="D476" s="7">
        <v>25.546199999999999</v>
      </c>
      <c r="E476" s="7">
        <f t="shared" si="14"/>
        <v>12108.898799999999</v>
      </c>
      <c r="F476" s="7">
        <f t="shared" si="15"/>
        <v>224676</v>
      </c>
      <c r="G476" s="7"/>
    </row>
    <row r="477" spans="1:7" x14ac:dyDescent="0.35">
      <c r="A477" t="str">
        <f>"2006-11-29"</f>
        <v>2006-11-29</v>
      </c>
      <c r="B477" t="str">
        <f>"25.9929"</f>
        <v>25.9929</v>
      </c>
      <c r="C477">
        <v>475</v>
      </c>
      <c r="D477" s="7">
        <v>25.992899999999999</v>
      </c>
      <c r="E477" s="7">
        <f t="shared" si="14"/>
        <v>12346.627499999999</v>
      </c>
      <c r="F477" s="7">
        <f t="shared" si="15"/>
        <v>225625</v>
      </c>
      <c r="G477" s="7"/>
    </row>
    <row r="478" spans="1:7" x14ac:dyDescent="0.35">
      <c r="A478" t="str">
        <f>"2006-11-30"</f>
        <v>2006-11-30</v>
      </c>
      <c r="B478" t="str">
        <f>"25.9222"</f>
        <v>25.9222</v>
      </c>
      <c r="C478">
        <v>476</v>
      </c>
      <c r="D478" s="7">
        <v>25.9222</v>
      </c>
      <c r="E478" s="7">
        <f t="shared" si="14"/>
        <v>12338.967200000001</v>
      </c>
      <c r="F478" s="7">
        <f t="shared" si="15"/>
        <v>226576</v>
      </c>
      <c r="G478" s="7"/>
    </row>
    <row r="479" spans="1:7" x14ac:dyDescent="0.35">
      <c r="A479" t="str">
        <f>"2006-12-01"</f>
        <v>2006-12-01</v>
      </c>
      <c r="B479" t="str">
        <f>"26.4793"</f>
        <v>26.4793</v>
      </c>
      <c r="C479">
        <v>477</v>
      </c>
      <c r="D479" s="7">
        <v>26.479299999999999</v>
      </c>
      <c r="E479" s="7">
        <f t="shared" si="14"/>
        <v>12630.626099999999</v>
      </c>
      <c r="F479" s="7">
        <f t="shared" si="15"/>
        <v>227529</v>
      </c>
      <c r="G479" s="7"/>
    </row>
    <row r="480" spans="1:7" x14ac:dyDescent="0.35">
      <c r="A480" t="str">
        <f>"2006-12-04"</f>
        <v>2006-12-04</v>
      </c>
      <c r="B480" t="str">
        <f>"26.7167"</f>
        <v>26.7167</v>
      </c>
      <c r="C480">
        <v>478</v>
      </c>
      <c r="D480" s="7">
        <v>26.716699999999999</v>
      </c>
      <c r="E480" s="7">
        <f t="shared" si="14"/>
        <v>12770.5826</v>
      </c>
      <c r="F480" s="7">
        <f t="shared" si="15"/>
        <v>228484</v>
      </c>
      <c r="G480" s="7"/>
    </row>
    <row r="481" spans="1:7" x14ac:dyDescent="0.35">
      <c r="A481" t="str">
        <f>"2006-12-05"</f>
        <v>2006-12-05</v>
      </c>
      <c r="B481" t="str">
        <f>"26.2402"</f>
        <v>26.2402</v>
      </c>
      <c r="C481">
        <v>479</v>
      </c>
      <c r="D481" s="7">
        <v>26.240200000000002</v>
      </c>
      <c r="E481" s="7">
        <f t="shared" si="14"/>
        <v>12569.0558</v>
      </c>
      <c r="F481" s="7">
        <f t="shared" si="15"/>
        <v>229441</v>
      </c>
      <c r="G481" s="7"/>
    </row>
    <row r="482" spans="1:7" x14ac:dyDescent="0.35">
      <c r="A482" t="str">
        <f>"2006-12-06"</f>
        <v>2006-12-06</v>
      </c>
      <c r="B482" t="str">
        <f>"26.7909"</f>
        <v>26.7909</v>
      </c>
      <c r="C482">
        <v>480</v>
      </c>
      <c r="D482" s="7">
        <v>26.790900000000001</v>
      </c>
      <c r="E482" s="7">
        <f t="shared" si="14"/>
        <v>12859.632</v>
      </c>
      <c r="F482" s="7">
        <f t="shared" si="15"/>
        <v>230400</v>
      </c>
      <c r="G482" s="7"/>
    </row>
    <row r="483" spans="1:7" x14ac:dyDescent="0.35">
      <c r="A483" t="str">
        <f>"2006-12-07"</f>
        <v>2006-12-07</v>
      </c>
      <c r="B483" t="str">
        <f>"27.3951"</f>
        <v>27.3951</v>
      </c>
      <c r="C483">
        <v>481</v>
      </c>
      <c r="D483" s="7">
        <v>27.395099999999999</v>
      </c>
      <c r="E483" s="7">
        <f t="shared" si="14"/>
        <v>13177.043099999999</v>
      </c>
      <c r="F483" s="7">
        <f t="shared" si="15"/>
        <v>231361</v>
      </c>
      <c r="G483" s="7"/>
    </row>
    <row r="484" spans="1:7" x14ac:dyDescent="0.35">
      <c r="A484" t="str">
        <f>"2006-12-08"</f>
        <v>2006-12-08</v>
      </c>
      <c r="B484" t="str">
        <f>"27.6392"</f>
        <v>27.6392</v>
      </c>
      <c r="C484">
        <v>482</v>
      </c>
      <c r="D484" s="7">
        <v>27.639199999999999</v>
      </c>
      <c r="E484" s="7">
        <f t="shared" si="14"/>
        <v>13322.0944</v>
      </c>
      <c r="F484" s="7">
        <f t="shared" si="15"/>
        <v>232324</v>
      </c>
      <c r="G484" s="7"/>
    </row>
    <row r="485" spans="1:7" x14ac:dyDescent="0.35">
      <c r="A485" t="str">
        <f>"2006-12-11"</f>
        <v>2006-12-11</v>
      </c>
      <c r="B485" t="str">
        <f>"27.0761"</f>
        <v>27.0761</v>
      </c>
      <c r="C485">
        <v>483</v>
      </c>
      <c r="D485" s="7">
        <v>27.0761</v>
      </c>
      <c r="E485" s="7">
        <f t="shared" si="14"/>
        <v>13077.756300000001</v>
      </c>
      <c r="F485" s="7">
        <f t="shared" si="15"/>
        <v>233289</v>
      </c>
      <c r="G485" s="7"/>
    </row>
    <row r="486" spans="1:7" x14ac:dyDescent="0.35">
      <c r="A486" t="str">
        <f>"2006-12-12"</f>
        <v>2006-12-12</v>
      </c>
      <c r="B486" t="str">
        <f>"27.3884"</f>
        <v>27.3884</v>
      </c>
      <c r="C486">
        <v>484</v>
      </c>
      <c r="D486" s="7">
        <v>27.388400000000001</v>
      </c>
      <c r="E486" s="7">
        <f t="shared" si="14"/>
        <v>13255.9856</v>
      </c>
      <c r="F486" s="7">
        <f t="shared" si="15"/>
        <v>234256</v>
      </c>
      <c r="G486" s="7"/>
    </row>
    <row r="487" spans="1:7" x14ac:dyDescent="0.35">
      <c r="A487" t="str">
        <f>"2006-12-13"</f>
        <v>2006-12-13</v>
      </c>
      <c r="B487" t="str">
        <f>"27.3882"</f>
        <v>27.3882</v>
      </c>
      <c r="C487">
        <v>485</v>
      </c>
      <c r="D487" s="7">
        <v>27.388200000000001</v>
      </c>
      <c r="E487" s="7">
        <f t="shared" si="14"/>
        <v>13283.277</v>
      </c>
      <c r="F487" s="7">
        <f t="shared" si="15"/>
        <v>235225</v>
      </c>
      <c r="G487" s="7"/>
    </row>
    <row r="488" spans="1:7" x14ac:dyDescent="0.35">
      <c r="A488" t="str">
        <f>"2006-12-14"</f>
        <v>2006-12-14</v>
      </c>
      <c r="B488" t="str">
        <f>"27.3481"</f>
        <v>27.3481</v>
      </c>
      <c r="C488">
        <v>486</v>
      </c>
      <c r="D488" s="7">
        <v>27.348099999999999</v>
      </c>
      <c r="E488" s="7">
        <f t="shared" si="14"/>
        <v>13291.176599999999</v>
      </c>
      <c r="F488" s="7">
        <f t="shared" si="15"/>
        <v>236196</v>
      </c>
      <c r="G488" s="7"/>
    </row>
    <row r="489" spans="1:7" x14ac:dyDescent="0.35">
      <c r="A489" t="str">
        <f>"2006-12-15"</f>
        <v>2006-12-15</v>
      </c>
      <c r="B489" t="str">
        <f>"28.037"</f>
        <v>28.037</v>
      </c>
      <c r="C489">
        <v>487</v>
      </c>
      <c r="D489" s="7">
        <v>28.036999999999999</v>
      </c>
      <c r="E489" s="7">
        <f t="shared" si="14"/>
        <v>13654.019</v>
      </c>
      <c r="F489" s="7">
        <f t="shared" si="15"/>
        <v>237169</v>
      </c>
      <c r="G489" s="7"/>
    </row>
    <row r="490" spans="1:7" x14ac:dyDescent="0.35">
      <c r="A490" t="str">
        <f>"2006-12-18"</f>
        <v>2006-12-18</v>
      </c>
      <c r="B490" t="str">
        <f>"28.4393"</f>
        <v>28.4393</v>
      </c>
      <c r="C490">
        <v>488</v>
      </c>
      <c r="D490" s="7">
        <v>28.439299999999999</v>
      </c>
      <c r="E490" s="7">
        <f t="shared" si="14"/>
        <v>13878.3784</v>
      </c>
      <c r="F490" s="7">
        <f t="shared" si="15"/>
        <v>238144</v>
      </c>
      <c r="G490" s="7"/>
    </row>
    <row r="491" spans="1:7" x14ac:dyDescent="0.35">
      <c r="A491" t="str">
        <f>"2006-12-19"</f>
        <v>2006-12-19</v>
      </c>
      <c r="B491" t="str">
        <f>"28.5174"</f>
        <v>28.5174</v>
      </c>
      <c r="C491">
        <v>489</v>
      </c>
      <c r="D491" s="7">
        <v>28.517399999999999</v>
      </c>
      <c r="E491" s="7">
        <f t="shared" si="14"/>
        <v>13945.008599999999</v>
      </c>
      <c r="F491" s="7">
        <f t="shared" si="15"/>
        <v>239121</v>
      </c>
      <c r="G491" s="7"/>
    </row>
    <row r="492" spans="1:7" x14ac:dyDescent="0.35">
      <c r="A492" t="str">
        <f>"2006-12-20"</f>
        <v>2006-12-20</v>
      </c>
      <c r="B492" t="str">
        <f>"27.5056"</f>
        <v>27.5056</v>
      </c>
      <c r="C492">
        <v>490</v>
      </c>
      <c r="D492" s="7">
        <v>27.505600000000001</v>
      </c>
      <c r="E492" s="7">
        <f t="shared" si="14"/>
        <v>13477.744000000001</v>
      </c>
      <c r="F492" s="7">
        <f t="shared" si="15"/>
        <v>240100</v>
      </c>
      <c r="G492" s="7"/>
    </row>
    <row r="493" spans="1:7" x14ac:dyDescent="0.35">
      <c r="A493" t="str">
        <f>"2006-12-21"</f>
        <v>2006-12-21</v>
      </c>
      <c r="B493" t="str">
        <f>"27.3782"</f>
        <v>27.3782</v>
      </c>
      <c r="C493">
        <v>491</v>
      </c>
      <c r="D493" s="7">
        <v>27.3782</v>
      </c>
      <c r="E493" s="7">
        <f t="shared" si="14"/>
        <v>13442.6962</v>
      </c>
      <c r="F493" s="7">
        <f t="shared" si="15"/>
        <v>241081</v>
      </c>
      <c r="G493" s="7"/>
    </row>
    <row r="494" spans="1:7" x14ac:dyDescent="0.35">
      <c r="A494" t="str">
        <f>"2006-12-22"</f>
        <v>2006-12-22</v>
      </c>
      <c r="B494" t="str">
        <f>"27.3673"</f>
        <v>27.3673</v>
      </c>
      <c r="C494">
        <v>492</v>
      </c>
      <c r="D494" s="7">
        <v>27.3673</v>
      </c>
      <c r="E494" s="7">
        <f t="shared" si="14"/>
        <v>13464.711600000001</v>
      </c>
      <c r="F494" s="7">
        <f t="shared" si="15"/>
        <v>242064</v>
      </c>
      <c r="G494" s="7"/>
    </row>
    <row r="495" spans="1:7" x14ac:dyDescent="0.35">
      <c r="A495" t="str">
        <f>"2006-12-26"</f>
        <v>2006-12-26</v>
      </c>
      <c r="B495" t="str">
        <f>"26.9428"</f>
        <v>26.9428</v>
      </c>
      <c r="C495">
        <v>493</v>
      </c>
      <c r="D495" s="7">
        <v>26.942799999999998</v>
      </c>
      <c r="E495" s="7">
        <f t="shared" si="14"/>
        <v>13282.800399999998</v>
      </c>
      <c r="F495" s="7">
        <f t="shared" si="15"/>
        <v>243049</v>
      </c>
      <c r="G495" s="7"/>
    </row>
    <row r="496" spans="1:7" x14ac:dyDescent="0.35">
      <c r="A496" t="str">
        <f>"2006-12-27"</f>
        <v>2006-12-27</v>
      </c>
      <c r="B496" t="str">
        <f>"26.8511"</f>
        <v>26.8511</v>
      </c>
      <c r="C496">
        <v>494</v>
      </c>
      <c r="D496" s="7">
        <v>26.851099999999999</v>
      </c>
      <c r="E496" s="7">
        <f t="shared" si="14"/>
        <v>13264.4434</v>
      </c>
      <c r="F496" s="7">
        <f t="shared" si="15"/>
        <v>244036</v>
      </c>
      <c r="G496" s="7"/>
    </row>
    <row r="497" spans="1:7" x14ac:dyDescent="0.35">
      <c r="A497" t="str">
        <f>"2006-12-28"</f>
        <v>2006-12-28</v>
      </c>
      <c r="B497" t="str">
        <f>"26.7839"</f>
        <v>26.7839</v>
      </c>
      <c r="C497">
        <v>495</v>
      </c>
      <c r="D497" s="7">
        <v>26.783899999999999</v>
      </c>
      <c r="E497" s="7">
        <f t="shared" si="14"/>
        <v>13258.030499999999</v>
      </c>
      <c r="F497" s="7">
        <f t="shared" si="15"/>
        <v>245025</v>
      </c>
      <c r="G497" s="7"/>
    </row>
    <row r="498" spans="1:7" x14ac:dyDescent="0.35">
      <c r="A498" t="str">
        <f>"2006-12-29"</f>
        <v>2006-12-29</v>
      </c>
      <c r="B498" t="str">
        <f>"26.8609"</f>
        <v>26.8609</v>
      </c>
      <c r="C498">
        <v>496</v>
      </c>
      <c r="D498" s="7">
        <v>26.860900000000001</v>
      </c>
      <c r="E498" s="7">
        <f t="shared" si="14"/>
        <v>13323.0064</v>
      </c>
      <c r="F498" s="7">
        <f t="shared" si="15"/>
        <v>246016</v>
      </c>
      <c r="G498" s="7"/>
    </row>
    <row r="499" spans="1:7" x14ac:dyDescent="0.35">
      <c r="A499" t="str">
        <f>"2007-01-05"</f>
        <v>2007-01-05</v>
      </c>
      <c r="B499" t="str">
        <f>"28.6058"</f>
        <v>28.6058</v>
      </c>
      <c r="C499">
        <v>497</v>
      </c>
      <c r="D499" s="7">
        <v>28.605799999999999</v>
      </c>
      <c r="E499" s="7">
        <f t="shared" si="14"/>
        <v>14217.0826</v>
      </c>
      <c r="F499" s="7">
        <f t="shared" si="15"/>
        <v>247009</v>
      </c>
      <c r="G499" s="7"/>
    </row>
    <row r="500" spans="1:7" x14ac:dyDescent="0.35">
      <c r="A500" t="str">
        <f>"2007-01-08"</f>
        <v>2007-01-08</v>
      </c>
      <c r="B500" t="str">
        <f>"28.0313"</f>
        <v>28.0313</v>
      </c>
      <c r="C500">
        <v>498</v>
      </c>
      <c r="D500" s="7">
        <v>28.031300000000002</v>
      </c>
      <c r="E500" s="7">
        <f t="shared" si="14"/>
        <v>13959.5874</v>
      </c>
      <c r="F500" s="7">
        <f t="shared" si="15"/>
        <v>248004</v>
      </c>
      <c r="G500" s="7"/>
    </row>
    <row r="501" spans="1:7" x14ac:dyDescent="0.35">
      <c r="A501" t="str">
        <f>"2007-01-09"</f>
        <v>2007-01-09</v>
      </c>
      <c r="B501" t="str">
        <f>"27.4557"</f>
        <v>27.4557</v>
      </c>
      <c r="C501">
        <v>499</v>
      </c>
      <c r="D501" s="7">
        <v>27.4557</v>
      </c>
      <c r="E501" s="7">
        <f t="shared" si="14"/>
        <v>13700.3943</v>
      </c>
      <c r="F501" s="7">
        <f t="shared" si="15"/>
        <v>249001</v>
      </c>
      <c r="G501" s="7"/>
    </row>
    <row r="502" spans="1:7" x14ac:dyDescent="0.35">
      <c r="A502" t="str">
        <f>"2007-01-10"</f>
        <v>2007-01-10</v>
      </c>
      <c r="B502" t="str">
        <f>"28.2139"</f>
        <v>28.2139</v>
      </c>
      <c r="C502">
        <v>500</v>
      </c>
      <c r="D502" s="7">
        <v>28.213899999999999</v>
      </c>
      <c r="E502" s="7">
        <f t="shared" si="14"/>
        <v>14106.949999999999</v>
      </c>
      <c r="F502" s="7">
        <f t="shared" si="15"/>
        <v>250000</v>
      </c>
      <c r="G502" s="7"/>
    </row>
    <row r="503" spans="1:7" x14ac:dyDescent="0.35">
      <c r="A503" t="str">
        <f>"2007-01-11"</f>
        <v>2007-01-11</v>
      </c>
      <c r="B503" t="str">
        <f>"29.9713"</f>
        <v>29.9713</v>
      </c>
      <c r="C503">
        <v>501</v>
      </c>
      <c r="D503" s="7">
        <v>29.971299999999999</v>
      </c>
      <c r="E503" s="7">
        <f t="shared" si="14"/>
        <v>15015.621299999999</v>
      </c>
      <c r="F503" s="7">
        <f t="shared" si="15"/>
        <v>251001</v>
      </c>
      <c r="G503" s="7"/>
    </row>
    <row r="504" spans="1:7" x14ac:dyDescent="0.35">
      <c r="A504" t="str">
        <f>"2007-01-12"</f>
        <v>2007-01-12</v>
      </c>
      <c r="B504" t="str">
        <f>"29.4881"</f>
        <v>29.4881</v>
      </c>
      <c r="C504">
        <v>502</v>
      </c>
      <c r="D504" s="7">
        <v>29.488099999999999</v>
      </c>
      <c r="E504" s="7">
        <f t="shared" si="14"/>
        <v>14803.0262</v>
      </c>
      <c r="F504" s="7">
        <f t="shared" si="15"/>
        <v>252004</v>
      </c>
      <c r="G504" s="7"/>
    </row>
    <row r="505" spans="1:7" x14ac:dyDescent="0.35">
      <c r="A505" t="str">
        <f>"2007-01-16"</f>
        <v>2007-01-16</v>
      </c>
      <c r="B505" t="str">
        <f>"29.4581"</f>
        <v>29.4581</v>
      </c>
      <c r="C505">
        <v>503</v>
      </c>
      <c r="D505" s="7">
        <v>29.458100000000002</v>
      </c>
      <c r="E505" s="7">
        <f t="shared" si="14"/>
        <v>14817.424300000001</v>
      </c>
      <c r="F505" s="7">
        <f t="shared" si="15"/>
        <v>253009</v>
      </c>
      <c r="G505" s="7"/>
    </row>
    <row r="506" spans="1:7" x14ac:dyDescent="0.35">
      <c r="A506" t="str">
        <f>"2007-01-17"</f>
        <v>2007-01-17</v>
      </c>
      <c r="B506" t="str">
        <f>"30.8135"</f>
        <v>30.8135</v>
      </c>
      <c r="C506">
        <v>504</v>
      </c>
      <c r="D506" s="7">
        <v>30.813500000000001</v>
      </c>
      <c r="E506" s="7">
        <f t="shared" si="14"/>
        <v>15530.004000000001</v>
      </c>
      <c r="F506" s="7">
        <f t="shared" si="15"/>
        <v>254016</v>
      </c>
      <c r="G506" s="7"/>
    </row>
    <row r="507" spans="1:7" x14ac:dyDescent="0.35">
      <c r="A507" t="str">
        <f>"2007-01-18"</f>
        <v>2007-01-18</v>
      </c>
      <c r="B507" t="str">
        <f>"31.774"</f>
        <v>31.774</v>
      </c>
      <c r="C507">
        <v>505</v>
      </c>
      <c r="D507" s="7">
        <v>31.774000000000001</v>
      </c>
      <c r="E507" s="7">
        <f t="shared" si="14"/>
        <v>16045.87</v>
      </c>
      <c r="F507" s="7">
        <f t="shared" si="15"/>
        <v>255025</v>
      </c>
      <c r="G507" s="7"/>
    </row>
    <row r="508" spans="1:7" x14ac:dyDescent="0.35">
      <c r="A508" t="str">
        <f>"2007-01-19"</f>
        <v>2007-01-19</v>
      </c>
      <c r="B508" t="str">
        <f>"32.3982"</f>
        <v>32.3982</v>
      </c>
      <c r="C508">
        <v>506</v>
      </c>
      <c r="D508" s="7">
        <v>32.398200000000003</v>
      </c>
      <c r="E508" s="7">
        <f t="shared" si="14"/>
        <v>16393.4892</v>
      </c>
      <c r="F508" s="7">
        <f t="shared" si="15"/>
        <v>256036</v>
      </c>
      <c r="G508" s="7"/>
    </row>
    <row r="509" spans="1:7" x14ac:dyDescent="0.35">
      <c r="A509" t="str">
        <f>"2007-01-22"</f>
        <v>2007-01-22</v>
      </c>
      <c r="B509" t="str">
        <f>"32.3585"</f>
        <v>32.3585</v>
      </c>
      <c r="C509">
        <v>507</v>
      </c>
      <c r="D509" s="7">
        <v>32.358499999999999</v>
      </c>
      <c r="E509" s="7">
        <f t="shared" si="14"/>
        <v>16405.7595</v>
      </c>
      <c r="F509" s="7">
        <f t="shared" si="15"/>
        <v>257049</v>
      </c>
      <c r="G509" s="7"/>
    </row>
    <row r="510" spans="1:7" x14ac:dyDescent="0.35">
      <c r="A510" t="str">
        <f>"2007-01-23"</f>
        <v>2007-01-23</v>
      </c>
      <c r="B510" t="str">
        <f>"32.3913"</f>
        <v>32.3913</v>
      </c>
      <c r="C510">
        <v>508</v>
      </c>
      <c r="D510" s="7">
        <v>32.391300000000001</v>
      </c>
      <c r="E510" s="7">
        <f t="shared" si="14"/>
        <v>16454.7804</v>
      </c>
      <c r="F510" s="7">
        <f t="shared" si="15"/>
        <v>258064</v>
      </c>
      <c r="G510" s="7"/>
    </row>
    <row r="511" spans="1:7" x14ac:dyDescent="0.35">
      <c r="A511" t="str">
        <f>"2007-01-24"</f>
        <v>2007-01-24</v>
      </c>
      <c r="B511" t="str">
        <f>"32.4417"</f>
        <v>32.4417</v>
      </c>
      <c r="C511">
        <v>509</v>
      </c>
      <c r="D511" s="7">
        <v>32.441699999999997</v>
      </c>
      <c r="E511" s="7">
        <f t="shared" si="14"/>
        <v>16512.8253</v>
      </c>
      <c r="F511" s="7">
        <f t="shared" si="15"/>
        <v>259081</v>
      </c>
      <c r="G511" s="7"/>
    </row>
    <row r="512" spans="1:7" x14ac:dyDescent="0.35">
      <c r="A512" t="str">
        <f>"2007-01-25"</f>
        <v>2007-01-25</v>
      </c>
      <c r="B512" t="str">
        <f>"31.8983"</f>
        <v>31.8983</v>
      </c>
      <c r="C512">
        <v>510</v>
      </c>
      <c r="D512" s="7">
        <v>31.898299999999999</v>
      </c>
      <c r="E512" s="7">
        <f t="shared" si="14"/>
        <v>16268.133</v>
      </c>
      <c r="F512" s="7">
        <f t="shared" si="15"/>
        <v>260100</v>
      </c>
      <c r="G512" s="7"/>
    </row>
    <row r="513" spans="1:7" x14ac:dyDescent="0.35">
      <c r="A513" t="str">
        <f>"2007-01-26"</f>
        <v>2007-01-26</v>
      </c>
      <c r="B513" t="str">
        <f>"30.7058"</f>
        <v>30.7058</v>
      </c>
      <c r="C513">
        <v>511</v>
      </c>
      <c r="D513" s="7">
        <v>30.7058</v>
      </c>
      <c r="E513" s="7">
        <f t="shared" si="14"/>
        <v>15690.6638</v>
      </c>
      <c r="F513" s="7">
        <f t="shared" si="15"/>
        <v>261121</v>
      </c>
      <c r="G513" s="7"/>
    </row>
    <row r="514" spans="1:7" x14ac:dyDescent="0.35">
      <c r="A514" t="str">
        <f>"2007-01-29"</f>
        <v>2007-01-29</v>
      </c>
      <c r="B514" t="str">
        <f>"31.2359"</f>
        <v>31.2359</v>
      </c>
      <c r="C514">
        <v>512</v>
      </c>
      <c r="D514" s="7">
        <v>31.235900000000001</v>
      </c>
      <c r="E514" s="7">
        <f t="shared" si="14"/>
        <v>15992.7808</v>
      </c>
      <c r="F514" s="7">
        <f t="shared" si="15"/>
        <v>262144</v>
      </c>
      <c r="G514" s="7"/>
    </row>
    <row r="515" spans="1:7" x14ac:dyDescent="0.35">
      <c r="A515" t="str">
        <f>"2007-01-31"</f>
        <v>2007-01-31</v>
      </c>
      <c r="B515" t="str">
        <f>"31.9064"</f>
        <v>31.9064</v>
      </c>
      <c r="C515">
        <v>513</v>
      </c>
      <c r="D515" s="7">
        <v>31.906400000000001</v>
      </c>
      <c r="E515" s="7">
        <f t="shared" si="14"/>
        <v>16367.983200000001</v>
      </c>
      <c r="F515" s="7">
        <f t="shared" si="15"/>
        <v>263169</v>
      </c>
      <c r="G515" s="7"/>
    </row>
    <row r="516" spans="1:7" x14ac:dyDescent="0.35">
      <c r="A516" t="str">
        <f>"2007-02-01"</f>
        <v>2007-02-01</v>
      </c>
      <c r="B516" t="str">
        <f>"32.5925"</f>
        <v>32.5925</v>
      </c>
      <c r="C516">
        <v>514</v>
      </c>
      <c r="D516" s="7">
        <v>32.592500000000001</v>
      </c>
      <c r="E516" s="7">
        <f t="shared" ref="E516:E579" si="16">C516*D516</f>
        <v>16752.545000000002</v>
      </c>
      <c r="F516" s="7">
        <f t="shared" ref="F516:F579" si="17">C516*C516</f>
        <v>264196</v>
      </c>
      <c r="G516" s="7"/>
    </row>
    <row r="517" spans="1:7" x14ac:dyDescent="0.35">
      <c r="A517" t="str">
        <f>"2007-02-02"</f>
        <v>2007-02-02</v>
      </c>
      <c r="B517" t="str">
        <f>"32.9275"</f>
        <v>32.9275</v>
      </c>
      <c r="C517">
        <v>515</v>
      </c>
      <c r="D517" s="7">
        <v>32.927500000000002</v>
      </c>
      <c r="E517" s="7">
        <f t="shared" si="16"/>
        <v>16957.662500000002</v>
      </c>
      <c r="F517" s="7">
        <f t="shared" si="17"/>
        <v>265225</v>
      </c>
      <c r="G517" s="7"/>
    </row>
    <row r="518" spans="1:7" x14ac:dyDescent="0.35">
      <c r="A518" t="str">
        <f>"2007-02-05"</f>
        <v>2007-02-05</v>
      </c>
      <c r="B518" t="str">
        <f>"32.5081"</f>
        <v>32.5081</v>
      </c>
      <c r="C518">
        <v>516</v>
      </c>
      <c r="D518" s="7">
        <v>32.508099999999999</v>
      </c>
      <c r="E518" s="7">
        <f t="shared" si="16"/>
        <v>16774.179599999999</v>
      </c>
      <c r="F518" s="7">
        <f t="shared" si="17"/>
        <v>266256</v>
      </c>
      <c r="G518" s="7"/>
    </row>
    <row r="519" spans="1:7" x14ac:dyDescent="0.35">
      <c r="A519" t="str">
        <f>"2007-02-06"</f>
        <v>2007-02-06</v>
      </c>
      <c r="B519" t="str">
        <f>"32.204"</f>
        <v>32.204</v>
      </c>
      <c r="C519">
        <v>517</v>
      </c>
      <c r="D519" s="7">
        <v>32.204000000000001</v>
      </c>
      <c r="E519" s="7">
        <f t="shared" si="16"/>
        <v>16649.468000000001</v>
      </c>
      <c r="F519" s="7">
        <f t="shared" si="17"/>
        <v>267289</v>
      </c>
      <c r="G519" s="7"/>
    </row>
    <row r="520" spans="1:7" x14ac:dyDescent="0.35">
      <c r="A520" t="str">
        <f>"2007-02-07"</f>
        <v>2007-02-07</v>
      </c>
      <c r="B520" t="str">
        <f>"32.3261"</f>
        <v>32.3261</v>
      </c>
      <c r="C520">
        <v>518</v>
      </c>
      <c r="D520" s="7">
        <v>32.326099999999997</v>
      </c>
      <c r="E520" s="7">
        <f t="shared" si="16"/>
        <v>16744.9198</v>
      </c>
      <c r="F520" s="7">
        <f t="shared" si="17"/>
        <v>268324</v>
      </c>
      <c r="G520" s="7"/>
    </row>
    <row r="521" spans="1:7" x14ac:dyDescent="0.35">
      <c r="A521" t="str">
        <f>"2007-02-08"</f>
        <v>2007-02-08</v>
      </c>
      <c r="B521" t="str">
        <f>"32.337"</f>
        <v>32.337</v>
      </c>
      <c r="C521">
        <v>519</v>
      </c>
      <c r="D521" s="7">
        <v>32.337000000000003</v>
      </c>
      <c r="E521" s="7">
        <f t="shared" si="16"/>
        <v>16782.903000000002</v>
      </c>
      <c r="F521" s="7">
        <f t="shared" si="17"/>
        <v>269361</v>
      </c>
      <c r="G521" s="7"/>
    </row>
    <row r="522" spans="1:7" x14ac:dyDescent="0.35">
      <c r="A522" t="str">
        <f>"2007-02-09"</f>
        <v>2007-02-09</v>
      </c>
      <c r="B522" t="str">
        <f>"33.6739"</f>
        <v>33.6739</v>
      </c>
      <c r="C522">
        <v>520</v>
      </c>
      <c r="D522" s="7">
        <v>33.673900000000003</v>
      </c>
      <c r="E522" s="7">
        <f t="shared" si="16"/>
        <v>17510.428</v>
      </c>
      <c r="F522" s="7">
        <f t="shared" si="17"/>
        <v>270400</v>
      </c>
      <c r="G522" s="7"/>
    </row>
    <row r="523" spans="1:7" x14ac:dyDescent="0.35">
      <c r="A523" t="str">
        <f>"2007-02-12"</f>
        <v>2007-02-12</v>
      </c>
      <c r="B523" t="str">
        <f>"32.6037"</f>
        <v>32.6037</v>
      </c>
      <c r="C523">
        <v>521</v>
      </c>
      <c r="D523" s="7">
        <v>32.603700000000003</v>
      </c>
      <c r="E523" s="7">
        <f t="shared" si="16"/>
        <v>16986.527700000002</v>
      </c>
      <c r="F523" s="7">
        <f t="shared" si="17"/>
        <v>271441</v>
      </c>
      <c r="G523" s="7"/>
    </row>
    <row r="524" spans="1:7" x14ac:dyDescent="0.35">
      <c r="A524" t="str">
        <f>"2007-02-13"</f>
        <v>2007-02-13</v>
      </c>
      <c r="B524" t="str">
        <f>"32.9693"</f>
        <v>32.9693</v>
      </c>
      <c r="C524">
        <v>522</v>
      </c>
      <c r="D524" s="7">
        <v>32.969299999999997</v>
      </c>
      <c r="E524" s="7">
        <f t="shared" si="16"/>
        <v>17209.974599999998</v>
      </c>
      <c r="F524" s="7">
        <f t="shared" si="17"/>
        <v>272484</v>
      </c>
      <c r="G524" s="7"/>
    </row>
    <row r="525" spans="1:7" x14ac:dyDescent="0.35">
      <c r="A525" t="str">
        <f>"2007-02-14"</f>
        <v>2007-02-14</v>
      </c>
      <c r="B525" t="str">
        <f>"33.8677"</f>
        <v>33.8677</v>
      </c>
      <c r="C525">
        <v>523</v>
      </c>
      <c r="D525" s="7">
        <v>33.867699999999999</v>
      </c>
      <c r="E525" s="7">
        <f t="shared" si="16"/>
        <v>17712.807099999998</v>
      </c>
      <c r="F525" s="7">
        <f t="shared" si="17"/>
        <v>273529</v>
      </c>
      <c r="G525" s="7"/>
    </row>
    <row r="526" spans="1:7" x14ac:dyDescent="0.35">
      <c r="A526" t="str">
        <f>"2007-02-15"</f>
        <v>2007-02-15</v>
      </c>
      <c r="B526" t="str">
        <f>"33.263"</f>
        <v>33.263</v>
      </c>
      <c r="C526">
        <v>524</v>
      </c>
      <c r="D526" s="7">
        <v>33.262999999999998</v>
      </c>
      <c r="E526" s="7">
        <f t="shared" si="16"/>
        <v>17429.811999999998</v>
      </c>
      <c r="F526" s="7">
        <f t="shared" si="17"/>
        <v>274576</v>
      </c>
      <c r="G526" s="7"/>
    </row>
    <row r="527" spans="1:7" x14ac:dyDescent="0.35">
      <c r="A527" t="str">
        <f>"2007-02-16"</f>
        <v>2007-02-16</v>
      </c>
      <c r="B527" t="str">
        <f>"33.2845"</f>
        <v>33.2845</v>
      </c>
      <c r="C527">
        <v>525</v>
      </c>
      <c r="D527" s="7">
        <v>33.284500000000001</v>
      </c>
      <c r="E527" s="7">
        <f t="shared" si="16"/>
        <v>17474.362499999999</v>
      </c>
      <c r="F527" s="7">
        <f t="shared" si="17"/>
        <v>275625</v>
      </c>
      <c r="G527" s="7"/>
    </row>
    <row r="528" spans="1:7" x14ac:dyDescent="0.35">
      <c r="A528" t="str">
        <f>"2007-02-20"</f>
        <v>2007-02-20</v>
      </c>
      <c r="B528" t="str">
        <f>"36.8335"</f>
        <v>36.8335</v>
      </c>
      <c r="C528">
        <v>526</v>
      </c>
      <c r="D528" s="7">
        <v>36.833500000000001</v>
      </c>
      <c r="E528" s="7">
        <f t="shared" si="16"/>
        <v>19374.421000000002</v>
      </c>
      <c r="F528" s="7">
        <f t="shared" si="17"/>
        <v>276676</v>
      </c>
      <c r="G528" s="7"/>
    </row>
    <row r="529" spans="1:7" x14ac:dyDescent="0.35">
      <c r="A529" t="str">
        <f>"2007-02-21"</f>
        <v>2007-02-21</v>
      </c>
      <c r="B529" t="str">
        <f>"34.4423"</f>
        <v>34.4423</v>
      </c>
      <c r="C529">
        <v>527</v>
      </c>
      <c r="D529" s="7">
        <v>34.442300000000003</v>
      </c>
      <c r="E529" s="7">
        <f t="shared" si="16"/>
        <v>18151.092100000002</v>
      </c>
      <c r="F529" s="7">
        <f t="shared" si="17"/>
        <v>277729</v>
      </c>
      <c r="G529" s="7"/>
    </row>
    <row r="530" spans="1:7" x14ac:dyDescent="0.35">
      <c r="A530" t="str">
        <f>"2007-02-22"</f>
        <v>2007-02-22</v>
      </c>
      <c r="B530" t="str">
        <f>"33.8889"</f>
        <v>33.8889</v>
      </c>
      <c r="C530">
        <v>528</v>
      </c>
      <c r="D530" s="7">
        <v>33.8889</v>
      </c>
      <c r="E530" s="7">
        <f t="shared" si="16"/>
        <v>17893.339199999999</v>
      </c>
      <c r="F530" s="7">
        <f t="shared" si="17"/>
        <v>278784</v>
      </c>
      <c r="G530" s="7"/>
    </row>
    <row r="531" spans="1:7" x14ac:dyDescent="0.35">
      <c r="A531" t="str">
        <f>"2007-02-23"</f>
        <v>2007-02-23</v>
      </c>
      <c r="B531" t="str">
        <f>"32.7536"</f>
        <v>32.7536</v>
      </c>
      <c r="C531">
        <v>529</v>
      </c>
      <c r="D531" s="7">
        <v>32.753599999999999</v>
      </c>
      <c r="E531" s="7">
        <f t="shared" si="16"/>
        <v>17326.654399999999</v>
      </c>
      <c r="F531" s="7">
        <f t="shared" si="17"/>
        <v>279841</v>
      </c>
      <c r="G531" s="7"/>
    </row>
    <row r="532" spans="1:7" x14ac:dyDescent="0.35">
      <c r="A532" t="str">
        <f>"2007-02-26"</f>
        <v>2007-02-26</v>
      </c>
      <c r="B532" t="str">
        <f>"32.1502"</f>
        <v>32.1502</v>
      </c>
      <c r="C532">
        <v>530</v>
      </c>
      <c r="D532" s="7">
        <v>32.150199999999998</v>
      </c>
      <c r="E532" s="7">
        <f t="shared" si="16"/>
        <v>17039.606</v>
      </c>
      <c r="F532" s="7">
        <f t="shared" si="17"/>
        <v>280900</v>
      </c>
      <c r="G532" s="7"/>
    </row>
    <row r="533" spans="1:7" x14ac:dyDescent="0.35">
      <c r="A533" t="str">
        <f>"2007-02-27"</f>
        <v>2007-02-27</v>
      </c>
      <c r="B533" t="str">
        <f>"31.218"</f>
        <v>31.218</v>
      </c>
      <c r="C533">
        <v>531</v>
      </c>
      <c r="D533" s="7">
        <v>31.218</v>
      </c>
      <c r="E533" s="7">
        <f t="shared" si="16"/>
        <v>16576.758000000002</v>
      </c>
      <c r="F533" s="7">
        <f t="shared" si="17"/>
        <v>281961</v>
      </c>
      <c r="G533" s="7"/>
    </row>
    <row r="534" spans="1:7" x14ac:dyDescent="0.35">
      <c r="A534" t="str">
        <f>"2007-02-28"</f>
        <v>2007-02-28</v>
      </c>
      <c r="B534" t="str">
        <f>"31.1981"</f>
        <v>31.1981</v>
      </c>
      <c r="C534">
        <v>532</v>
      </c>
      <c r="D534" s="7">
        <v>31.1981</v>
      </c>
      <c r="E534" s="7">
        <f t="shared" si="16"/>
        <v>16597.389200000001</v>
      </c>
      <c r="F534" s="7">
        <f t="shared" si="17"/>
        <v>283024</v>
      </c>
      <c r="G534" s="7"/>
    </row>
    <row r="535" spans="1:7" x14ac:dyDescent="0.35">
      <c r="A535" t="str">
        <f>"2007-03-01"</f>
        <v>2007-03-01</v>
      </c>
      <c r="B535" t="str">
        <f>"30.4738"</f>
        <v>30.4738</v>
      </c>
      <c r="C535">
        <v>533</v>
      </c>
      <c r="D535" s="7">
        <v>30.473800000000001</v>
      </c>
      <c r="E535" s="7">
        <f t="shared" si="16"/>
        <v>16242.535400000001</v>
      </c>
      <c r="F535" s="7">
        <f t="shared" si="17"/>
        <v>284089</v>
      </c>
      <c r="G535" s="7"/>
    </row>
    <row r="536" spans="1:7" x14ac:dyDescent="0.35">
      <c r="A536" t="str">
        <f>"2007-03-02"</f>
        <v>2007-03-02</v>
      </c>
      <c r="B536" t="str">
        <f>"31.4745"</f>
        <v>31.4745</v>
      </c>
      <c r="C536">
        <v>534</v>
      </c>
      <c r="D536" s="7">
        <v>31.474499999999999</v>
      </c>
      <c r="E536" s="7">
        <f t="shared" si="16"/>
        <v>16807.382999999998</v>
      </c>
      <c r="F536" s="7">
        <f t="shared" si="17"/>
        <v>285156</v>
      </c>
      <c r="G536" s="7"/>
    </row>
    <row r="537" spans="1:7" x14ac:dyDescent="0.35">
      <c r="A537" t="str">
        <f>"2007-03-05"</f>
        <v>2007-03-05</v>
      </c>
      <c r="B537" t="str">
        <f>"30.3554"</f>
        <v>30.3554</v>
      </c>
      <c r="C537">
        <v>535</v>
      </c>
      <c r="D537" s="7">
        <v>30.355399999999999</v>
      </c>
      <c r="E537" s="7">
        <f t="shared" si="16"/>
        <v>16240.138999999999</v>
      </c>
      <c r="F537" s="7">
        <f t="shared" si="17"/>
        <v>286225</v>
      </c>
      <c r="G537" s="7"/>
    </row>
    <row r="538" spans="1:7" x14ac:dyDescent="0.35">
      <c r="A538" t="str">
        <f>"2007-03-06"</f>
        <v>2007-03-06</v>
      </c>
      <c r="B538" t="str">
        <f>"30.2033"</f>
        <v>30.2033</v>
      </c>
      <c r="C538">
        <v>536</v>
      </c>
      <c r="D538" s="7">
        <v>30.203299999999999</v>
      </c>
      <c r="E538" s="7">
        <f t="shared" si="16"/>
        <v>16188.968799999999</v>
      </c>
      <c r="F538" s="7">
        <f t="shared" si="17"/>
        <v>287296</v>
      </c>
      <c r="G538" s="7"/>
    </row>
    <row r="539" spans="1:7" x14ac:dyDescent="0.35">
      <c r="A539" t="str">
        <f>"2007-03-07"</f>
        <v>2007-03-07</v>
      </c>
      <c r="B539" t="str">
        <f>"29.5982"</f>
        <v>29.5982</v>
      </c>
      <c r="C539">
        <v>537</v>
      </c>
      <c r="D539" s="7">
        <v>29.598199999999999</v>
      </c>
      <c r="E539" s="7">
        <f t="shared" si="16"/>
        <v>15894.233399999999</v>
      </c>
      <c r="F539" s="7">
        <f t="shared" si="17"/>
        <v>288369</v>
      </c>
      <c r="G539" s="7"/>
    </row>
    <row r="540" spans="1:7" x14ac:dyDescent="0.35">
      <c r="A540" t="str">
        <f>"2007-03-08"</f>
        <v>2007-03-08</v>
      </c>
      <c r="B540" t="str">
        <f>"30.9369"</f>
        <v>30.9369</v>
      </c>
      <c r="C540">
        <v>538</v>
      </c>
      <c r="D540" s="7">
        <v>30.936900000000001</v>
      </c>
      <c r="E540" s="7">
        <f t="shared" si="16"/>
        <v>16644.052200000002</v>
      </c>
      <c r="F540" s="7">
        <f t="shared" si="17"/>
        <v>289444</v>
      </c>
      <c r="G540" s="7"/>
    </row>
    <row r="541" spans="1:7" x14ac:dyDescent="0.35">
      <c r="A541" t="str">
        <f>"2007-03-09"</f>
        <v>2007-03-09</v>
      </c>
      <c r="B541" t="str">
        <f>"30.9233"</f>
        <v>30.9233</v>
      </c>
      <c r="C541">
        <v>539</v>
      </c>
      <c r="D541" s="7">
        <v>30.923300000000001</v>
      </c>
      <c r="E541" s="7">
        <f t="shared" si="16"/>
        <v>16667.6587</v>
      </c>
      <c r="F541" s="7">
        <f t="shared" si="17"/>
        <v>290521</v>
      </c>
      <c r="G541" s="7"/>
    </row>
    <row r="542" spans="1:7" x14ac:dyDescent="0.35">
      <c r="A542" t="str">
        <f>"2007-03-12"</f>
        <v>2007-03-12</v>
      </c>
      <c r="B542" t="str">
        <f>"31.0772"</f>
        <v>31.0772</v>
      </c>
      <c r="C542">
        <v>540</v>
      </c>
      <c r="D542" s="7">
        <v>31.077200000000001</v>
      </c>
      <c r="E542" s="7">
        <f t="shared" si="16"/>
        <v>16781.688000000002</v>
      </c>
      <c r="F542" s="7">
        <f t="shared" si="17"/>
        <v>291600</v>
      </c>
      <c r="G542" s="7"/>
    </row>
    <row r="543" spans="1:7" x14ac:dyDescent="0.35">
      <c r="A543" t="str">
        <f>"2007-03-13"</f>
        <v>2007-03-13</v>
      </c>
      <c r="B543" t="str">
        <f>"30.4304"</f>
        <v>30.4304</v>
      </c>
      <c r="C543">
        <v>541</v>
      </c>
      <c r="D543" s="7">
        <v>30.430399999999999</v>
      </c>
      <c r="E543" s="7">
        <f t="shared" si="16"/>
        <v>16462.846399999999</v>
      </c>
      <c r="F543" s="7">
        <f t="shared" si="17"/>
        <v>292681</v>
      </c>
      <c r="G543" s="7"/>
    </row>
    <row r="544" spans="1:7" x14ac:dyDescent="0.35">
      <c r="A544" t="str">
        <f>"2007-03-14"</f>
        <v>2007-03-14</v>
      </c>
      <c r="B544" t="str">
        <f>"29.6868"</f>
        <v>29.6868</v>
      </c>
      <c r="C544">
        <v>542</v>
      </c>
      <c r="D544" s="7">
        <v>29.686800000000002</v>
      </c>
      <c r="E544" s="7">
        <f t="shared" si="16"/>
        <v>16090.2456</v>
      </c>
      <c r="F544" s="7">
        <f t="shared" si="17"/>
        <v>293764</v>
      </c>
      <c r="G544" s="7"/>
    </row>
    <row r="545" spans="1:7" x14ac:dyDescent="0.35">
      <c r="A545" t="str">
        <f>"2007-03-15"</f>
        <v>2007-03-15</v>
      </c>
      <c r="B545" t="str">
        <f>"31.0889"</f>
        <v>31.0889</v>
      </c>
      <c r="C545">
        <v>543</v>
      </c>
      <c r="D545" s="7">
        <v>31.088899999999999</v>
      </c>
      <c r="E545" s="7">
        <f t="shared" si="16"/>
        <v>16881.272699999998</v>
      </c>
      <c r="F545" s="7">
        <f t="shared" si="17"/>
        <v>294849</v>
      </c>
      <c r="G545" s="7"/>
    </row>
    <row r="546" spans="1:7" x14ac:dyDescent="0.35">
      <c r="A546" t="str">
        <f>"2007-03-16"</f>
        <v>2007-03-16</v>
      </c>
      <c r="B546" t="str">
        <f>"30.5957"</f>
        <v>30.5957</v>
      </c>
      <c r="C546">
        <v>544</v>
      </c>
      <c r="D546" s="7">
        <v>30.595700000000001</v>
      </c>
      <c r="E546" s="7">
        <f t="shared" si="16"/>
        <v>16644.060799999999</v>
      </c>
      <c r="F546" s="7">
        <f t="shared" si="17"/>
        <v>295936</v>
      </c>
      <c r="G546" s="7"/>
    </row>
    <row r="547" spans="1:7" x14ac:dyDescent="0.35">
      <c r="A547" t="str">
        <f>"2007-03-19"</f>
        <v>2007-03-19</v>
      </c>
      <c r="B547" t="str">
        <f>"31.7389"</f>
        <v>31.7389</v>
      </c>
      <c r="C547">
        <v>545</v>
      </c>
      <c r="D547" s="7">
        <v>31.738900000000001</v>
      </c>
      <c r="E547" s="7">
        <f t="shared" si="16"/>
        <v>17297.700499999999</v>
      </c>
      <c r="F547" s="7">
        <f t="shared" si="17"/>
        <v>297025</v>
      </c>
      <c r="G547" s="7"/>
    </row>
    <row r="548" spans="1:7" x14ac:dyDescent="0.35">
      <c r="A548" t="str">
        <f>"2007-03-20"</f>
        <v>2007-03-20</v>
      </c>
      <c r="B548" t="str">
        <f>"31.2466"</f>
        <v>31.2466</v>
      </c>
      <c r="C548">
        <v>546</v>
      </c>
      <c r="D548" s="7">
        <v>31.246600000000001</v>
      </c>
      <c r="E548" s="7">
        <f t="shared" si="16"/>
        <v>17060.643599999999</v>
      </c>
      <c r="F548" s="7">
        <f t="shared" si="17"/>
        <v>298116</v>
      </c>
      <c r="G548" s="7"/>
    </row>
    <row r="549" spans="1:7" x14ac:dyDescent="0.35">
      <c r="A549" t="str">
        <f>"2007-03-21"</f>
        <v>2007-03-21</v>
      </c>
      <c r="B549" t="str">
        <f>"31.1158"</f>
        <v>31.1158</v>
      </c>
      <c r="C549">
        <v>547</v>
      </c>
      <c r="D549" s="7">
        <v>31.1158</v>
      </c>
      <c r="E549" s="7">
        <f t="shared" si="16"/>
        <v>17020.3426</v>
      </c>
      <c r="F549" s="7">
        <f t="shared" si="17"/>
        <v>299209</v>
      </c>
      <c r="G549" s="7"/>
    </row>
    <row r="550" spans="1:7" x14ac:dyDescent="0.35">
      <c r="A550" t="str">
        <f>"2007-03-22"</f>
        <v>2007-03-22</v>
      </c>
      <c r="B550" t="str">
        <f>"32.2129"</f>
        <v>32.2129</v>
      </c>
      <c r="C550">
        <v>548</v>
      </c>
      <c r="D550" s="7">
        <v>32.212899999999998</v>
      </c>
      <c r="E550" s="7">
        <f t="shared" si="16"/>
        <v>17652.6692</v>
      </c>
      <c r="F550" s="7">
        <f t="shared" si="17"/>
        <v>300304</v>
      </c>
      <c r="G550" s="7"/>
    </row>
    <row r="551" spans="1:7" x14ac:dyDescent="0.35">
      <c r="A551" t="str">
        <f>"2007-03-23"</f>
        <v>2007-03-23</v>
      </c>
      <c r="B551" t="str">
        <f>"31.5875"</f>
        <v>31.5875</v>
      </c>
      <c r="C551">
        <v>549</v>
      </c>
      <c r="D551" s="7">
        <v>31.587499999999999</v>
      </c>
      <c r="E551" s="7">
        <f t="shared" si="16"/>
        <v>17341.537499999999</v>
      </c>
      <c r="F551" s="7">
        <f t="shared" si="17"/>
        <v>301401</v>
      </c>
      <c r="G551" s="7"/>
    </row>
    <row r="552" spans="1:7" x14ac:dyDescent="0.35">
      <c r="A552" t="str">
        <f>"2007-03-26"</f>
        <v>2007-03-26</v>
      </c>
      <c r="B552" t="str">
        <f>"30.963"</f>
        <v>30.963</v>
      </c>
      <c r="C552">
        <v>550</v>
      </c>
      <c r="D552" s="7">
        <v>30.963000000000001</v>
      </c>
      <c r="E552" s="7">
        <f t="shared" si="16"/>
        <v>17029.650000000001</v>
      </c>
      <c r="F552" s="7">
        <f t="shared" si="17"/>
        <v>302500</v>
      </c>
      <c r="G552" s="7"/>
    </row>
    <row r="553" spans="1:7" x14ac:dyDescent="0.35">
      <c r="A553" t="str">
        <f>"2007-03-27"</f>
        <v>2007-03-27</v>
      </c>
      <c r="B553" t="str">
        <f>"30.3599"</f>
        <v>30.3599</v>
      </c>
      <c r="C553">
        <v>551</v>
      </c>
      <c r="D553" s="7">
        <v>30.3599</v>
      </c>
      <c r="E553" s="7">
        <f t="shared" si="16"/>
        <v>16728.304899999999</v>
      </c>
      <c r="F553" s="7">
        <f t="shared" si="17"/>
        <v>303601</v>
      </c>
      <c r="G553" s="7"/>
    </row>
    <row r="554" spans="1:7" x14ac:dyDescent="0.35">
      <c r="A554" t="str">
        <f>"2007-03-28"</f>
        <v>2007-03-28</v>
      </c>
      <c r="B554" t="str">
        <f>"29.0166"</f>
        <v>29.0166</v>
      </c>
      <c r="C554">
        <v>552</v>
      </c>
      <c r="D554" s="7">
        <v>29.0166</v>
      </c>
      <c r="E554" s="7">
        <f t="shared" si="16"/>
        <v>16017.163200000001</v>
      </c>
      <c r="F554" s="7">
        <f t="shared" si="17"/>
        <v>304704</v>
      </c>
      <c r="G554" s="7"/>
    </row>
    <row r="555" spans="1:7" x14ac:dyDescent="0.35">
      <c r="A555" t="str">
        <f>"2007-03-29"</f>
        <v>2007-03-29</v>
      </c>
      <c r="B555" t="str">
        <f>"29.5211"</f>
        <v>29.5211</v>
      </c>
      <c r="C555">
        <v>553</v>
      </c>
      <c r="D555" s="7">
        <v>29.521100000000001</v>
      </c>
      <c r="E555" s="7">
        <f t="shared" si="16"/>
        <v>16325.168300000001</v>
      </c>
      <c r="F555" s="7">
        <f t="shared" si="17"/>
        <v>305809</v>
      </c>
      <c r="G555" s="7"/>
    </row>
    <row r="556" spans="1:7" x14ac:dyDescent="0.35">
      <c r="A556" t="str">
        <f>"2007-03-30"</f>
        <v>2007-03-30</v>
      </c>
      <c r="B556" t="str">
        <f>"30.0732"</f>
        <v>30.0732</v>
      </c>
      <c r="C556">
        <v>554</v>
      </c>
      <c r="D556" s="7">
        <v>30.0732</v>
      </c>
      <c r="E556" s="7">
        <f t="shared" si="16"/>
        <v>16660.552800000001</v>
      </c>
      <c r="F556" s="7">
        <f t="shared" si="17"/>
        <v>306916</v>
      </c>
      <c r="G556" s="7"/>
    </row>
    <row r="557" spans="1:7" x14ac:dyDescent="0.35">
      <c r="A557" t="str">
        <f>"2007-04-02"</f>
        <v>2007-04-02</v>
      </c>
      <c r="B557" t="str">
        <f>"30.2242"</f>
        <v>30.2242</v>
      </c>
      <c r="C557">
        <v>555</v>
      </c>
      <c r="D557" s="7">
        <v>30.2242</v>
      </c>
      <c r="E557" s="7">
        <f t="shared" si="16"/>
        <v>16774.431</v>
      </c>
      <c r="F557" s="7">
        <f t="shared" si="17"/>
        <v>308025</v>
      </c>
      <c r="G557" s="7"/>
    </row>
    <row r="558" spans="1:7" x14ac:dyDescent="0.35">
      <c r="A558" t="str">
        <f>"2007-04-03"</f>
        <v>2007-04-03</v>
      </c>
      <c r="B558" t="str">
        <f>"31.8368"</f>
        <v>31.8368</v>
      </c>
      <c r="C558">
        <v>556</v>
      </c>
      <c r="D558" s="7">
        <v>31.8368</v>
      </c>
      <c r="E558" s="7">
        <f t="shared" si="16"/>
        <v>17701.2608</v>
      </c>
      <c r="F558" s="7">
        <f t="shared" si="17"/>
        <v>309136</v>
      </c>
      <c r="G558" s="7"/>
    </row>
    <row r="559" spans="1:7" x14ac:dyDescent="0.35">
      <c r="A559" t="str">
        <f>"2007-04-04"</f>
        <v>2007-04-04</v>
      </c>
      <c r="B559" t="str">
        <f>"32.7337"</f>
        <v>32.7337</v>
      </c>
      <c r="C559">
        <v>557</v>
      </c>
      <c r="D559" s="7">
        <v>32.733699999999999</v>
      </c>
      <c r="E559" s="7">
        <f t="shared" si="16"/>
        <v>18232.670900000001</v>
      </c>
      <c r="F559" s="7">
        <f t="shared" si="17"/>
        <v>310249</v>
      </c>
      <c r="G559" s="7"/>
    </row>
    <row r="560" spans="1:7" x14ac:dyDescent="0.35">
      <c r="A560" t="str">
        <f>"2007-04-05"</f>
        <v>2007-04-05</v>
      </c>
      <c r="B560" t="str">
        <f>"32.7278"</f>
        <v>32.7278</v>
      </c>
      <c r="C560">
        <v>558</v>
      </c>
      <c r="D560" s="7">
        <v>32.727800000000002</v>
      </c>
      <c r="E560" s="7">
        <f t="shared" si="16"/>
        <v>18262.112400000002</v>
      </c>
      <c r="F560" s="7">
        <f t="shared" si="17"/>
        <v>311364</v>
      </c>
      <c r="G560" s="7"/>
    </row>
    <row r="561" spans="1:7" x14ac:dyDescent="0.35">
      <c r="A561" t="str">
        <f>"2007-04-09"</f>
        <v>2007-04-09</v>
      </c>
      <c r="B561" t="str">
        <f>"34.1362"</f>
        <v>34.1362</v>
      </c>
      <c r="C561">
        <v>559</v>
      </c>
      <c r="D561" s="7">
        <v>34.136200000000002</v>
      </c>
      <c r="E561" s="7">
        <f t="shared" si="16"/>
        <v>19082.1358</v>
      </c>
      <c r="F561" s="7">
        <f t="shared" si="17"/>
        <v>312481</v>
      </c>
      <c r="G561" s="7"/>
    </row>
    <row r="562" spans="1:7" x14ac:dyDescent="0.35">
      <c r="A562" t="str">
        <f>"2007-04-10"</f>
        <v>2007-04-10</v>
      </c>
      <c r="B562" t="str">
        <f>"33.3619"</f>
        <v>33.3619</v>
      </c>
      <c r="C562">
        <v>560</v>
      </c>
      <c r="D562" s="7">
        <v>33.361899999999999</v>
      </c>
      <c r="E562" s="7">
        <f t="shared" si="16"/>
        <v>18682.664000000001</v>
      </c>
      <c r="F562" s="7">
        <f t="shared" si="17"/>
        <v>313600</v>
      </c>
      <c r="G562" s="7"/>
    </row>
    <row r="563" spans="1:7" x14ac:dyDescent="0.35">
      <c r="A563" t="str">
        <f>"2007-04-11"</f>
        <v>2007-04-11</v>
      </c>
      <c r="B563" t="str">
        <f>"33.9287"</f>
        <v>33.9287</v>
      </c>
      <c r="C563">
        <v>561</v>
      </c>
      <c r="D563" s="7">
        <v>33.928699999999999</v>
      </c>
      <c r="E563" s="7">
        <f t="shared" si="16"/>
        <v>19034.000700000001</v>
      </c>
      <c r="F563" s="7">
        <f t="shared" si="17"/>
        <v>314721</v>
      </c>
      <c r="G563" s="7"/>
    </row>
    <row r="564" spans="1:7" x14ac:dyDescent="0.35">
      <c r="A564" t="str">
        <f>"2007-04-12"</f>
        <v>2007-04-12</v>
      </c>
      <c r="B564" t="str">
        <f>"34.379"</f>
        <v>34.379</v>
      </c>
      <c r="C564">
        <v>562</v>
      </c>
      <c r="D564" s="7">
        <v>34.378999999999998</v>
      </c>
      <c r="E564" s="7">
        <f t="shared" si="16"/>
        <v>19320.998</v>
      </c>
      <c r="F564" s="7">
        <f t="shared" si="17"/>
        <v>315844</v>
      </c>
      <c r="G564" s="7"/>
    </row>
    <row r="565" spans="1:7" x14ac:dyDescent="0.35">
      <c r="A565" t="str">
        <f>"2007-04-13"</f>
        <v>2007-04-13</v>
      </c>
      <c r="B565" t="str">
        <f>"33.9294"</f>
        <v>33.9294</v>
      </c>
      <c r="C565">
        <v>563</v>
      </c>
      <c r="D565" s="7">
        <v>33.929400000000001</v>
      </c>
      <c r="E565" s="7">
        <f t="shared" si="16"/>
        <v>19102.252199999999</v>
      </c>
      <c r="F565" s="7">
        <f t="shared" si="17"/>
        <v>316969</v>
      </c>
      <c r="G565" s="7"/>
    </row>
    <row r="566" spans="1:7" x14ac:dyDescent="0.35">
      <c r="A566" t="str">
        <f>"2007-04-16"</f>
        <v>2007-04-16</v>
      </c>
      <c r="B566" t="str">
        <f>"34.1561"</f>
        <v>34.1561</v>
      </c>
      <c r="C566">
        <v>564</v>
      </c>
      <c r="D566" s="7">
        <v>34.156100000000002</v>
      </c>
      <c r="E566" s="7">
        <f t="shared" si="16"/>
        <v>19264.040400000002</v>
      </c>
      <c r="F566" s="7">
        <f t="shared" si="17"/>
        <v>318096</v>
      </c>
      <c r="G566" s="7"/>
    </row>
    <row r="567" spans="1:7" x14ac:dyDescent="0.35">
      <c r="A567" t="str">
        <f>"2007-04-17"</f>
        <v>2007-04-17</v>
      </c>
      <c r="B567" t="str">
        <f>"34.831"</f>
        <v>34.831</v>
      </c>
      <c r="C567">
        <v>565</v>
      </c>
      <c r="D567" s="7">
        <v>34.831000000000003</v>
      </c>
      <c r="E567" s="7">
        <f t="shared" si="16"/>
        <v>19679.515000000003</v>
      </c>
      <c r="F567" s="7">
        <f t="shared" si="17"/>
        <v>319225</v>
      </c>
      <c r="G567" s="7"/>
    </row>
    <row r="568" spans="1:7" x14ac:dyDescent="0.35">
      <c r="A568" t="str">
        <f>"2007-04-18"</f>
        <v>2007-04-18</v>
      </c>
      <c r="B568" t="str">
        <f>"34.7208"</f>
        <v>34.7208</v>
      </c>
      <c r="C568">
        <v>566</v>
      </c>
      <c r="D568" s="7">
        <v>34.720799999999997</v>
      </c>
      <c r="E568" s="7">
        <f t="shared" si="16"/>
        <v>19651.9728</v>
      </c>
      <c r="F568" s="7">
        <f t="shared" si="17"/>
        <v>320356</v>
      </c>
      <c r="G568" s="7"/>
    </row>
    <row r="569" spans="1:7" x14ac:dyDescent="0.35">
      <c r="A569" t="str">
        <f>"2007-04-19"</f>
        <v>2007-04-19</v>
      </c>
      <c r="B569" t="str">
        <f>"35.1527"</f>
        <v>35.1527</v>
      </c>
      <c r="C569">
        <v>567</v>
      </c>
      <c r="D569" s="7">
        <v>35.152700000000003</v>
      </c>
      <c r="E569" s="7">
        <f t="shared" si="16"/>
        <v>19931.580900000001</v>
      </c>
      <c r="F569" s="7">
        <f t="shared" si="17"/>
        <v>321489</v>
      </c>
      <c r="G569" s="7"/>
    </row>
    <row r="570" spans="1:7" x14ac:dyDescent="0.35">
      <c r="A570" t="str">
        <f>"2007-04-20"</f>
        <v>2007-04-20</v>
      </c>
      <c r="B570" t="str">
        <f>"35.8843"</f>
        <v>35.8843</v>
      </c>
      <c r="C570">
        <v>568</v>
      </c>
      <c r="D570" s="7">
        <v>35.884300000000003</v>
      </c>
      <c r="E570" s="7">
        <f t="shared" si="16"/>
        <v>20382.2824</v>
      </c>
      <c r="F570" s="7">
        <f t="shared" si="17"/>
        <v>322624</v>
      </c>
      <c r="G570" s="7"/>
    </row>
    <row r="571" spans="1:7" x14ac:dyDescent="0.35">
      <c r="A571" t="str">
        <f>"2007-04-23"</f>
        <v>2007-04-23</v>
      </c>
      <c r="B571" t="str">
        <f>"35.7269"</f>
        <v>35.7269</v>
      </c>
      <c r="C571">
        <v>569</v>
      </c>
      <c r="D571" s="7">
        <v>35.726900000000001</v>
      </c>
      <c r="E571" s="7">
        <f t="shared" si="16"/>
        <v>20328.606100000001</v>
      </c>
      <c r="F571" s="7">
        <f t="shared" si="17"/>
        <v>323761</v>
      </c>
      <c r="G571" s="7"/>
    </row>
    <row r="572" spans="1:7" x14ac:dyDescent="0.35">
      <c r="A572" t="str">
        <f>"2007-04-24"</f>
        <v>2007-04-24</v>
      </c>
      <c r="B572" t="str">
        <f>"37.2272"</f>
        <v>37.2272</v>
      </c>
      <c r="C572">
        <v>570</v>
      </c>
      <c r="D572" s="7">
        <v>37.227200000000003</v>
      </c>
      <c r="E572" s="7">
        <f t="shared" si="16"/>
        <v>21219.504000000001</v>
      </c>
      <c r="F572" s="7">
        <f t="shared" si="17"/>
        <v>324900</v>
      </c>
      <c r="G572" s="7"/>
    </row>
    <row r="573" spans="1:7" x14ac:dyDescent="0.35">
      <c r="A573" t="str">
        <f>"2007-04-25"</f>
        <v>2007-04-25</v>
      </c>
      <c r="B573" t="str">
        <f>"38.2178"</f>
        <v>38.2178</v>
      </c>
      <c r="C573">
        <v>571</v>
      </c>
      <c r="D573" s="7">
        <v>38.217799999999997</v>
      </c>
      <c r="E573" s="7">
        <f t="shared" si="16"/>
        <v>21822.363799999999</v>
      </c>
      <c r="F573" s="7">
        <f t="shared" si="17"/>
        <v>326041</v>
      </c>
      <c r="G573" s="7"/>
    </row>
    <row r="574" spans="1:7" x14ac:dyDescent="0.35">
      <c r="A574" t="str">
        <f>"2007-04-26"</f>
        <v>2007-04-26</v>
      </c>
      <c r="B574" t="str">
        <f>"39.4153"</f>
        <v>39.4153</v>
      </c>
      <c r="C574">
        <v>572</v>
      </c>
      <c r="D574" s="7">
        <v>39.415300000000002</v>
      </c>
      <c r="E574" s="7">
        <f t="shared" si="16"/>
        <v>22545.551600000003</v>
      </c>
      <c r="F574" s="7">
        <f t="shared" si="17"/>
        <v>327184</v>
      </c>
      <c r="G574" s="7"/>
    </row>
    <row r="575" spans="1:7" x14ac:dyDescent="0.35">
      <c r="A575" t="str">
        <f>"2007-04-27"</f>
        <v>2007-04-27</v>
      </c>
      <c r="B575" t="str">
        <f>"40.0403"</f>
        <v>40.0403</v>
      </c>
      <c r="C575">
        <v>573</v>
      </c>
      <c r="D575" s="7">
        <v>40.040300000000002</v>
      </c>
      <c r="E575" s="7">
        <f t="shared" si="16"/>
        <v>22943.091899999999</v>
      </c>
      <c r="F575" s="7">
        <f t="shared" si="17"/>
        <v>328329</v>
      </c>
      <c r="G575" s="7"/>
    </row>
    <row r="576" spans="1:7" x14ac:dyDescent="0.35">
      <c r="A576" t="str">
        <f>"2007-04-30"</f>
        <v>2007-04-30</v>
      </c>
      <c r="B576" t="str">
        <f>"33.8309"</f>
        <v>33.8309</v>
      </c>
      <c r="C576">
        <v>574</v>
      </c>
      <c r="D576" s="7">
        <v>33.8309</v>
      </c>
      <c r="E576" s="7">
        <f t="shared" si="16"/>
        <v>19418.936600000001</v>
      </c>
      <c r="F576" s="7">
        <f t="shared" si="17"/>
        <v>329476</v>
      </c>
      <c r="G576" s="7"/>
    </row>
    <row r="577" spans="1:7" x14ac:dyDescent="0.35">
      <c r="A577" t="str">
        <f>"2007-05-02"</f>
        <v>2007-05-02</v>
      </c>
      <c r="B577" t="str">
        <f>"37.1278"</f>
        <v>37.1278</v>
      </c>
      <c r="C577">
        <v>575</v>
      </c>
      <c r="D577" s="7">
        <v>37.127800000000001</v>
      </c>
      <c r="E577" s="7">
        <f t="shared" si="16"/>
        <v>21348.485000000001</v>
      </c>
      <c r="F577" s="7">
        <f t="shared" si="17"/>
        <v>330625</v>
      </c>
      <c r="G577" s="7"/>
    </row>
    <row r="578" spans="1:7" x14ac:dyDescent="0.35">
      <c r="A578" t="str">
        <f>"2007-05-03"</f>
        <v>2007-05-03</v>
      </c>
      <c r="B578" t="str">
        <f>"36.9449"</f>
        <v>36.9449</v>
      </c>
      <c r="C578">
        <v>576</v>
      </c>
      <c r="D578" s="7">
        <v>36.944899999999997</v>
      </c>
      <c r="E578" s="7">
        <f t="shared" si="16"/>
        <v>21280.2624</v>
      </c>
      <c r="F578" s="7">
        <f t="shared" si="17"/>
        <v>331776</v>
      </c>
      <c r="G578" s="7"/>
    </row>
    <row r="579" spans="1:7" x14ac:dyDescent="0.35">
      <c r="A579" t="str">
        <f>"2007-05-04"</f>
        <v>2007-05-04</v>
      </c>
      <c r="B579" t="str">
        <f>"36.8626"</f>
        <v>36.8626</v>
      </c>
      <c r="C579">
        <v>577</v>
      </c>
      <c r="D579" s="7">
        <v>36.8626</v>
      </c>
      <c r="E579" s="7">
        <f t="shared" si="16"/>
        <v>21269.7202</v>
      </c>
      <c r="F579" s="7">
        <f t="shared" si="17"/>
        <v>332929</v>
      </c>
      <c r="G579" s="7"/>
    </row>
    <row r="580" spans="1:7" x14ac:dyDescent="0.35">
      <c r="A580" t="str">
        <f>"2007-05-07"</f>
        <v>2007-05-07</v>
      </c>
      <c r="B580" t="str">
        <f>"37.0968"</f>
        <v>37.0968</v>
      </c>
      <c r="C580">
        <v>578</v>
      </c>
      <c r="D580" s="7">
        <v>37.096800000000002</v>
      </c>
      <c r="E580" s="7">
        <f t="shared" ref="E580:E643" si="18">C580*D580</f>
        <v>21441.950400000002</v>
      </c>
      <c r="F580" s="7">
        <f t="shared" ref="F580:F643" si="19">C580*C580</f>
        <v>334084</v>
      </c>
      <c r="G580" s="7"/>
    </row>
    <row r="581" spans="1:7" x14ac:dyDescent="0.35">
      <c r="A581" t="str">
        <f>"2007-05-08"</f>
        <v>2007-05-08</v>
      </c>
      <c r="B581" t="str">
        <f>"36.9622"</f>
        <v>36.9622</v>
      </c>
      <c r="C581">
        <v>579</v>
      </c>
      <c r="D581" s="7">
        <v>36.962200000000003</v>
      </c>
      <c r="E581" s="7">
        <f t="shared" si="18"/>
        <v>21401.113800000003</v>
      </c>
      <c r="F581" s="7">
        <f t="shared" si="19"/>
        <v>335241</v>
      </c>
      <c r="G581" s="7"/>
    </row>
    <row r="582" spans="1:7" x14ac:dyDescent="0.35">
      <c r="A582" t="str">
        <f>"2007-05-09"</f>
        <v>2007-05-09</v>
      </c>
      <c r="B582" t="str">
        <f>"36.8291"</f>
        <v>36.8291</v>
      </c>
      <c r="C582">
        <v>580</v>
      </c>
      <c r="D582" s="7">
        <v>36.829099999999997</v>
      </c>
      <c r="E582" s="7">
        <f t="shared" si="18"/>
        <v>21360.877999999997</v>
      </c>
      <c r="F582" s="7">
        <f t="shared" si="19"/>
        <v>336400</v>
      </c>
      <c r="G582" s="7"/>
    </row>
    <row r="583" spans="1:7" x14ac:dyDescent="0.35">
      <c r="A583" t="str">
        <f>"2007-05-10"</f>
        <v>2007-05-10</v>
      </c>
      <c r="B583" t="str">
        <f>"36.7314"</f>
        <v>36.7314</v>
      </c>
      <c r="C583">
        <v>581</v>
      </c>
      <c r="D583" s="7">
        <v>36.731400000000001</v>
      </c>
      <c r="E583" s="7">
        <f t="shared" si="18"/>
        <v>21340.9434</v>
      </c>
      <c r="F583" s="7">
        <f t="shared" si="19"/>
        <v>337561</v>
      </c>
      <c r="G583" s="7"/>
    </row>
    <row r="584" spans="1:7" x14ac:dyDescent="0.35">
      <c r="A584" t="str">
        <f>"2007-05-11"</f>
        <v>2007-05-11</v>
      </c>
      <c r="B584" t="str">
        <f>"37.2163"</f>
        <v>37.2163</v>
      </c>
      <c r="C584">
        <v>582</v>
      </c>
      <c r="D584" s="7">
        <v>37.216299999999997</v>
      </c>
      <c r="E584" s="7">
        <f t="shared" si="18"/>
        <v>21659.886599999998</v>
      </c>
      <c r="F584" s="7">
        <f t="shared" si="19"/>
        <v>338724</v>
      </c>
      <c r="G584" s="7"/>
    </row>
    <row r="585" spans="1:7" x14ac:dyDescent="0.35">
      <c r="A585" t="str">
        <f>"2007-05-14"</f>
        <v>2007-05-14</v>
      </c>
      <c r="B585" t="str">
        <f>"37.3191"</f>
        <v>37.3191</v>
      </c>
      <c r="C585">
        <v>583</v>
      </c>
      <c r="D585" s="7">
        <v>37.319099999999999</v>
      </c>
      <c r="E585" s="7">
        <f t="shared" si="18"/>
        <v>21757.0353</v>
      </c>
      <c r="F585" s="7">
        <f t="shared" si="19"/>
        <v>339889</v>
      </c>
      <c r="G585" s="7"/>
    </row>
    <row r="586" spans="1:7" x14ac:dyDescent="0.35">
      <c r="A586" t="str">
        <f>"2007-05-15"</f>
        <v>2007-05-15</v>
      </c>
      <c r="B586" t="str">
        <f>"38.4479"</f>
        <v>38.4479</v>
      </c>
      <c r="C586">
        <v>584</v>
      </c>
      <c r="D586" s="7">
        <v>38.447899999999997</v>
      </c>
      <c r="E586" s="7">
        <f t="shared" si="18"/>
        <v>22453.5736</v>
      </c>
      <c r="F586" s="7">
        <f t="shared" si="19"/>
        <v>341056</v>
      </c>
      <c r="G586" s="7"/>
    </row>
    <row r="587" spans="1:7" x14ac:dyDescent="0.35">
      <c r="A587" t="str">
        <f>"2007-05-16"</f>
        <v>2007-05-16</v>
      </c>
      <c r="B587" t="str">
        <f>"39.39"</f>
        <v>39.39</v>
      </c>
      <c r="C587">
        <v>585</v>
      </c>
      <c r="D587" s="7">
        <v>39.39</v>
      </c>
      <c r="E587" s="7">
        <f t="shared" si="18"/>
        <v>23043.15</v>
      </c>
      <c r="F587" s="7">
        <f t="shared" si="19"/>
        <v>342225</v>
      </c>
      <c r="G587" s="7"/>
    </row>
    <row r="588" spans="1:7" x14ac:dyDescent="0.35">
      <c r="A588" t="str">
        <f>"2007-05-17"</f>
        <v>2007-05-17</v>
      </c>
      <c r="B588" t="str">
        <f>"40.7689"</f>
        <v>40.7689</v>
      </c>
      <c r="C588">
        <v>586</v>
      </c>
      <c r="D588" s="7">
        <v>40.768900000000002</v>
      </c>
      <c r="E588" s="7">
        <f t="shared" si="18"/>
        <v>23890.575400000002</v>
      </c>
      <c r="F588" s="7">
        <f t="shared" si="19"/>
        <v>343396</v>
      </c>
      <c r="G588" s="7"/>
    </row>
    <row r="589" spans="1:7" x14ac:dyDescent="0.35">
      <c r="A589" t="str">
        <f>"2007-05-18"</f>
        <v>2007-05-18</v>
      </c>
      <c r="B589" t="str">
        <f>"40.2925"</f>
        <v>40.2925</v>
      </c>
      <c r="C589">
        <v>587</v>
      </c>
      <c r="D589" s="7">
        <v>40.292499999999997</v>
      </c>
      <c r="E589" s="7">
        <f t="shared" si="18"/>
        <v>23651.697499999998</v>
      </c>
      <c r="F589" s="7">
        <f t="shared" si="19"/>
        <v>344569</v>
      </c>
      <c r="G589" s="7"/>
    </row>
    <row r="590" spans="1:7" x14ac:dyDescent="0.35">
      <c r="A590" t="str">
        <f>"2007-05-21"</f>
        <v>2007-05-21</v>
      </c>
      <c r="B590" t="str">
        <f>"39.0041"</f>
        <v>39.0041</v>
      </c>
      <c r="C590">
        <v>588</v>
      </c>
      <c r="D590" s="7">
        <v>39.004100000000001</v>
      </c>
      <c r="E590" s="7">
        <f t="shared" si="18"/>
        <v>22934.410800000001</v>
      </c>
      <c r="F590" s="7">
        <f t="shared" si="19"/>
        <v>345744</v>
      </c>
      <c r="G590" s="7"/>
    </row>
    <row r="591" spans="1:7" x14ac:dyDescent="0.35">
      <c r="A591" t="str">
        <f>"2007-05-22"</f>
        <v>2007-05-22</v>
      </c>
      <c r="B591" t="str">
        <f>"39.0763"</f>
        <v>39.0763</v>
      </c>
      <c r="C591">
        <v>589</v>
      </c>
      <c r="D591" s="7">
        <v>39.076300000000003</v>
      </c>
      <c r="E591" s="7">
        <f t="shared" si="18"/>
        <v>23015.940700000003</v>
      </c>
      <c r="F591" s="7">
        <f t="shared" si="19"/>
        <v>346921</v>
      </c>
      <c r="G591" s="7"/>
    </row>
    <row r="592" spans="1:7" x14ac:dyDescent="0.35">
      <c r="A592" t="str">
        <f>"2007-05-23"</f>
        <v>2007-05-23</v>
      </c>
      <c r="B592" t="str">
        <f>"38.4877"</f>
        <v>38.4877</v>
      </c>
      <c r="C592">
        <v>590</v>
      </c>
      <c r="D592" s="7">
        <v>38.487699999999997</v>
      </c>
      <c r="E592" s="7">
        <f t="shared" si="18"/>
        <v>22707.742999999999</v>
      </c>
      <c r="F592" s="7">
        <f t="shared" si="19"/>
        <v>348100</v>
      </c>
      <c r="G592" s="7"/>
    </row>
    <row r="593" spans="1:7" x14ac:dyDescent="0.35">
      <c r="A593" t="str">
        <f>"2007-05-24"</f>
        <v>2007-05-24</v>
      </c>
      <c r="B593" t="str">
        <f>"38.3746"</f>
        <v>38.3746</v>
      </c>
      <c r="C593">
        <v>591</v>
      </c>
      <c r="D593" s="7">
        <v>38.374600000000001</v>
      </c>
      <c r="E593" s="7">
        <f t="shared" si="18"/>
        <v>22679.388600000002</v>
      </c>
      <c r="F593" s="7">
        <f t="shared" si="19"/>
        <v>349281</v>
      </c>
      <c r="G593" s="7"/>
    </row>
    <row r="594" spans="1:7" x14ac:dyDescent="0.35">
      <c r="A594" t="str">
        <f>"2007-05-25"</f>
        <v>2007-05-25</v>
      </c>
      <c r="B594" t="str">
        <f>"37.1758"</f>
        <v>37.1758</v>
      </c>
      <c r="C594">
        <v>592</v>
      </c>
      <c r="D594" s="7">
        <v>37.175800000000002</v>
      </c>
      <c r="E594" s="7">
        <f t="shared" si="18"/>
        <v>22008.0736</v>
      </c>
      <c r="F594" s="7">
        <f t="shared" si="19"/>
        <v>350464</v>
      </c>
      <c r="G594" s="7"/>
    </row>
    <row r="595" spans="1:7" x14ac:dyDescent="0.35">
      <c r="A595" t="str">
        <f>"2007-05-29"</f>
        <v>2007-05-29</v>
      </c>
      <c r="B595" t="str">
        <f>"38.027"</f>
        <v>38.027</v>
      </c>
      <c r="C595">
        <v>593</v>
      </c>
      <c r="D595" s="7">
        <v>38.027000000000001</v>
      </c>
      <c r="E595" s="7">
        <f t="shared" si="18"/>
        <v>22550.011000000002</v>
      </c>
      <c r="F595" s="7">
        <f t="shared" si="19"/>
        <v>351649</v>
      </c>
      <c r="G595" s="7"/>
    </row>
    <row r="596" spans="1:7" x14ac:dyDescent="0.35">
      <c r="A596" t="str">
        <f>"2007-05-30"</f>
        <v>2007-05-30</v>
      </c>
      <c r="B596" t="str">
        <f>"37.4164"</f>
        <v>37.4164</v>
      </c>
      <c r="C596">
        <v>594</v>
      </c>
      <c r="D596" s="7">
        <v>37.416400000000003</v>
      </c>
      <c r="E596" s="7">
        <f t="shared" si="18"/>
        <v>22225.341600000003</v>
      </c>
      <c r="F596" s="7">
        <f t="shared" si="19"/>
        <v>352836</v>
      </c>
      <c r="G596" s="7"/>
    </row>
    <row r="597" spans="1:7" x14ac:dyDescent="0.35">
      <c r="A597" t="str">
        <f>"2007-05-31"</f>
        <v>2007-05-31</v>
      </c>
      <c r="B597" t="str">
        <f>"38.0044"</f>
        <v>38.0044</v>
      </c>
      <c r="C597">
        <v>595</v>
      </c>
      <c r="D597" s="7">
        <v>38.004399999999997</v>
      </c>
      <c r="E597" s="7">
        <f t="shared" si="18"/>
        <v>22612.617999999999</v>
      </c>
      <c r="F597" s="7">
        <f t="shared" si="19"/>
        <v>354025</v>
      </c>
      <c r="G597" s="7"/>
    </row>
    <row r="598" spans="1:7" x14ac:dyDescent="0.35">
      <c r="A598" t="str">
        <f>"2007-06-01"</f>
        <v>2007-06-01</v>
      </c>
      <c r="B598" t="str">
        <f>"38.1076"</f>
        <v>38.1076</v>
      </c>
      <c r="C598">
        <v>596</v>
      </c>
      <c r="D598" s="7">
        <v>38.107599999999998</v>
      </c>
      <c r="E598" s="7">
        <f t="shared" si="18"/>
        <v>22712.1296</v>
      </c>
      <c r="F598" s="7">
        <f t="shared" si="19"/>
        <v>355216</v>
      </c>
      <c r="G598" s="7"/>
    </row>
    <row r="599" spans="1:7" x14ac:dyDescent="0.35">
      <c r="A599" t="str">
        <f>"2007-06-04"</f>
        <v>2007-06-04</v>
      </c>
      <c r="B599" t="str">
        <f>"39.2433"</f>
        <v>39.2433</v>
      </c>
      <c r="C599">
        <v>597</v>
      </c>
      <c r="D599" s="7">
        <v>39.243299999999998</v>
      </c>
      <c r="E599" s="7">
        <f t="shared" si="18"/>
        <v>23428.250099999997</v>
      </c>
      <c r="F599" s="7">
        <f t="shared" si="19"/>
        <v>356409</v>
      </c>
      <c r="G599" s="7"/>
    </row>
    <row r="600" spans="1:7" x14ac:dyDescent="0.35">
      <c r="A600" t="str">
        <f>"2007-06-05"</f>
        <v>2007-06-05</v>
      </c>
      <c r="B600" t="str">
        <f>"39.2385"</f>
        <v>39.2385</v>
      </c>
      <c r="C600">
        <v>598</v>
      </c>
      <c r="D600" s="7">
        <v>39.238500000000002</v>
      </c>
      <c r="E600" s="7">
        <f t="shared" si="18"/>
        <v>23464.623</v>
      </c>
      <c r="F600" s="7">
        <f t="shared" si="19"/>
        <v>357604</v>
      </c>
      <c r="G600" s="7"/>
    </row>
    <row r="601" spans="1:7" x14ac:dyDescent="0.35">
      <c r="A601" t="str">
        <f>"2007-06-06"</f>
        <v>2007-06-06</v>
      </c>
      <c r="B601" t="str">
        <f>"37.99"</f>
        <v>37.99</v>
      </c>
      <c r="C601">
        <v>599</v>
      </c>
      <c r="D601" s="7">
        <v>37.99</v>
      </c>
      <c r="E601" s="7">
        <f t="shared" si="18"/>
        <v>22756.010000000002</v>
      </c>
      <c r="F601" s="7">
        <f t="shared" si="19"/>
        <v>358801</v>
      </c>
      <c r="G601" s="7"/>
    </row>
    <row r="602" spans="1:7" x14ac:dyDescent="0.35">
      <c r="A602" t="str">
        <f>"2007-06-07"</f>
        <v>2007-06-07</v>
      </c>
      <c r="B602" t="str">
        <f>"37.2313"</f>
        <v>37.2313</v>
      </c>
      <c r="C602">
        <v>600</v>
      </c>
      <c r="D602" s="7">
        <v>37.231299999999997</v>
      </c>
      <c r="E602" s="7">
        <f t="shared" si="18"/>
        <v>22338.78</v>
      </c>
      <c r="F602" s="7">
        <f t="shared" si="19"/>
        <v>360000</v>
      </c>
      <c r="G602" s="7"/>
    </row>
    <row r="603" spans="1:7" x14ac:dyDescent="0.35">
      <c r="A603" t="str">
        <f>"2007-06-08"</f>
        <v>2007-06-08</v>
      </c>
      <c r="B603" t="str">
        <f>"36.5279"</f>
        <v>36.5279</v>
      </c>
      <c r="C603">
        <v>601</v>
      </c>
      <c r="D603" s="7">
        <v>36.527900000000002</v>
      </c>
      <c r="E603" s="7">
        <f t="shared" si="18"/>
        <v>21953.267900000003</v>
      </c>
      <c r="F603" s="7">
        <f t="shared" si="19"/>
        <v>361201</v>
      </c>
      <c r="G603" s="7"/>
    </row>
    <row r="604" spans="1:7" x14ac:dyDescent="0.35">
      <c r="A604" t="str">
        <f>"2007-06-11"</f>
        <v>2007-06-11</v>
      </c>
      <c r="B604" t="str">
        <f>"37.4482"</f>
        <v>37.4482</v>
      </c>
      <c r="C604">
        <v>602</v>
      </c>
      <c r="D604" s="7">
        <v>37.4482</v>
      </c>
      <c r="E604" s="7">
        <f t="shared" si="18"/>
        <v>22543.8164</v>
      </c>
      <c r="F604" s="7">
        <f t="shared" si="19"/>
        <v>362404</v>
      </c>
      <c r="G604" s="7"/>
    </row>
    <row r="605" spans="1:7" x14ac:dyDescent="0.35">
      <c r="A605" t="str">
        <f>"2007-06-12"</f>
        <v>2007-06-12</v>
      </c>
      <c r="B605" t="str">
        <f>"37.8979"</f>
        <v>37.8979</v>
      </c>
      <c r="C605">
        <v>603</v>
      </c>
      <c r="D605" s="7">
        <v>37.8979</v>
      </c>
      <c r="E605" s="7">
        <f t="shared" si="18"/>
        <v>22852.433700000001</v>
      </c>
      <c r="F605" s="7">
        <f t="shared" si="19"/>
        <v>363609</v>
      </c>
      <c r="G605" s="7"/>
    </row>
    <row r="606" spans="1:7" x14ac:dyDescent="0.35">
      <c r="A606" t="str">
        <f>"2007-06-13"</f>
        <v>2007-06-13</v>
      </c>
      <c r="B606" t="str">
        <f>"37.9012"</f>
        <v>37.9012</v>
      </c>
      <c r="C606">
        <v>604</v>
      </c>
      <c r="D606" s="7">
        <v>37.901200000000003</v>
      </c>
      <c r="E606" s="7">
        <f t="shared" si="18"/>
        <v>22892.324800000002</v>
      </c>
      <c r="F606" s="7">
        <f t="shared" si="19"/>
        <v>364816</v>
      </c>
      <c r="G606" s="7"/>
    </row>
    <row r="607" spans="1:7" x14ac:dyDescent="0.35">
      <c r="A607" t="str">
        <f>"2007-06-14"</f>
        <v>2007-06-14</v>
      </c>
      <c r="B607" t="str">
        <f>"39.0072"</f>
        <v>39.0072</v>
      </c>
      <c r="C607">
        <v>605</v>
      </c>
      <c r="D607" s="7">
        <v>39.007199999999997</v>
      </c>
      <c r="E607" s="7">
        <f t="shared" si="18"/>
        <v>23599.356</v>
      </c>
      <c r="F607" s="7">
        <f t="shared" si="19"/>
        <v>366025</v>
      </c>
      <c r="G607" s="7"/>
    </row>
    <row r="608" spans="1:7" x14ac:dyDescent="0.35">
      <c r="A608" t="str">
        <f>"2007-06-15"</f>
        <v>2007-06-15</v>
      </c>
      <c r="B608" t="str">
        <f>"39.1702"</f>
        <v>39.1702</v>
      </c>
      <c r="C608">
        <v>606</v>
      </c>
      <c r="D608" s="7">
        <v>39.170200000000001</v>
      </c>
      <c r="E608" s="7">
        <f t="shared" si="18"/>
        <v>23737.141200000002</v>
      </c>
      <c r="F608" s="7">
        <f t="shared" si="19"/>
        <v>367236</v>
      </c>
      <c r="G608" s="7"/>
    </row>
    <row r="609" spans="1:7" x14ac:dyDescent="0.35">
      <c r="A609" t="str">
        <f>"2007-06-18"</f>
        <v>2007-06-18</v>
      </c>
      <c r="B609" t="str">
        <f>"39.8309"</f>
        <v>39.8309</v>
      </c>
      <c r="C609">
        <v>607</v>
      </c>
      <c r="D609" s="7">
        <v>39.8309</v>
      </c>
      <c r="E609" s="7">
        <f t="shared" si="18"/>
        <v>24177.356299999999</v>
      </c>
      <c r="F609" s="7">
        <f t="shared" si="19"/>
        <v>368449</v>
      </c>
      <c r="G609" s="7"/>
    </row>
    <row r="610" spans="1:7" x14ac:dyDescent="0.35">
      <c r="A610" t="str">
        <f>"2007-06-19"</f>
        <v>2007-06-19</v>
      </c>
      <c r="B610" t="str">
        <f>"39.859"</f>
        <v>39.859</v>
      </c>
      <c r="C610">
        <v>608</v>
      </c>
      <c r="D610" s="7">
        <v>39.859000000000002</v>
      </c>
      <c r="E610" s="7">
        <f t="shared" si="18"/>
        <v>24234.272000000001</v>
      </c>
      <c r="F610" s="7">
        <f t="shared" si="19"/>
        <v>369664</v>
      </c>
      <c r="G610" s="7"/>
    </row>
    <row r="611" spans="1:7" x14ac:dyDescent="0.35">
      <c r="A611" t="str">
        <f>"2007-06-20"</f>
        <v>2007-06-20</v>
      </c>
      <c r="B611" t="str">
        <f>"39.9218"</f>
        <v>39.9218</v>
      </c>
      <c r="C611">
        <v>609</v>
      </c>
      <c r="D611" s="7">
        <v>39.921799999999998</v>
      </c>
      <c r="E611" s="7">
        <f t="shared" si="18"/>
        <v>24312.376199999999</v>
      </c>
      <c r="F611" s="7">
        <f t="shared" si="19"/>
        <v>370881</v>
      </c>
      <c r="G611" s="7"/>
    </row>
    <row r="612" spans="1:7" x14ac:dyDescent="0.35">
      <c r="A612" t="str">
        <f>"2007-06-21"</f>
        <v>2007-06-21</v>
      </c>
      <c r="B612" t="str">
        <f>"40.6757"</f>
        <v>40.6757</v>
      </c>
      <c r="C612">
        <v>610</v>
      </c>
      <c r="D612" s="7">
        <v>40.675699999999999</v>
      </c>
      <c r="E612" s="7">
        <f t="shared" si="18"/>
        <v>24812.177</v>
      </c>
      <c r="F612" s="7">
        <f t="shared" si="19"/>
        <v>372100</v>
      </c>
      <c r="G612" s="7"/>
    </row>
    <row r="613" spans="1:7" x14ac:dyDescent="0.35">
      <c r="A613" t="str">
        <f>"2007-06-22"</f>
        <v>2007-06-22</v>
      </c>
      <c r="B613" t="str">
        <f>"41.1925"</f>
        <v>41.1925</v>
      </c>
      <c r="C613">
        <v>611</v>
      </c>
      <c r="D613" s="7">
        <v>41.192500000000003</v>
      </c>
      <c r="E613" s="7">
        <f t="shared" si="18"/>
        <v>25168.6175</v>
      </c>
      <c r="F613" s="7">
        <f t="shared" si="19"/>
        <v>373321</v>
      </c>
      <c r="G613" s="7"/>
    </row>
    <row r="614" spans="1:7" x14ac:dyDescent="0.35">
      <c r="A614" t="str">
        <f>"2007-06-25"</f>
        <v>2007-06-25</v>
      </c>
      <c r="B614" t="str">
        <f>"41.342"</f>
        <v>41.342</v>
      </c>
      <c r="C614">
        <v>612</v>
      </c>
      <c r="D614" s="7">
        <v>41.341999999999999</v>
      </c>
      <c r="E614" s="7">
        <f t="shared" si="18"/>
        <v>25301.304</v>
      </c>
      <c r="F614" s="7">
        <f t="shared" si="19"/>
        <v>374544</v>
      </c>
      <c r="G614" s="7"/>
    </row>
    <row r="615" spans="1:7" x14ac:dyDescent="0.35">
      <c r="A615" t="str">
        <f>"2007-06-26"</f>
        <v>2007-06-26</v>
      </c>
      <c r="B615" t="str">
        <f>"41.3239"</f>
        <v>41.3239</v>
      </c>
      <c r="C615">
        <v>613</v>
      </c>
      <c r="D615" s="7">
        <v>41.323900000000002</v>
      </c>
      <c r="E615" s="7">
        <f t="shared" si="18"/>
        <v>25331.5507</v>
      </c>
      <c r="F615" s="7">
        <f t="shared" si="19"/>
        <v>375769</v>
      </c>
      <c r="G615" s="7"/>
    </row>
    <row r="616" spans="1:7" x14ac:dyDescent="0.35">
      <c r="A616" t="str">
        <f>"2007-06-27"</f>
        <v>2007-06-27</v>
      </c>
      <c r="B616" t="str">
        <f>"41.0532"</f>
        <v>41.0532</v>
      </c>
      <c r="C616">
        <v>614</v>
      </c>
      <c r="D616" s="7">
        <v>41.053199999999997</v>
      </c>
      <c r="E616" s="7">
        <f t="shared" si="18"/>
        <v>25206.664799999999</v>
      </c>
      <c r="F616" s="7">
        <f t="shared" si="19"/>
        <v>376996</v>
      </c>
      <c r="G616" s="7"/>
    </row>
    <row r="617" spans="1:7" x14ac:dyDescent="0.35">
      <c r="A617" t="str">
        <f>"2007-06-28"</f>
        <v>2007-06-28</v>
      </c>
      <c r="B617" t="str">
        <f>"43.0606"</f>
        <v>43.0606</v>
      </c>
      <c r="C617">
        <v>615</v>
      </c>
      <c r="D617" s="7">
        <v>43.060600000000001</v>
      </c>
      <c r="E617" s="7">
        <f t="shared" si="18"/>
        <v>26482.269</v>
      </c>
      <c r="F617" s="7">
        <f t="shared" si="19"/>
        <v>378225</v>
      </c>
      <c r="G617" s="7"/>
    </row>
    <row r="618" spans="1:7" x14ac:dyDescent="0.35">
      <c r="A618" t="str">
        <f>"2007-06-29"</f>
        <v>2007-06-29</v>
      </c>
      <c r="B618" t="str">
        <f>"42.5638"</f>
        <v>42.5638</v>
      </c>
      <c r="C618">
        <v>616</v>
      </c>
      <c r="D618" s="7">
        <v>42.563800000000001</v>
      </c>
      <c r="E618" s="7">
        <f t="shared" si="18"/>
        <v>26219.300800000001</v>
      </c>
      <c r="F618" s="7">
        <f t="shared" si="19"/>
        <v>379456</v>
      </c>
      <c r="G618" s="7"/>
    </row>
    <row r="619" spans="1:7" x14ac:dyDescent="0.35">
      <c r="A619" t="str">
        <f>"2007-07-02"</f>
        <v>2007-07-02</v>
      </c>
      <c r="B619" t="str">
        <f>"45.3904"</f>
        <v>45.3904</v>
      </c>
      <c r="C619">
        <v>617</v>
      </c>
      <c r="D619" s="7">
        <v>45.3904</v>
      </c>
      <c r="E619" s="7">
        <f t="shared" si="18"/>
        <v>28005.876799999998</v>
      </c>
      <c r="F619" s="7">
        <f t="shared" si="19"/>
        <v>380689</v>
      </c>
      <c r="G619" s="7"/>
    </row>
    <row r="620" spans="1:7" x14ac:dyDescent="0.35">
      <c r="A620" t="str">
        <f>"2007-07-03"</f>
        <v>2007-07-03</v>
      </c>
      <c r="B620" t="str">
        <f>"47.1472"</f>
        <v>47.1472</v>
      </c>
      <c r="C620">
        <v>618</v>
      </c>
      <c r="D620" s="7">
        <v>47.147199999999998</v>
      </c>
      <c r="E620" s="7">
        <f t="shared" si="18"/>
        <v>29136.9696</v>
      </c>
      <c r="F620" s="7">
        <f t="shared" si="19"/>
        <v>381924</v>
      </c>
      <c r="G620" s="7"/>
    </row>
    <row r="621" spans="1:7" x14ac:dyDescent="0.35">
      <c r="A621" t="str">
        <f>"2007-07-05"</f>
        <v>2007-07-05</v>
      </c>
      <c r="B621" t="str">
        <f>"48.4897"</f>
        <v>48.4897</v>
      </c>
      <c r="C621">
        <v>619</v>
      </c>
      <c r="D621" s="7">
        <v>48.489699999999999</v>
      </c>
      <c r="E621" s="7">
        <f t="shared" si="18"/>
        <v>30015.124299999999</v>
      </c>
      <c r="F621" s="7">
        <f t="shared" si="19"/>
        <v>383161</v>
      </c>
      <c r="G621" s="7"/>
    </row>
    <row r="622" spans="1:7" x14ac:dyDescent="0.35">
      <c r="A622" t="str">
        <f>"2007-07-06"</f>
        <v>2007-07-06</v>
      </c>
      <c r="B622" t="str">
        <f>"47.5403"</f>
        <v>47.5403</v>
      </c>
      <c r="C622">
        <v>620</v>
      </c>
      <c r="D622" s="7">
        <v>47.540300000000002</v>
      </c>
      <c r="E622" s="7">
        <f t="shared" si="18"/>
        <v>29474.986000000001</v>
      </c>
      <c r="F622" s="7">
        <f t="shared" si="19"/>
        <v>384400</v>
      </c>
      <c r="G622" s="7"/>
    </row>
    <row r="623" spans="1:7" x14ac:dyDescent="0.35">
      <c r="A623" t="str">
        <f>"2007-07-09"</f>
        <v>2007-07-09</v>
      </c>
      <c r="B623" t="str">
        <f>"47.6743"</f>
        <v>47.6743</v>
      </c>
      <c r="C623">
        <v>621</v>
      </c>
      <c r="D623" s="7">
        <v>47.674300000000002</v>
      </c>
      <c r="E623" s="7">
        <f t="shared" si="18"/>
        <v>29605.740300000001</v>
      </c>
      <c r="F623" s="7">
        <f t="shared" si="19"/>
        <v>385641</v>
      </c>
      <c r="G623" s="7"/>
    </row>
    <row r="624" spans="1:7" x14ac:dyDescent="0.35">
      <c r="A624" t="str">
        <f>"2007-07-10"</f>
        <v>2007-07-10</v>
      </c>
      <c r="B624" t="str">
        <f>"46.9285"</f>
        <v>46.9285</v>
      </c>
      <c r="C624">
        <v>622</v>
      </c>
      <c r="D624" s="7">
        <v>46.9285</v>
      </c>
      <c r="E624" s="7">
        <f t="shared" si="18"/>
        <v>29189.526999999998</v>
      </c>
      <c r="F624" s="7">
        <f t="shared" si="19"/>
        <v>386884</v>
      </c>
      <c r="G624" s="7"/>
    </row>
    <row r="625" spans="1:7" x14ac:dyDescent="0.35">
      <c r="A625" t="str">
        <f>"2007-07-11"</f>
        <v>2007-07-11</v>
      </c>
      <c r="B625" t="str">
        <f>"46.0199"</f>
        <v>46.0199</v>
      </c>
      <c r="C625">
        <v>623</v>
      </c>
      <c r="D625" s="7">
        <v>46.0199</v>
      </c>
      <c r="E625" s="7">
        <f t="shared" si="18"/>
        <v>28670.397700000001</v>
      </c>
      <c r="F625" s="7">
        <f t="shared" si="19"/>
        <v>388129</v>
      </c>
      <c r="G625" s="7"/>
    </row>
    <row r="626" spans="1:7" x14ac:dyDescent="0.35">
      <c r="A626" t="str">
        <f>"2007-07-12"</f>
        <v>2007-07-12</v>
      </c>
      <c r="B626" t="str">
        <f>"46.5453"</f>
        <v>46.5453</v>
      </c>
      <c r="C626">
        <v>624</v>
      </c>
      <c r="D626" s="7">
        <v>46.545299999999997</v>
      </c>
      <c r="E626" s="7">
        <f t="shared" si="18"/>
        <v>29044.267199999998</v>
      </c>
      <c r="F626" s="7">
        <f t="shared" si="19"/>
        <v>389376</v>
      </c>
      <c r="G626" s="7"/>
    </row>
    <row r="627" spans="1:7" x14ac:dyDescent="0.35">
      <c r="A627" t="str">
        <f>"2007-07-13"</f>
        <v>2007-07-13</v>
      </c>
      <c r="B627" t="str">
        <f>"46.9294"</f>
        <v>46.9294</v>
      </c>
      <c r="C627">
        <v>625</v>
      </c>
      <c r="D627" s="7">
        <v>46.929400000000001</v>
      </c>
      <c r="E627" s="7">
        <f t="shared" si="18"/>
        <v>29330.875</v>
      </c>
      <c r="F627" s="7">
        <f t="shared" si="19"/>
        <v>390625</v>
      </c>
      <c r="G627" s="7"/>
    </row>
    <row r="628" spans="1:7" x14ac:dyDescent="0.35">
      <c r="A628" t="str">
        <f>"2007-07-16"</f>
        <v>2007-07-16</v>
      </c>
      <c r="B628" t="str">
        <f>"45.9426"</f>
        <v>45.9426</v>
      </c>
      <c r="C628">
        <v>626</v>
      </c>
      <c r="D628" s="7">
        <v>45.942599999999999</v>
      </c>
      <c r="E628" s="7">
        <f t="shared" si="18"/>
        <v>28760.067599999998</v>
      </c>
      <c r="F628" s="7">
        <f t="shared" si="19"/>
        <v>391876</v>
      </c>
      <c r="G628" s="7"/>
    </row>
    <row r="629" spans="1:7" x14ac:dyDescent="0.35">
      <c r="A629" t="str">
        <f>"2007-07-17"</f>
        <v>2007-07-17</v>
      </c>
      <c r="B629" t="str">
        <f>"46.1266"</f>
        <v>46.1266</v>
      </c>
      <c r="C629">
        <v>627</v>
      </c>
      <c r="D629" s="7">
        <v>46.126600000000003</v>
      </c>
      <c r="E629" s="7">
        <f t="shared" si="18"/>
        <v>28921.378200000003</v>
      </c>
      <c r="F629" s="7">
        <f t="shared" si="19"/>
        <v>393129</v>
      </c>
      <c r="G629" s="7"/>
    </row>
    <row r="630" spans="1:7" x14ac:dyDescent="0.35">
      <c r="A630" t="str">
        <f>"2007-07-18"</f>
        <v>2007-07-18</v>
      </c>
      <c r="B630" t="str">
        <f>"45.3166"</f>
        <v>45.3166</v>
      </c>
      <c r="C630">
        <v>628</v>
      </c>
      <c r="D630" s="7">
        <v>45.316600000000001</v>
      </c>
      <c r="E630" s="7">
        <f t="shared" si="18"/>
        <v>28458.824800000002</v>
      </c>
      <c r="F630" s="7">
        <f t="shared" si="19"/>
        <v>394384</v>
      </c>
      <c r="G630" s="7"/>
    </row>
    <row r="631" spans="1:7" x14ac:dyDescent="0.35">
      <c r="A631" t="str">
        <f>"2007-07-19"</f>
        <v>2007-07-19</v>
      </c>
      <c r="B631" t="str">
        <f>"45.8398"</f>
        <v>45.8398</v>
      </c>
      <c r="C631">
        <v>629</v>
      </c>
      <c r="D631" s="7">
        <v>45.839799999999997</v>
      </c>
      <c r="E631" s="7">
        <f t="shared" si="18"/>
        <v>28833.234199999999</v>
      </c>
      <c r="F631" s="7">
        <f t="shared" si="19"/>
        <v>395641</v>
      </c>
      <c r="G631" s="7"/>
    </row>
    <row r="632" spans="1:7" x14ac:dyDescent="0.35">
      <c r="A632" t="str">
        <f>"2007-07-20"</f>
        <v>2007-07-20</v>
      </c>
      <c r="B632" t="str">
        <f>"45.1162"</f>
        <v>45.1162</v>
      </c>
      <c r="C632">
        <v>630</v>
      </c>
      <c r="D632" s="7">
        <v>45.116199999999999</v>
      </c>
      <c r="E632" s="7">
        <f t="shared" si="18"/>
        <v>28423.205999999998</v>
      </c>
      <c r="F632" s="7">
        <f t="shared" si="19"/>
        <v>396900</v>
      </c>
      <c r="G632" s="7"/>
    </row>
    <row r="633" spans="1:7" x14ac:dyDescent="0.35">
      <c r="A633" t="str">
        <f>"2007-07-23"</f>
        <v>2007-07-23</v>
      </c>
      <c r="B633" t="str">
        <f>"49.0094"</f>
        <v>49.0094</v>
      </c>
      <c r="C633">
        <v>631</v>
      </c>
      <c r="D633" s="7">
        <v>49.009399999999999</v>
      </c>
      <c r="E633" s="7">
        <f t="shared" si="18"/>
        <v>30924.931400000001</v>
      </c>
      <c r="F633" s="7">
        <f t="shared" si="19"/>
        <v>398161</v>
      </c>
      <c r="G633" s="7"/>
    </row>
    <row r="634" spans="1:7" x14ac:dyDescent="0.35">
      <c r="A634" t="str">
        <f>"2007-07-24"</f>
        <v>2007-07-24</v>
      </c>
      <c r="B634" t="str">
        <f>"48.4342"</f>
        <v>48.4342</v>
      </c>
      <c r="C634">
        <v>632</v>
      </c>
      <c r="D634" s="7">
        <v>48.434199999999997</v>
      </c>
      <c r="E634" s="7">
        <f t="shared" si="18"/>
        <v>30610.414399999998</v>
      </c>
      <c r="F634" s="7">
        <f t="shared" si="19"/>
        <v>399424</v>
      </c>
      <c r="G634" s="7"/>
    </row>
    <row r="635" spans="1:7" x14ac:dyDescent="0.35">
      <c r="A635" t="str">
        <f>"2007-07-25"</f>
        <v>2007-07-25</v>
      </c>
      <c r="B635" t="str">
        <f>"47.01"</f>
        <v>47.01</v>
      </c>
      <c r="C635">
        <v>633</v>
      </c>
      <c r="D635" s="7">
        <v>47.01</v>
      </c>
      <c r="E635" s="7">
        <f t="shared" si="18"/>
        <v>29757.329999999998</v>
      </c>
      <c r="F635" s="7">
        <f t="shared" si="19"/>
        <v>400689</v>
      </c>
      <c r="G635" s="7"/>
    </row>
    <row r="636" spans="1:7" x14ac:dyDescent="0.35">
      <c r="A636" t="str">
        <f>"2007-07-26"</f>
        <v>2007-07-26</v>
      </c>
      <c r="B636" t="str">
        <f>"44.9176"</f>
        <v>44.9176</v>
      </c>
      <c r="C636">
        <v>634</v>
      </c>
      <c r="D636" s="7">
        <v>44.9176</v>
      </c>
      <c r="E636" s="7">
        <f t="shared" si="18"/>
        <v>28477.758399999999</v>
      </c>
      <c r="F636" s="7">
        <f t="shared" si="19"/>
        <v>401956</v>
      </c>
      <c r="G636" s="7"/>
    </row>
    <row r="637" spans="1:7" x14ac:dyDescent="0.35">
      <c r="A637" t="str">
        <f>"2007-07-27"</f>
        <v>2007-07-27</v>
      </c>
      <c r="B637" t="str">
        <f>"43.7277"</f>
        <v>43.7277</v>
      </c>
      <c r="C637">
        <v>635</v>
      </c>
      <c r="D637" s="7">
        <v>43.727699999999999</v>
      </c>
      <c r="E637" s="7">
        <f t="shared" si="18"/>
        <v>27767.089499999998</v>
      </c>
      <c r="F637" s="7">
        <f t="shared" si="19"/>
        <v>403225</v>
      </c>
      <c r="G637" s="7"/>
    </row>
    <row r="638" spans="1:7" x14ac:dyDescent="0.35">
      <c r="A638" t="str">
        <f>"2007-07-30"</f>
        <v>2007-07-30</v>
      </c>
      <c r="B638" t="str">
        <f>"43.0133"</f>
        <v>43.0133</v>
      </c>
      <c r="C638">
        <v>636</v>
      </c>
      <c r="D638" s="7">
        <v>43.013300000000001</v>
      </c>
      <c r="E638" s="7">
        <f t="shared" si="18"/>
        <v>27356.4588</v>
      </c>
      <c r="F638" s="7">
        <f t="shared" si="19"/>
        <v>404496</v>
      </c>
      <c r="G638" s="7"/>
    </row>
    <row r="639" spans="1:7" x14ac:dyDescent="0.35">
      <c r="A639" t="str">
        <f>"2007-07-31"</f>
        <v>2007-07-31</v>
      </c>
      <c r="B639" t="str">
        <f>"44.0561"</f>
        <v>44.0561</v>
      </c>
      <c r="C639">
        <v>637</v>
      </c>
      <c r="D639" s="7">
        <v>44.056100000000001</v>
      </c>
      <c r="E639" s="7">
        <f t="shared" si="18"/>
        <v>28063.735700000001</v>
      </c>
      <c r="F639" s="7">
        <f t="shared" si="19"/>
        <v>405769</v>
      </c>
      <c r="G639" s="7"/>
    </row>
    <row r="640" spans="1:7" x14ac:dyDescent="0.35">
      <c r="A640" t="str">
        <f>"2007-08-01"</f>
        <v>2007-08-01</v>
      </c>
      <c r="B640" t="str">
        <f>"43.451"</f>
        <v>43.451</v>
      </c>
      <c r="C640">
        <v>638</v>
      </c>
      <c r="D640" s="7">
        <v>43.451000000000001</v>
      </c>
      <c r="E640" s="7">
        <f t="shared" si="18"/>
        <v>27721.738000000001</v>
      </c>
      <c r="F640" s="7">
        <f t="shared" si="19"/>
        <v>407044</v>
      </c>
      <c r="G640" s="7"/>
    </row>
    <row r="641" spans="1:7" x14ac:dyDescent="0.35">
      <c r="A641" t="str">
        <f>"2007-08-02"</f>
        <v>2007-08-02</v>
      </c>
      <c r="B641" t="str">
        <f>"43.6608"</f>
        <v>43.6608</v>
      </c>
      <c r="C641">
        <v>639</v>
      </c>
      <c r="D641" s="7">
        <v>43.660800000000002</v>
      </c>
      <c r="E641" s="7">
        <f t="shared" si="18"/>
        <v>27899.251200000002</v>
      </c>
      <c r="F641" s="7">
        <f t="shared" si="19"/>
        <v>408321</v>
      </c>
      <c r="G641" s="7"/>
    </row>
    <row r="642" spans="1:7" x14ac:dyDescent="0.35">
      <c r="A642" t="str">
        <f>"2007-08-03"</f>
        <v>2007-08-03</v>
      </c>
      <c r="B642" t="str">
        <f>"42.8993"</f>
        <v>42.8993</v>
      </c>
      <c r="C642">
        <v>640</v>
      </c>
      <c r="D642" s="7">
        <v>42.899299999999997</v>
      </c>
      <c r="E642" s="7">
        <f t="shared" si="18"/>
        <v>27455.551999999996</v>
      </c>
      <c r="F642" s="7">
        <f t="shared" si="19"/>
        <v>409600</v>
      </c>
      <c r="G642" s="7"/>
    </row>
    <row r="643" spans="1:7" x14ac:dyDescent="0.35">
      <c r="A643" t="str">
        <f>"2007-08-06"</f>
        <v>2007-08-06</v>
      </c>
      <c r="B643" t="str">
        <f>"42.7601"</f>
        <v>42.7601</v>
      </c>
      <c r="C643">
        <v>641</v>
      </c>
      <c r="D643" s="7">
        <v>42.760100000000001</v>
      </c>
      <c r="E643" s="7">
        <f t="shared" si="18"/>
        <v>27409.224099999999</v>
      </c>
      <c r="F643" s="7">
        <f t="shared" si="19"/>
        <v>410881</v>
      </c>
      <c r="G643" s="7"/>
    </row>
    <row r="644" spans="1:7" x14ac:dyDescent="0.35">
      <c r="A644" t="str">
        <f>"2007-08-07"</f>
        <v>2007-08-07</v>
      </c>
      <c r="B644" t="str">
        <f>"44.0163"</f>
        <v>44.0163</v>
      </c>
      <c r="C644">
        <v>642</v>
      </c>
      <c r="D644" s="7">
        <v>44.016300000000001</v>
      </c>
      <c r="E644" s="7">
        <f t="shared" ref="E644:E707" si="20">C644*D644</f>
        <v>28258.464599999999</v>
      </c>
      <c r="F644" s="7">
        <f t="shared" ref="F644:F707" si="21">C644*C644</f>
        <v>412164</v>
      </c>
      <c r="G644" s="7"/>
    </row>
    <row r="645" spans="1:7" x14ac:dyDescent="0.35">
      <c r="A645" t="str">
        <f>"2007-08-08"</f>
        <v>2007-08-08</v>
      </c>
      <c r="B645" t="str">
        <f>"44.4587"</f>
        <v>44.4587</v>
      </c>
      <c r="C645">
        <v>643</v>
      </c>
      <c r="D645" s="7">
        <v>44.4587</v>
      </c>
      <c r="E645" s="7">
        <f t="shared" si="20"/>
        <v>28586.944100000001</v>
      </c>
      <c r="F645" s="7">
        <f t="shared" si="21"/>
        <v>413449</v>
      </c>
      <c r="G645" s="7"/>
    </row>
    <row r="646" spans="1:7" x14ac:dyDescent="0.35">
      <c r="A646" t="str">
        <f>"2007-08-09"</f>
        <v>2007-08-09</v>
      </c>
      <c r="B646" t="str">
        <f>"43.0808"</f>
        <v>43.0808</v>
      </c>
      <c r="C646">
        <v>644</v>
      </c>
      <c r="D646" s="7">
        <v>43.080800000000004</v>
      </c>
      <c r="E646" s="7">
        <f t="shared" si="20"/>
        <v>27744.035200000002</v>
      </c>
      <c r="F646" s="7">
        <f t="shared" si="21"/>
        <v>414736</v>
      </c>
      <c r="G646" s="7"/>
    </row>
    <row r="647" spans="1:7" x14ac:dyDescent="0.35">
      <c r="A647" t="str">
        <f>"2007-08-10"</f>
        <v>2007-08-10</v>
      </c>
      <c r="B647" t="str">
        <f>"39.7515"</f>
        <v>39.7515</v>
      </c>
      <c r="C647">
        <v>645</v>
      </c>
      <c r="D647" s="7">
        <v>39.7515</v>
      </c>
      <c r="E647" s="7">
        <f t="shared" si="20"/>
        <v>25639.717499999999</v>
      </c>
      <c r="F647" s="7">
        <f t="shared" si="21"/>
        <v>416025</v>
      </c>
      <c r="G647" s="7"/>
    </row>
    <row r="648" spans="1:7" x14ac:dyDescent="0.35">
      <c r="A648" t="str">
        <f>"2007-08-13"</f>
        <v>2007-08-13</v>
      </c>
      <c r="B648" t="str">
        <f>"39.1202"</f>
        <v>39.1202</v>
      </c>
      <c r="C648">
        <v>646</v>
      </c>
      <c r="D648" s="7">
        <v>39.120199999999997</v>
      </c>
      <c r="E648" s="7">
        <f t="shared" si="20"/>
        <v>25271.6492</v>
      </c>
      <c r="F648" s="7">
        <f t="shared" si="21"/>
        <v>417316</v>
      </c>
      <c r="G648" s="7"/>
    </row>
    <row r="649" spans="1:7" x14ac:dyDescent="0.35">
      <c r="A649" t="str">
        <f>"2007-08-14"</f>
        <v>2007-08-14</v>
      </c>
      <c r="B649" t="str">
        <f>"39.7702"</f>
        <v>39.7702</v>
      </c>
      <c r="C649">
        <v>647</v>
      </c>
      <c r="D649" s="7">
        <v>39.770200000000003</v>
      </c>
      <c r="E649" s="7">
        <f t="shared" si="20"/>
        <v>25731.3194</v>
      </c>
      <c r="F649" s="7">
        <f t="shared" si="21"/>
        <v>418609</v>
      </c>
      <c r="G649" s="7"/>
    </row>
    <row r="650" spans="1:7" x14ac:dyDescent="0.35">
      <c r="A650" t="str">
        <f>"2007-08-15"</f>
        <v>2007-08-15</v>
      </c>
      <c r="B650" t="str">
        <f>"37.6791"</f>
        <v>37.6791</v>
      </c>
      <c r="C650">
        <v>648</v>
      </c>
      <c r="D650" s="7">
        <v>37.679099999999998</v>
      </c>
      <c r="E650" s="7">
        <f t="shared" si="20"/>
        <v>24416.056799999998</v>
      </c>
      <c r="F650" s="7">
        <f t="shared" si="21"/>
        <v>419904</v>
      </c>
      <c r="G650" s="7"/>
    </row>
    <row r="651" spans="1:7" x14ac:dyDescent="0.35">
      <c r="A651" t="str">
        <f>"2007-08-16"</f>
        <v>2007-08-16</v>
      </c>
      <c r="B651" t="str">
        <f>"34.3669"</f>
        <v>34.3669</v>
      </c>
      <c r="C651">
        <v>649</v>
      </c>
      <c r="D651" s="7">
        <v>34.366900000000001</v>
      </c>
      <c r="E651" s="7">
        <f t="shared" si="20"/>
        <v>22304.1181</v>
      </c>
      <c r="F651" s="7">
        <f t="shared" si="21"/>
        <v>421201</v>
      </c>
      <c r="G651" s="7"/>
    </row>
    <row r="652" spans="1:7" x14ac:dyDescent="0.35">
      <c r="A652" t="str">
        <f>"2007-08-17"</f>
        <v>2007-08-17</v>
      </c>
      <c r="B652" t="str">
        <f>"35.3186"</f>
        <v>35.3186</v>
      </c>
      <c r="C652">
        <v>650</v>
      </c>
      <c r="D652" s="7">
        <v>35.318600000000004</v>
      </c>
      <c r="E652" s="7">
        <f t="shared" si="20"/>
        <v>22957.090000000004</v>
      </c>
      <c r="F652" s="7">
        <f t="shared" si="21"/>
        <v>422500</v>
      </c>
      <c r="G652" s="7"/>
    </row>
    <row r="653" spans="1:7" x14ac:dyDescent="0.35">
      <c r="A653" t="str">
        <f>"2007-08-20"</f>
        <v>2007-08-20</v>
      </c>
      <c r="B653" t="str">
        <f>"36.9816"</f>
        <v>36.9816</v>
      </c>
      <c r="C653">
        <v>651</v>
      </c>
      <c r="D653" s="7">
        <v>36.9816</v>
      </c>
      <c r="E653" s="7">
        <f t="shared" si="20"/>
        <v>24075.0216</v>
      </c>
      <c r="F653" s="7">
        <f t="shared" si="21"/>
        <v>423801</v>
      </c>
      <c r="G653" s="7"/>
    </row>
    <row r="654" spans="1:7" x14ac:dyDescent="0.35">
      <c r="A654" t="str">
        <f>"2007-08-21"</f>
        <v>2007-08-21</v>
      </c>
      <c r="B654" t="str">
        <f>"37.0521"</f>
        <v>37.0521</v>
      </c>
      <c r="C654">
        <v>652</v>
      </c>
      <c r="D654" s="7">
        <v>37.052100000000003</v>
      </c>
      <c r="E654" s="7">
        <f t="shared" si="20"/>
        <v>24157.969200000003</v>
      </c>
      <c r="F654" s="7">
        <f t="shared" si="21"/>
        <v>425104</v>
      </c>
      <c r="G654" s="7"/>
    </row>
    <row r="655" spans="1:7" x14ac:dyDescent="0.35">
      <c r="A655" t="str">
        <f>"2007-08-22"</f>
        <v>2007-08-22</v>
      </c>
      <c r="B655" t="str">
        <f>"38.5912"</f>
        <v>38.5912</v>
      </c>
      <c r="C655">
        <v>653</v>
      </c>
      <c r="D655" s="7">
        <v>38.591200000000001</v>
      </c>
      <c r="E655" s="7">
        <f t="shared" si="20"/>
        <v>25200.053599999999</v>
      </c>
      <c r="F655" s="7">
        <f t="shared" si="21"/>
        <v>426409</v>
      </c>
      <c r="G655" s="7"/>
    </row>
    <row r="656" spans="1:7" x14ac:dyDescent="0.35">
      <c r="A656" t="str">
        <f>"2007-08-23"</f>
        <v>2007-08-23</v>
      </c>
      <c r="B656" t="str">
        <f>"39.7257"</f>
        <v>39.7257</v>
      </c>
      <c r="C656">
        <v>654</v>
      </c>
      <c r="D656" s="7">
        <v>39.725700000000003</v>
      </c>
      <c r="E656" s="7">
        <f t="shared" si="20"/>
        <v>25980.607800000002</v>
      </c>
      <c r="F656" s="7">
        <f t="shared" si="21"/>
        <v>427716</v>
      </c>
      <c r="G656" s="7"/>
    </row>
    <row r="657" spans="1:7" x14ac:dyDescent="0.35">
      <c r="A657" t="str">
        <f>"2007-08-24"</f>
        <v>2007-08-24</v>
      </c>
      <c r="B657" t="str">
        <f>"38.2792"</f>
        <v>38.2792</v>
      </c>
      <c r="C657">
        <v>655</v>
      </c>
      <c r="D657" s="7">
        <v>38.279200000000003</v>
      </c>
      <c r="E657" s="7">
        <f t="shared" si="20"/>
        <v>25072.876</v>
      </c>
      <c r="F657" s="7">
        <f t="shared" si="21"/>
        <v>429025</v>
      </c>
      <c r="G657" s="7"/>
    </row>
    <row r="658" spans="1:7" x14ac:dyDescent="0.35">
      <c r="A658" t="str">
        <f>"2007-08-27"</f>
        <v>2007-08-27</v>
      </c>
      <c r="B658" t="str">
        <f>"41.0921"</f>
        <v>41.0921</v>
      </c>
      <c r="C658">
        <v>656</v>
      </c>
      <c r="D658" s="7">
        <v>41.092100000000002</v>
      </c>
      <c r="E658" s="7">
        <f t="shared" si="20"/>
        <v>26956.417600000001</v>
      </c>
      <c r="F658" s="7">
        <f t="shared" si="21"/>
        <v>430336</v>
      </c>
      <c r="G658" s="7"/>
    </row>
    <row r="659" spans="1:7" x14ac:dyDescent="0.35">
      <c r="A659" t="str">
        <f>"2007-08-28"</f>
        <v>2007-08-28</v>
      </c>
      <c r="B659" t="str">
        <f>"39.499"</f>
        <v>39.499</v>
      </c>
      <c r="C659">
        <v>657</v>
      </c>
      <c r="D659" s="7">
        <v>39.499000000000002</v>
      </c>
      <c r="E659" s="7">
        <f t="shared" si="20"/>
        <v>25950.843000000001</v>
      </c>
      <c r="F659" s="7">
        <f t="shared" si="21"/>
        <v>431649</v>
      </c>
      <c r="G659" s="7"/>
    </row>
    <row r="660" spans="1:7" x14ac:dyDescent="0.35">
      <c r="A660" t="str">
        <f>"2007-08-29"</f>
        <v>2007-08-29</v>
      </c>
      <c r="B660" t="str">
        <f>"40.0208"</f>
        <v>40.0208</v>
      </c>
      <c r="C660">
        <v>658</v>
      </c>
      <c r="D660" s="7">
        <v>40.020800000000001</v>
      </c>
      <c r="E660" s="7">
        <f t="shared" si="20"/>
        <v>26333.686400000002</v>
      </c>
      <c r="F660" s="7">
        <f t="shared" si="21"/>
        <v>432964</v>
      </c>
      <c r="G660" s="7"/>
    </row>
    <row r="661" spans="1:7" x14ac:dyDescent="0.35">
      <c r="A661" t="str">
        <f>"2007-08-30"</f>
        <v>2007-08-30</v>
      </c>
      <c r="B661" t="str">
        <f>"40.5019"</f>
        <v>40.5019</v>
      </c>
      <c r="C661">
        <v>659</v>
      </c>
      <c r="D661" s="7">
        <v>40.501899999999999</v>
      </c>
      <c r="E661" s="7">
        <f t="shared" si="20"/>
        <v>26690.752099999998</v>
      </c>
      <c r="F661" s="7">
        <f t="shared" si="21"/>
        <v>434281</v>
      </c>
      <c r="G661" s="7"/>
    </row>
    <row r="662" spans="1:7" x14ac:dyDescent="0.35">
      <c r="A662" t="str">
        <f>"2007-08-31"</f>
        <v>2007-08-31</v>
      </c>
      <c r="B662" t="str">
        <f>"40.277"</f>
        <v>40.277</v>
      </c>
      <c r="C662">
        <v>660</v>
      </c>
      <c r="D662" s="7">
        <v>40.277000000000001</v>
      </c>
      <c r="E662" s="7">
        <f t="shared" si="20"/>
        <v>26582.82</v>
      </c>
      <c r="F662" s="7">
        <f t="shared" si="21"/>
        <v>435600</v>
      </c>
      <c r="G662" s="7"/>
    </row>
    <row r="663" spans="1:7" x14ac:dyDescent="0.35">
      <c r="A663" t="str">
        <f>"2007-09-04"</f>
        <v>2007-09-04</v>
      </c>
      <c r="B663" t="str">
        <f>"39.3796"</f>
        <v>39.3796</v>
      </c>
      <c r="C663">
        <v>661</v>
      </c>
      <c r="D663" s="7">
        <v>39.379600000000003</v>
      </c>
      <c r="E663" s="7">
        <f t="shared" si="20"/>
        <v>26029.915600000004</v>
      </c>
      <c r="F663" s="7">
        <f t="shared" si="21"/>
        <v>436921</v>
      </c>
      <c r="G663" s="7"/>
    </row>
    <row r="664" spans="1:7" x14ac:dyDescent="0.35">
      <c r="A664" t="str">
        <f>"2007-09-05"</f>
        <v>2007-09-05</v>
      </c>
      <c r="B664" t="str">
        <f>"38.7378"</f>
        <v>38.7378</v>
      </c>
      <c r="C664">
        <v>662</v>
      </c>
      <c r="D664" s="7">
        <v>38.7378</v>
      </c>
      <c r="E664" s="7">
        <f t="shared" si="20"/>
        <v>25644.423599999998</v>
      </c>
      <c r="F664" s="7">
        <f t="shared" si="21"/>
        <v>438244</v>
      </c>
      <c r="G664" s="7"/>
    </row>
    <row r="665" spans="1:7" x14ac:dyDescent="0.35">
      <c r="A665" t="str">
        <f>"2007-09-06"</f>
        <v>2007-09-06</v>
      </c>
      <c r="B665" t="str">
        <f>"37.6569"</f>
        <v>37.6569</v>
      </c>
      <c r="C665">
        <v>663</v>
      </c>
      <c r="D665" s="7">
        <v>37.6569</v>
      </c>
      <c r="E665" s="7">
        <f t="shared" si="20"/>
        <v>24966.524700000002</v>
      </c>
      <c r="F665" s="7">
        <f t="shared" si="21"/>
        <v>439569</v>
      </c>
      <c r="G665" s="7"/>
    </row>
    <row r="666" spans="1:7" x14ac:dyDescent="0.35">
      <c r="A666" t="str">
        <f>"2007-09-07"</f>
        <v>2007-09-07</v>
      </c>
      <c r="B666" t="str">
        <f>"37.7984"</f>
        <v>37.7984</v>
      </c>
      <c r="C666">
        <v>664</v>
      </c>
      <c r="D666" s="7">
        <v>37.798400000000001</v>
      </c>
      <c r="E666" s="7">
        <f t="shared" si="20"/>
        <v>25098.137600000002</v>
      </c>
      <c r="F666" s="7">
        <f t="shared" si="21"/>
        <v>440896</v>
      </c>
      <c r="G666" s="7"/>
    </row>
    <row r="667" spans="1:7" x14ac:dyDescent="0.35">
      <c r="A667" t="str">
        <f>"2007-09-11"</f>
        <v>2007-09-11</v>
      </c>
      <c r="B667" t="str">
        <f>"37.3336"</f>
        <v>37.3336</v>
      </c>
      <c r="C667">
        <v>665</v>
      </c>
      <c r="D667" s="7">
        <v>37.333599999999997</v>
      </c>
      <c r="E667" s="7">
        <f t="shared" si="20"/>
        <v>24826.843999999997</v>
      </c>
      <c r="F667" s="7">
        <f t="shared" si="21"/>
        <v>442225</v>
      </c>
      <c r="G667" s="7"/>
    </row>
    <row r="668" spans="1:7" x14ac:dyDescent="0.35">
      <c r="A668" t="str">
        <f>"2007-09-12"</f>
        <v>2007-09-12</v>
      </c>
      <c r="B668" t="str">
        <f>"38.3646"</f>
        <v>38.3646</v>
      </c>
      <c r="C668">
        <v>666</v>
      </c>
      <c r="D668" s="7">
        <v>38.364600000000003</v>
      </c>
      <c r="E668" s="7">
        <f t="shared" si="20"/>
        <v>25550.823600000003</v>
      </c>
      <c r="F668" s="7">
        <f t="shared" si="21"/>
        <v>443556</v>
      </c>
      <c r="G668" s="7"/>
    </row>
    <row r="669" spans="1:7" x14ac:dyDescent="0.35">
      <c r="A669" t="str">
        <f>"2007-09-13"</f>
        <v>2007-09-13</v>
      </c>
      <c r="B669" t="str">
        <f>"39.6726"</f>
        <v>39.6726</v>
      </c>
      <c r="C669">
        <v>667</v>
      </c>
      <c r="D669" s="7">
        <v>39.672600000000003</v>
      </c>
      <c r="E669" s="7">
        <f t="shared" si="20"/>
        <v>26461.624200000002</v>
      </c>
      <c r="F669" s="7">
        <f t="shared" si="21"/>
        <v>444889</v>
      </c>
      <c r="G669" s="7"/>
    </row>
    <row r="670" spans="1:7" x14ac:dyDescent="0.35">
      <c r="A670" t="str">
        <f>"2007-09-14"</f>
        <v>2007-09-14</v>
      </c>
      <c r="B670" t="str">
        <f>"40.1678"</f>
        <v>40.1678</v>
      </c>
      <c r="C670">
        <v>668</v>
      </c>
      <c r="D670" s="7">
        <v>40.1678</v>
      </c>
      <c r="E670" s="7">
        <f t="shared" si="20"/>
        <v>26832.090400000001</v>
      </c>
      <c r="F670" s="7">
        <f t="shared" si="21"/>
        <v>446224</v>
      </c>
      <c r="G670" s="7"/>
    </row>
    <row r="671" spans="1:7" x14ac:dyDescent="0.35">
      <c r="A671" t="str">
        <f>"2007-09-17"</f>
        <v>2007-09-17</v>
      </c>
      <c r="B671" t="str">
        <f>"39.6223"</f>
        <v>39.6223</v>
      </c>
      <c r="C671">
        <v>669</v>
      </c>
      <c r="D671" s="7">
        <v>39.622300000000003</v>
      </c>
      <c r="E671" s="7">
        <f t="shared" si="20"/>
        <v>26507.318700000003</v>
      </c>
      <c r="F671" s="7">
        <f t="shared" si="21"/>
        <v>447561</v>
      </c>
      <c r="G671" s="7"/>
    </row>
    <row r="672" spans="1:7" x14ac:dyDescent="0.35">
      <c r="A672" t="str">
        <f>"2007-09-18"</f>
        <v>2007-09-18</v>
      </c>
      <c r="B672" t="str">
        <f>"39.1988"</f>
        <v>39.1988</v>
      </c>
      <c r="C672">
        <v>670</v>
      </c>
      <c r="D672" s="7">
        <v>39.198799999999999</v>
      </c>
      <c r="E672" s="7">
        <f t="shared" si="20"/>
        <v>26263.196</v>
      </c>
      <c r="F672" s="7">
        <f t="shared" si="21"/>
        <v>448900</v>
      </c>
      <c r="G672" s="7"/>
    </row>
    <row r="673" spans="1:7" x14ac:dyDescent="0.35">
      <c r="A673" t="str">
        <f>"2007-09-19"</f>
        <v>2007-09-19</v>
      </c>
      <c r="B673" t="str">
        <f>"40.1578"</f>
        <v>40.1578</v>
      </c>
      <c r="C673">
        <v>671</v>
      </c>
      <c r="D673" s="7">
        <v>40.157800000000002</v>
      </c>
      <c r="E673" s="7">
        <f t="shared" si="20"/>
        <v>26945.8838</v>
      </c>
      <c r="F673" s="7">
        <f t="shared" si="21"/>
        <v>450241</v>
      </c>
      <c r="G673" s="7"/>
    </row>
    <row r="674" spans="1:7" x14ac:dyDescent="0.35">
      <c r="A674" t="str">
        <f>"2007-09-20"</f>
        <v>2007-09-20</v>
      </c>
      <c r="B674" t="str">
        <f>"39.2827"</f>
        <v>39.2827</v>
      </c>
      <c r="C674">
        <v>672</v>
      </c>
      <c r="D674" s="7">
        <v>39.282699999999998</v>
      </c>
      <c r="E674" s="7">
        <f t="shared" si="20"/>
        <v>26397.974399999999</v>
      </c>
      <c r="F674" s="7">
        <f t="shared" si="21"/>
        <v>451584</v>
      </c>
      <c r="G674" s="7"/>
    </row>
    <row r="675" spans="1:7" x14ac:dyDescent="0.35">
      <c r="A675" t="str">
        <f>"2007-09-21"</f>
        <v>2007-09-21</v>
      </c>
      <c r="B675" t="str">
        <f>"39.8434"</f>
        <v>39.8434</v>
      </c>
      <c r="C675">
        <v>673</v>
      </c>
      <c r="D675" s="7">
        <v>39.843400000000003</v>
      </c>
      <c r="E675" s="7">
        <f t="shared" si="20"/>
        <v>26814.608200000002</v>
      </c>
      <c r="F675" s="7">
        <f t="shared" si="21"/>
        <v>452929</v>
      </c>
      <c r="G675" s="7"/>
    </row>
    <row r="676" spans="1:7" x14ac:dyDescent="0.35">
      <c r="A676" t="str">
        <f>"2007-09-24"</f>
        <v>2007-09-24</v>
      </c>
      <c r="B676" t="str">
        <f>"40.4388"</f>
        <v>40.4388</v>
      </c>
      <c r="C676">
        <v>674</v>
      </c>
      <c r="D676" s="7">
        <v>40.438800000000001</v>
      </c>
      <c r="E676" s="7">
        <f t="shared" si="20"/>
        <v>27255.751199999999</v>
      </c>
      <c r="F676" s="7">
        <f t="shared" si="21"/>
        <v>454276</v>
      </c>
      <c r="G676" s="7"/>
    </row>
    <row r="677" spans="1:7" x14ac:dyDescent="0.35">
      <c r="A677" t="str">
        <f>"2007-09-25"</f>
        <v>2007-09-25</v>
      </c>
      <c r="B677" t="str">
        <f>"40.5446"</f>
        <v>40.5446</v>
      </c>
      <c r="C677">
        <v>675</v>
      </c>
      <c r="D677" s="7">
        <v>40.544600000000003</v>
      </c>
      <c r="E677" s="7">
        <f t="shared" si="20"/>
        <v>27367.605000000003</v>
      </c>
      <c r="F677" s="7">
        <f t="shared" si="21"/>
        <v>455625</v>
      </c>
      <c r="G677" s="7"/>
    </row>
    <row r="678" spans="1:7" x14ac:dyDescent="0.35">
      <c r="A678" t="str">
        <f>"2007-09-26"</f>
        <v>2007-09-26</v>
      </c>
      <c r="B678" t="str">
        <f>"42.1764"</f>
        <v>42.1764</v>
      </c>
      <c r="C678">
        <v>676</v>
      </c>
      <c r="D678" s="7">
        <v>42.176400000000001</v>
      </c>
      <c r="E678" s="7">
        <f t="shared" si="20"/>
        <v>28511.2464</v>
      </c>
      <c r="F678" s="7">
        <f t="shared" si="21"/>
        <v>456976</v>
      </c>
      <c r="G678" s="7"/>
    </row>
    <row r="679" spans="1:7" x14ac:dyDescent="0.35">
      <c r="A679" t="str">
        <f>"2007-09-27"</f>
        <v>2007-09-27</v>
      </c>
      <c r="B679" t="str">
        <f>"42.0861"</f>
        <v>42.0861</v>
      </c>
      <c r="C679">
        <v>677</v>
      </c>
      <c r="D679" s="7">
        <v>42.086100000000002</v>
      </c>
      <c r="E679" s="7">
        <f t="shared" si="20"/>
        <v>28492.289700000001</v>
      </c>
      <c r="F679" s="7">
        <f t="shared" si="21"/>
        <v>458329</v>
      </c>
      <c r="G679" s="7"/>
    </row>
    <row r="680" spans="1:7" x14ac:dyDescent="0.35">
      <c r="A680" t="str">
        <f>"2007-09-28"</f>
        <v>2007-09-28</v>
      </c>
      <c r="B680" t="str">
        <f>"41.3069"</f>
        <v>41.3069</v>
      </c>
      <c r="C680">
        <v>678</v>
      </c>
      <c r="D680" s="7">
        <v>41.306899999999999</v>
      </c>
      <c r="E680" s="7">
        <f t="shared" si="20"/>
        <v>28006.0782</v>
      </c>
      <c r="F680" s="7">
        <f t="shared" si="21"/>
        <v>459684</v>
      </c>
      <c r="G680" s="7"/>
    </row>
    <row r="681" spans="1:7" x14ac:dyDescent="0.35">
      <c r="A681" t="str">
        <f>"2007-10-01"</f>
        <v>2007-10-01</v>
      </c>
      <c r="B681" t="str">
        <f>"40.907"</f>
        <v>40.907</v>
      </c>
      <c r="C681">
        <v>679</v>
      </c>
      <c r="D681" s="7">
        <v>40.906999999999996</v>
      </c>
      <c r="E681" s="7">
        <f t="shared" si="20"/>
        <v>27775.852999999999</v>
      </c>
      <c r="F681" s="7">
        <f t="shared" si="21"/>
        <v>461041</v>
      </c>
      <c r="G681" s="7"/>
    </row>
    <row r="682" spans="1:7" x14ac:dyDescent="0.35">
      <c r="A682" t="str">
        <f>"2007-10-02"</f>
        <v>2007-10-02</v>
      </c>
      <c r="B682" t="str">
        <f>"42.0357"</f>
        <v>42.0357</v>
      </c>
      <c r="C682">
        <v>680</v>
      </c>
      <c r="D682" s="7">
        <v>42.035699999999999</v>
      </c>
      <c r="E682" s="7">
        <f t="shared" si="20"/>
        <v>28584.275999999998</v>
      </c>
      <c r="F682" s="7">
        <f t="shared" si="21"/>
        <v>462400</v>
      </c>
      <c r="G682" s="7"/>
    </row>
    <row r="683" spans="1:7" x14ac:dyDescent="0.35">
      <c r="A683" t="str">
        <f>"2007-10-03"</f>
        <v>2007-10-03</v>
      </c>
      <c r="B683" t="str">
        <f>"41.3897"</f>
        <v>41.3897</v>
      </c>
      <c r="C683">
        <v>681</v>
      </c>
      <c r="D683" s="7">
        <v>41.389699999999998</v>
      </c>
      <c r="E683" s="7">
        <f t="shared" si="20"/>
        <v>28186.385699999999</v>
      </c>
      <c r="F683" s="7">
        <f t="shared" si="21"/>
        <v>463761</v>
      </c>
      <c r="G683" s="7"/>
    </row>
    <row r="684" spans="1:7" x14ac:dyDescent="0.35">
      <c r="A684" t="str">
        <f>"2007-10-04"</f>
        <v>2007-10-04</v>
      </c>
      <c r="B684" t="str">
        <f>"41.1973"</f>
        <v>41.1973</v>
      </c>
      <c r="C684">
        <v>682</v>
      </c>
      <c r="D684" s="7">
        <v>41.197299999999998</v>
      </c>
      <c r="E684" s="7">
        <f t="shared" si="20"/>
        <v>28096.5586</v>
      </c>
      <c r="F684" s="7">
        <f t="shared" si="21"/>
        <v>465124</v>
      </c>
      <c r="G684" s="7"/>
    </row>
    <row r="685" spans="1:7" x14ac:dyDescent="0.35">
      <c r="A685" t="str">
        <f>"2007-10-05"</f>
        <v>2007-10-05</v>
      </c>
      <c r="B685" t="str">
        <f>"42.198"</f>
        <v>42.198</v>
      </c>
      <c r="C685">
        <v>683</v>
      </c>
      <c r="D685" s="7">
        <v>42.198</v>
      </c>
      <c r="E685" s="7">
        <f t="shared" si="20"/>
        <v>28821.234</v>
      </c>
      <c r="F685" s="7">
        <f t="shared" si="21"/>
        <v>466489</v>
      </c>
      <c r="G685" s="7"/>
    </row>
    <row r="686" spans="1:7" x14ac:dyDescent="0.35">
      <c r="A686" t="str">
        <f>"2007-10-08"</f>
        <v>2007-10-08</v>
      </c>
      <c r="B686" t="str">
        <f>"43.1054"</f>
        <v>43.1054</v>
      </c>
      <c r="C686">
        <v>684</v>
      </c>
      <c r="D686" s="7">
        <v>43.105400000000003</v>
      </c>
      <c r="E686" s="7">
        <f t="shared" si="20"/>
        <v>29484.093600000004</v>
      </c>
      <c r="F686" s="7">
        <f t="shared" si="21"/>
        <v>467856</v>
      </c>
      <c r="G686" s="7"/>
    </row>
    <row r="687" spans="1:7" x14ac:dyDescent="0.35">
      <c r="A687" t="str">
        <f>"2007-10-09"</f>
        <v>2007-10-09</v>
      </c>
      <c r="B687" t="str">
        <f>"42.4608"</f>
        <v>42.4608</v>
      </c>
      <c r="C687">
        <v>685</v>
      </c>
      <c r="D687" s="7">
        <v>42.460799999999999</v>
      </c>
      <c r="E687" s="7">
        <f t="shared" si="20"/>
        <v>29085.648000000001</v>
      </c>
      <c r="F687" s="7">
        <f t="shared" si="21"/>
        <v>469225</v>
      </c>
      <c r="G687" s="7"/>
    </row>
    <row r="688" spans="1:7" x14ac:dyDescent="0.35">
      <c r="A688" t="str">
        <f>"2007-10-10"</f>
        <v>2007-10-10</v>
      </c>
      <c r="B688" t="str">
        <f>"43.3768"</f>
        <v>43.3768</v>
      </c>
      <c r="C688">
        <v>686</v>
      </c>
      <c r="D688" s="7">
        <v>43.376800000000003</v>
      </c>
      <c r="E688" s="7">
        <f t="shared" si="20"/>
        <v>29756.484800000002</v>
      </c>
      <c r="F688" s="7">
        <f t="shared" si="21"/>
        <v>470596</v>
      </c>
      <c r="G688" s="7"/>
    </row>
    <row r="689" spans="1:7" x14ac:dyDescent="0.35">
      <c r="A689" t="str">
        <f>"2007-10-11"</f>
        <v>2007-10-11</v>
      </c>
      <c r="B689" t="str">
        <f>"42.5321"</f>
        <v>42.5321</v>
      </c>
      <c r="C689">
        <v>687</v>
      </c>
      <c r="D689" s="7">
        <v>42.5321</v>
      </c>
      <c r="E689" s="7">
        <f t="shared" si="20"/>
        <v>29219.5527</v>
      </c>
      <c r="F689" s="7">
        <f t="shared" si="21"/>
        <v>471969</v>
      </c>
      <c r="G689" s="7"/>
    </row>
    <row r="690" spans="1:7" x14ac:dyDescent="0.35">
      <c r="A690" t="str">
        <f>"2007-10-12"</f>
        <v>2007-10-12</v>
      </c>
      <c r="B690" t="str">
        <f>"42.802"</f>
        <v>42.802</v>
      </c>
      <c r="C690">
        <v>688</v>
      </c>
      <c r="D690" s="7">
        <v>42.802</v>
      </c>
      <c r="E690" s="7">
        <f t="shared" si="20"/>
        <v>29447.775999999998</v>
      </c>
      <c r="F690" s="7">
        <f t="shared" si="21"/>
        <v>473344</v>
      </c>
      <c r="G690" s="7"/>
    </row>
    <row r="691" spans="1:7" x14ac:dyDescent="0.35">
      <c r="A691" t="str">
        <f>"2007-10-17"</f>
        <v>2007-10-17</v>
      </c>
      <c r="B691" t="str">
        <f>"39.5507"</f>
        <v>39.5507</v>
      </c>
      <c r="C691">
        <v>689</v>
      </c>
      <c r="D691" s="7">
        <v>39.550699999999999</v>
      </c>
      <c r="E691" s="7">
        <f t="shared" si="20"/>
        <v>27250.4323</v>
      </c>
      <c r="F691" s="7">
        <f t="shared" si="21"/>
        <v>474721</v>
      </c>
      <c r="G691" s="7"/>
    </row>
    <row r="692" spans="1:7" x14ac:dyDescent="0.35">
      <c r="A692" t="str">
        <f>"2007-10-18"</f>
        <v>2007-10-18</v>
      </c>
      <c r="B692" t="str">
        <f>"38.5466"</f>
        <v>38.5466</v>
      </c>
      <c r="C692">
        <v>690</v>
      </c>
      <c r="D692" s="7">
        <v>38.546599999999998</v>
      </c>
      <c r="E692" s="7">
        <f t="shared" si="20"/>
        <v>26597.153999999999</v>
      </c>
      <c r="F692" s="7">
        <f t="shared" si="21"/>
        <v>476100</v>
      </c>
      <c r="G692" s="7"/>
    </row>
    <row r="693" spans="1:7" x14ac:dyDescent="0.35">
      <c r="A693" t="str">
        <f>"2007-10-19"</f>
        <v>2007-10-19</v>
      </c>
      <c r="B693" t="str">
        <f>"37.5242"</f>
        <v>37.5242</v>
      </c>
      <c r="C693">
        <v>691</v>
      </c>
      <c r="D693" s="7">
        <v>37.5242</v>
      </c>
      <c r="E693" s="7">
        <f t="shared" si="20"/>
        <v>25929.2222</v>
      </c>
      <c r="F693" s="7">
        <f t="shared" si="21"/>
        <v>477481</v>
      </c>
      <c r="G693" s="7"/>
    </row>
    <row r="694" spans="1:7" x14ac:dyDescent="0.35">
      <c r="A694" t="str">
        <f>"2007-10-22"</f>
        <v>2007-10-22</v>
      </c>
      <c r="B694" t="str">
        <f>"34.2985"</f>
        <v>34.2985</v>
      </c>
      <c r="C694">
        <v>692</v>
      </c>
      <c r="D694" s="7">
        <v>34.298499999999997</v>
      </c>
      <c r="E694" s="7">
        <f t="shared" si="20"/>
        <v>23734.561999999998</v>
      </c>
      <c r="F694" s="7">
        <f t="shared" si="21"/>
        <v>478864</v>
      </c>
      <c r="G694" s="7"/>
    </row>
    <row r="695" spans="1:7" x14ac:dyDescent="0.35">
      <c r="A695" t="str">
        <f>"2007-10-23"</f>
        <v>2007-10-23</v>
      </c>
      <c r="B695" t="str">
        <f>"35.725"</f>
        <v>35.725</v>
      </c>
      <c r="C695">
        <v>693</v>
      </c>
      <c r="D695" s="7">
        <v>35.725000000000001</v>
      </c>
      <c r="E695" s="7">
        <f t="shared" si="20"/>
        <v>24757.424999999999</v>
      </c>
      <c r="F695" s="7">
        <f t="shared" si="21"/>
        <v>480249</v>
      </c>
      <c r="G695" s="7"/>
    </row>
    <row r="696" spans="1:7" x14ac:dyDescent="0.35">
      <c r="A696" t="str">
        <f>"2007-10-24"</f>
        <v>2007-10-24</v>
      </c>
      <c r="B696" t="str">
        <f>"36.3947"</f>
        <v>36.3947</v>
      </c>
      <c r="C696">
        <v>694</v>
      </c>
      <c r="D696" s="7">
        <v>36.3947</v>
      </c>
      <c r="E696" s="7">
        <f t="shared" si="20"/>
        <v>25257.9218</v>
      </c>
      <c r="F696" s="7">
        <f t="shared" si="21"/>
        <v>481636</v>
      </c>
      <c r="G696" s="7"/>
    </row>
    <row r="697" spans="1:7" x14ac:dyDescent="0.35">
      <c r="A697" t="str">
        <f>"2007-10-25"</f>
        <v>2007-10-25</v>
      </c>
      <c r="B697" t="str">
        <f>"36.9478"</f>
        <v>36.9478</v>
      </c>
      <c r="C697">
        <v>695</v>
      </c>
      <c r="D697" s="7">
        <v>36.947800000000001</v>
      </c>
      <c r="E697" s="7">
        <f t="shared" si="20"/>
        <v>25678.721000000001</v>
      </c>
      <c r="F697" s="7">
        <f t="shared" si="21"/>
        <v>483025</v>
      </c>
      <c r="G697" s="7"/>
    </row>
    <row r="698" spans="1:7" x14ac:dyDescent="0.35">
      <c r="A698" t="str">
        <f>"2007-10-26"</f>
        <v>2007-10-26</v>
      </c>
      <c r="B698" t="str">
        <f>"35.6568"</f>
        <v>35.6568</v>
      </c>
      <c r="C698">
        <v>696</v>
      </c>
      <c r="D698" s="7">
        <v>35.656799999999997</v>
      </c>
      <c r="E698" s="7">
        <f t="shared" si="20"/>
        <v>24817.132799999999</v>
      </c>
      <c r="F698" s="7">
        <f t="shared" si="21"/>
        <v>484416</v>
      </c>
      <c r="G698" s="7"/>
    </row>
    <row r="699" spans="1:7" x14ac:dyDescent="0.35">
      <c r="A699" t="str">
        <f>"2007-10-29"</f>
        <v>2007-10-29</v>
      </c>
      <c r="B699" t="str">
        <f>"35.5658"</f>
        <v>35.5658</v>
      </c>
      <c r="C699">
        <v>697</v>
      </c>
      <c r="D699" s="7">
        <v>35.565800000000003</v>
      </c>
      <c r="E699" s="7">
        <f t="shared" si="20"/>
        <v>24789.3626</v>
      </c>
      <c r="F699" s="7">
        <f t="shared" si="21"/>
        <v>485809</v>
      </c>
      <c r="G699" s="7"/>
    </row>
    <row r="700" spans="1:7" x14ac:dyDescent="0.35">
      <c r="A700" t="str">
        <f>"2007-10-30"</f>
        <v>2007-10-30</v>
      </c>
      <c r="B700" t="str">
        <f>"35.3605"</f>
        <v>35.3605</v>
      </c>
      <c r="C700">
        <v>698</v>
      </c>
      <c r="D700" s="7">
        <v>35.360500000000002</v>
      </c>
      <c r="E700" s="7">
        <f t="shared" si="20"/>
        <v>24681.629000000001</v>
      </c>
      <c r="F700" s="7">
        <f t="shared" si="21"/>
        <v>487204</v>
      </c>
      <c r="G700" s="7"/>
    </row>
    <row r="701" spans="1:7" x14ac:dyDescent="0.35">
      <c r="A701" t="str">
        <f>"2007-10-31"</f>
        <v>2007-10-31</v>
      </c>
      <c r="B701" t="str">
        <f>"35.678"</f>
        <v>35.678</v>
      </c>
      <c r="C701">
        <v>699</v>
      </c>
      <c r="D701" s="7">
        <v>35.677999999999997</v>
      </c>
      <c r="E701" s="7">
        <f t="shared" si="20"/>
        <v>24938.921999999999</v>
      </c>
      <c r="F701" s="7">
        <f t="shared" si="21"/>
        <v>488601</v>
      </c>
      <c r="G701" s="7"/>
    </row>
    <row r="702" spans="1:7" x14ac:dyDescent="0.35">
      <c r="A702" t="str">
        <f>"2007-11-01"</f>
        <v>2007-11-01</v>
      </c>
      <c r="B702" t="str">
        <f>"34.64"</f>
        <v>34.64</v>
      </c>
      <c r="C702">
        <v>700</v>
      </c>
      <c r="D702" s="7">
        <v>34.64</v>
      </c>
      <c r="E702" s="7">
        <f t="shared" si="20"/>
        <v>24248</v>
      </c>
      <c r="F702" s="7">
        <f t="shared" si="21"/>
        <v>490000</v>
      </c>
      <c r="G702" s="7"/>
    </row>
    <row r="703" spans="1:7" x14ac:dyDescent="0.35">
      <c r="A703" t="str">
        <f>"2007-11-02"</f>
        <v>2007-11-02</v>
      </c>
      <c r="B703" t="str">
        <f>"33.3637"</f>
        <v>33.3637</v>
      </c>
      <c r="C703">
        <v>701</v>
      </c>
      <c r="D703" s="7">
        <v>33.363700000000001</v>
      </c>
      <c r="E703" s="7">
        <f t="shared" si="20"/>
        <v>23387.953700000002</v>
      </c>
      <c r="F703" s="7">
        <f t="shared" si="21"/>
        <v>491401</v>
      </c>
      <c r="G703" s="7"/>
    </row>
    <row r="704" spans="1:7" x14ac:dyDescent="0.35">
      <c r="A704" t="str">
        <f>"2007-11-05"</f>
        <v>2007-11-05</v>
      </c>
      <c r="B704" t="str">
        <f>"33.1235"</f>
        <v>33.1235</v>
      </c>
      <c r="C704">
        <v>702</v>
      </c>
      <c r="D704" s="7">
        <v>33.1235</v>
      </c>
      <c r="E704" s="7">
        <f t="shared" si="20"/>
        <v>23252.697</v>
      </c>
      <c r="F704" s="7">
        <f t="shared" si="21"/>
        <v>492804</v>
      </c>
      <c r="G704" s="7"/>
    </row>
    <row r="705" spans="1:7" x14ac:dyDescent="0.35">
      <c r="A705" t="str">
        <f>"2007-11-06"</f>
        <v>2007-11-06</v>
      </c>
      <c r="B705" t="str">
        <f>"34.0285"</f>
        <v>34.0285</v>
      </c>
      <c r="C705">
        <v>703</v>
      </c>
      <c r="D705" s="7">
        <v>34.028500000000001</v>
      </c>
      <c r="E705" s="7">
        <f t="shared" si="20"/>
        <v>23922.035500000002</v>
      </c>
      <c r="F705" s="7">
        <f t="shared" si="21"/>
        <v>494209</v>
      </c>
      <c r="G705" s="7"/>
    </row>
    <row r="706" spans="1:7" x14ac:dyDescent="0.35">
      <c r="A706" t="str">
        <f>"2007-11-07"</f>
        <v>2007-11-07</v>
      </c>
      <c r="B706" t="str">
        <f>"32.3418"</f>
        <v>32.3418</v>
      </c>
      <c r="C706">
        <v>704</v>
      </c>
      <c r="D706" s="7">
        <v>32.341799999999999</v>
      </c>
      <c r="E706" s="7">
        <f t="shared" si="20"/>
        <v>22768.627199999999</v>
      </c>
      <c r="F706" s="7">
        <f t="shared" si="21"/>
        <v>495616</v>
      </c>
      <c r="G706" s="7"/>
    </row>
    <row r="707" spans="1:7" x14ac:dyDescent="0.35">
      <c r="A707" t="str">
        <f>"2007-11-08"</f>
        <v>2007-11-08</v>
      </c>
      <c r="B707" t="str">
        <f>"32.26"</f>
        <v>32.26</v>
      </c>
      <c r="C707">
        <v>705</v>
      </c>
      <c r="D707" s="7">
        <v>32.26</v>
      </c>
      <c r="E707" s="7">
        <f t="shared" si="20"/>
        <v>22743.3</v>
      </c>
      <c r="F707" s="7">
        <f t="shared" si="21"/>
        <v>497025</v>
      </c>
      <c r="G707" s="7"/>
    </row>
    <row r="708" spans="1:7" x14ac:dyDescent="0.35">
      <c r="A708" t="str">
        <f>"2007-11-09"</f>
        <v>2007-11-09</v>
      </c>
      <c r="B708" t="str">
        <f>"31.6165"</f>
        <v>31.6165</v>
      </c>
      <c r="C708">
        <v>706</v>
      </c>
      <c r="D708" s="7">
        <v>31.616499999999998</v>
      </c>
      <c r="E708" s="7">
        <f t="shared" ref="E708:E771" si="22">C708*D708</f>
        <v>22321.249</v>
      </c>
      <c r="F708" s="7">
        <f t="shared" ref="F708:F771" si="23">C708*C708</f>
        <v>498436</v>
      </c>
      <c r="G708" s="7"/>
    </row>
    <row r="709" spans="1:7" x14ac:dyDescent="0.35">
      <c r="A709" t="str">
        <f>"2007-11-12"</f>
        <v>2007-11-12</v>
      </c>
      <c r="B709" t="str">
        <f>"31.3067"</f>
        <v>31.3067</v>
      </c>
      <c r="C709">
        <v>707</v>
      </c>
      <c r="D709" s="7">
        <v>31.306699999999999</v>
      </c>
      <c r="E709" s="7">
        <f t="shared" si="22"/>
        <v>22133.836899999998</v>
      </c>
      <c r="F709" s="7">
        <f t="shared" si="23"/>
        <v>499849</v>
      </c>
      <c r="G709" s="7"/>
    </row>
    <row r="710" spans="1:7" x14ac:dyDescent="0.35">
      <c r="A710" t="str">
        <f>"2007-11-13"</f>
        <v>2007-11-13</v>
      </c>
      <c r="B710" t="str">
        <f>"33.5529"</f>
        <v>33.5529</v>
      </c>
      <c r="C710">
        <v>708</v>
      </c>
      <c r="D710" s="7">
        <v>33.552900000000001</v>
      </c>
      <c r="E710" s="7">
        <f t="shared" si="22"/>
        <v>23755.4532</v>
      </c>
      <c r="F710" s="7">
        <f t="shared" si="23"/>
        <v>501264</v>
      </c>
      <c r="G710" s="7"/>
    </row>
    <row r="711" spans="1:7" x14ac:dyDescent="0.35">
      <c r="A711" t="str">
        <f>"2007-11-14"</f>
        <v>2007-11-14</v>
      </c>
      <c r="B711" t="str">
        <f>"34.2515"</f>
        <v>34.2515</v>
      </c>
      <c r="C711">
        <v>709</v>
      </c>
      <c r="D711" s="7">
        <v>34.2515</v>
      </c>
      <c r="E711" s="7">
        <f t="shared" si="22"/>
        <v>24284.3135</v>
      </c>
      <c r="F711" s="7">
        <f t="shared" si="23"/>
        <v>502681</v>
      </c>
      <c r="G711" s="7"/>
    </row>
    <row r="712" spans="1:7" x14ac:dyDescent="0.35">
      <c r="A712" t="str">
        <f>"2007-11-15"</f>
        <v>2007-11-15</v>
      </c>
      <c r="B712" t="str">
        <f>"34.9862"</f>
        <v>34.9862</v>
      </c>
      <c r="C712">
        <v>710</v>
      </c>
      <c r="D712" s="7">
        <v>34.986199999999997</v>
      </c>
      <c r="E712" s="7">
        <f t="shared" si="22"/>
        <v>24840.201999999997</v>
      </c>
      <c r="F712" s="7">
        <f t="shared" si="23"/>
        <v>504100</v>
      </c>
      <c r="G712" s="7"/>
    </row>
    <row r="713" spans="1:7" x14ac:dyDescent="0.35">
      <c r="A713" t="str">
        <f>"2007-11-16"</f>
        <v>2007-11-16</v>
      </c>
      <c r="B713" t="str">
        <f>"35.1623"</f>
        <v>35.1623</v>
      </c>
      <c r="C713">
        <v>711</v>
      </c>
      <c r="D713" s="7">
        <v>35.162300000000002</v>
      </c>
      <c r="E713" s="7">
        <f t="shared" si="22"/>
        <v>25000.3953</v>
      </c>
      <c r="F713" s="7">
        <f t="shared" si="23"/>
        <v>505521</v>
      </c>
      <c r="G713" s="7"/>
    </row>
    <row r="714" spans="1:7" x14ac:dyDescent="0.35">
      <c r="A714" t="str">
        <f>"2007-11-19"</f>
        <v>2007-11-19</v>
      </c>
      <c r="B714" t="str">
        <f>"36.4163"</f>
        <v>36.4163</v>
      </c>
      <c r="C714">
        <v>712</v>
      </c>
      <c r="D714" s="7">
        <v>36.4163</v>
      </c>
      <c r="E714" s="7">
        <f t="shared" si="22"/>
        <v>25928.405599999998</v>
      </c>
      <c r="F714" s="7">
        <f t="shared" si="23"/>
        <v>506944</v>
      </c>
      <c r="G714" s="7"/>
    </row>
    <row r="715" spans="1:7" x14ac:dyDescent="0.35">
      <c r="A715" t="str">
        <f>"2007-11-20"</f>
        <v>2007-11-20</v>
      </c>
      <c r="B715" t="str">
        <f>"35.4428"</f>
        <v>35.4428</v>
      </c>
      <c r="C715">
        <v>713</v>
      </c>
      <c r="D715" s="7">
        <v>35.442799999999998</v>
      </c>
      <c r="E715" s="7">
        <f t="shared" si="22"/>
        <v>25270.716399999998</v>
      </c>
      <c r="F715" s="7">
        <f t="shared" si="23"/>
        <v>508369</v>
      </c>
      <c r="G715" s="7"/>
    </row>
    <row r="716" spans="1:7" x14ac:dyDescent="0.35">
      <c r="A716" t="str">
        <f>"2007-11-21"</f>
        <v>2007-11-21</v>
      </c>
      <c r="B716" t="str">
        <f>"33.9686"</f>
        <v>33.9686</v>
      </c>
      <c r="C716">
        <v>714</v>
      </c>
      <c r="D716" s="7">
        <v>33.968600000000002</v>
      </c>
      <c r="E716" s="7">
        <f t="shared" si="22"/>
        <v>24253.580400000003</v>
      </c>
      <c r="F716" s="7">
        <f t="shared" si="23"/>
        <v>509796</v>
      </c>
      <c r="G716" s="7"/>
    </row>
    <row r="717" spans="1:7" x14ac:dyDescent="0.35">
      <c r="A717" t="str">
        <f>"2007-11-23"</f>
        <v>2007-11-23</v>
      </c>
      <c r="B717" t="str">
        <f>"32.2794"</f>
        <v>32.2794</v>
      </c>
      <c r="C717">
        <v>715</v>
      </c>
      <c r="D717" s="7">
        <v>32.279400000000003</v>
      </c>
      <c r="E717" s="7">
        <f t="shared" si="22"/>
        <v>23079.771000000001</v>
      </c>
      <c r="F717" s="7">
        <f t="shared" si="23"/>
        <v>511225</v>
      </c>
      <c r="G717" s="7"/>
    </row>
    <row r="718" spans="1:7" x14ac:dyDescent="0.35">
      <c r="A718" t="str">
        <f>"2007-11-27"</f>
        <v>2007-11-27</v>
      </c>
      <c r="B718" t="str">
        <f>"30.9921"</f>
        <v>30.9921</v>
      </c>
      <c r="C718">
        <v>716</v>
      </c>
      <c r="D718" s="7">
        <v>30.992100000000001</v>
      </c>
      <c r="E718" s="7">
        <f t="shared" si="22"/>
        <v>22190.3436</v>
      </c>
      <c r="F718" s="7">
        <f t="shared" si="23"/>
        <v>512656</v>
      </c>
      <c r="G718" s="7"/>
    </row>
    <row r="719" spans="1:7" x14ac:dyDescent="0.35">
      <c r="A719" t="str">
        <f>"2007-11-28"</f>
        <v>2007-11-28</v>
      </c>
      <c r="B719" t="str">
        <f>"32.7247"</f>
        <v>32.7247</v>
      </c>
      <c r="C719">
        <v>717</v>
      </c>
      <c r="D719" s="7">
        <v>32.724699999999999</v>
      </c>
      <c r="E719" s="7">
        <f t="shared" si="22"/>
        <v>23463.609899999999</v>
      </c>
      <c r="F719" s="7">
        <f t="shared" si="23"/>
        <v>514089</v>
      </c>
      <c r="G719" s="7"/>
    </row>
    <row r="720" spans="1:7" x14ac:dyDescent="0.35">
      <c r="A720" t="str">
        <f>"2007-11-29"</f>
        <v>2007-11-29</v>
      </c>
      <c r="B720" t="str">
        <f>"33.7482"</f>
        <v>33.7482</v>
      </c>
      <c r="C720">
        <v>718</v>
      </c>
      <c r="D720" s="7">
        <v>33.748199999999997</v>
      </c>
      <c r="E720" s="7">
        <f t="shared" si="22"/>
        <v>24231.207599999998</v>
      </c>
      <c r="F720" s="7">
        <f t="shared" si="23"/>
        <v>515524</v>
      </c>
      <c r="G720" s="7"/>
    </row>
    <row r="721" spans="1:7" x14ac:dyDescent="0.35">
      <c r="A721" t="str">
        <f>"2007-11-30"</f>
        <v>2007-11-30</v>
      </c>
      <c r="B721" t="str">
        <f>"34.3954"</f>
        <v>34.3954</v>
      </c>
      <c r="C721">
        <v>719</v>
      </c>
      <c r="D721" s="7">
        <v>34.395400000000002</v>
      </c>
      <c r="E721" s="7">
        <f t="shared" si="22"/>
        <v>24730.292600000001</v>
      </c>
      <c r="F721" s="7">
        <f t="shared" si="23"/>
        <v>516961</v>
      </c>
      <c r="G721" s="7"/>
    </row>
    <row r="722" spans="1:7" x14ac:dyDescent="0.35">
      <c r="A722" t="str">
        <f>"2007-12-03"</f>
        <v>2007-12-03</v>
      </c>
      <c r="B722" t="str">
        <f>"34.5411"</f>
        <v>34.5411</v>
      </c>
      <c r="C722">
        <v>720</v>
      </c>
      <c r="D722" s="7">
        <v>34.5411</v>
      </c>
      <c r="E722" s="7">
        <f t="shared" si="22"/>
        <v>24869.592000000001</v>
      </c>
      <c r="F722" s="7">
        <f t="shared" si="23"/>
        <v>518400</v>
      </c>
      <c r="G722" s="7"/>
    </row>
    <row r="723" spans="1:7" x14ac:dyDescent="0.35">
      <c r="A723" t="str">
        <f>"2007-12-04"</f>
        <v>2007-12-04</v>
      </c>
      <c r="B723" t="str">
        <f>"33.8529"</f>
        <v>33.8529</v>
      </c>
      <c r="C723">
        <v>721</v>
      </c>
      <c r="D723" s="7">
        <v>33.852899999999998</v>
      </c>
      <c r="E723" s="7">
        <f t="shared" si="22"/>
        <v>24407.940899999998</v>
      </c>
      <c r="F723" s="7">
        <f t="shared" si="23"/>
        <v>519841</v>
      </c>
      <c r="G723" s="7"/>
    </row>
    <row r="724" spans="1:7" x14ac:dyDescent="0.35">
      <c r="A724" t="str">
        <f>"2007-12-05"</f>
        <v>2007-12-05</v>
      </c>
      <c r="B724" t="str">
        <f>"36.6296"</f>
        <v>36.6296</v>
      </c>
      <c r="C724">
        <v>722</v>
      </c>
      <c r="D724" s="7">
        <v>36.629600000000003</v>
      </c>
      <c r="E724" s="7">
        <f t="shared" si="22"/>
        <v>26446.571200000002</v>
      </c>
      <c r="F724" s="7">
        <f t="shared" si="23"/>
        <v>521284</v>
      </c>
      <c r="G724" s="7"/>
    </row>
    <row r="725" spans="1:7" x14ac:dyDescent="0.35">
      <c r="A725" t="str">
        <f>"2007-12-06"</f>
        <v>2007-12-06</v>
      </c>
      <c r="B725" t="str">
        <f>"37.0843"</f>
        <v>37.0843</v>
      </c>
      <c r="C725">
        <v>723</v>
      </c>
      <c r="D725" s="7">
        <v>37.084299999999999</v>
      </c>
      <c r="E725" s="7">
        <f t="shared" si="22"/>
        <v>26811.948899999999</v>
      </c>
      <c r="F725" s="7">
        <f t="shared" si="23"/>
        <v>522729</v>
      </c>
      <c r="G725" s="7"/>
    </row>
    <row r="726" spans="1:7" x14ac:dyDescent="0.35">
      <c r="A726" t="str">
        <f>"2007-12-07"</f>
        <v>2007-12-07</v>
      </c>
      <c r="B726" t="str">
        <f>"38.1103"</f>
        <v>38.1103</v>
      </c>
      <c r="C726">
        <v>724</v>
      </c>
      <c r="D726" s="7">
        <v>38.110300000000002</v>
      </c>
      <c r="E726" s="7">
        <f t="shared" si="22"/>
        <v>27591.857200000002</v>
      </c>
      <c r="F726" s="7">
        <f t="shared" si="23"/>
        <v>524176</v>
      </c>
      <c r="G726" s="7"/>
    </row>
    <row r="727" spans="1:7" x14ac:dyDescent="0.35">
      <c r="A727" t="str">
        <f>"2007-12-10"</f>
        <v>2007-12-10</v>
      </c>
      <c r="B727" t="str">
        <f>"38.2384"</f>
        <v>38.2384</v>
      </c>
      <c r="C727">
        <v>725</v>
      </c>
      <c r="D727" s="7">
        <v>38.238399999999999</v>
      </c>
      <c r="E727" s="7">
        <f t="shared" si="22"/>
        <v>27722.84</v>
      </c>
      <c r="F727" s="7">
        <f t="shared" si="23"/>
        <v>525625</v>
      </c>
      <c r="G727" s="7"/>
    </row>
    <row r="728" spans="1:7" x14ac:dyDescent="0.35">
      <c r="A728" t="str">
        <f>"2007-12-11"</f>
        <v>2007-12-11</v>
      </c>
      <c r="B728" t="str">
        <f>"36.8906"</f>
        <v>36.8906</v>
      </c>
      <c r="C728">
        <v>726</v>
      </c>
      <c r="D728" s="7">
        <v>36.890599999999999</v>
      </c>
      <c r="E728" s="7">
        <f t="shared" si="22"/>
        <v>26782.5756</v>
      </c>
      <c r="F728" s="7">
        <f t="shared" si="23"/>
        <v>527076</v>
      </c>
      <c r="G728" s="7"/>
    </row>
    <row r="729" spans="1:7" x14ac:dyDescent="0.35">
      <c r="A729" t="str">
        <f>"2007-12-12"</f>
        <v>2007-12-12</v>
      </c>
      <c r="B729" t="str">
        <f>"36.9355"</f>
        <v>36.9355</v>
      </c>
      <c r="C729">
        <v>727</v>
      </c>
      <c r="D729" s="7">
        <v>36.935499999999998</v>
      </c>
      <c r="E729" s="7">
        <f t="shared" si="22"/>
        <v>26852.108499999998</v>
      </c>
      <c r="F729" s="7">
        <f t="shared" si="23"/>
        <v>528529</v>
      </c>
      <c r="G729" s="7"/>
    </row>
    <row r="730" spans="1:7" x14ac:dyDescent="0.35">
      <c r="A730" t="str">
        <f>"2007-12-13"</f>
        <v>2007-12-13</v>
      </c>
      <c r="B730" t="str">
        <f>"36.5966"</f>
        <v>36.5966</v>
      </c>
      <c r="C730">
        <v>728</v>
      </c>
      <c r="D730" s="7">
        <v>36.596600000000002</v>
      </c>
      <c r="E730" s="7">
        <f t="shared" si="22"/>
        <v>26642.324800000002</v>
      </c>
      <c r="F730" s="7">
        <f t="shared" si="23"/>
        <v>529984</v>
      </c>
      <c r="G730" s="7"/>
    </row>
    <row r="731" spans="1:7" x14ac:dyDescent="0.35">
      <c r="A731" t="str">
        <f>"2007-12-14"</f>
        <v>2007-12-14</v>
      </c>
      <c r="B731" t="str">
        <f>"36.7781"</f>
        <v>36.7781</v>
      </c>
      <c r="C731">
        <v>729</v>
      </c>
      <c r="D731" s="7">
        <v>36.778100000000002</v>
      </c>
      <c r="E731" s="7">
        <f t="shared" si="22"/>
        <v>26811.234900000003</v>
      </c>
      <c r="F731" s="7">
        <f t="shared" si="23"/>
        <v>531441</v>
      </c>
      <c r="G731" s="7"/>
    </row>
    <row r="732" spans="1:7" x14ac:dyDescent="0.35">
      <c r="A732" t="str">
        <f>"2007-12-17"</f>
        <v>2007-12-17</v>
      </c>
      <c r="B732" t="str">
        <f>"35.7907"</f>
        <v>35.7907</v>
      </c>
      <c r="C732">
        <v>730</v>
      </c>
      <c r="D732" s="7">
        <v>35.790700000000001</v>
      </c>
      <c r="E732" s="7">
        <f t="shared" si="22"/>
        <v>26127.210999999999</v>
      </c>
      <c r="F732" s="7">
        <f t="shared" si="23"/>
        <v>532900</v>
      </c>
      <c r="G732" s="7"/>
    </row>
    <row r="733" spans="1:7" x14ac:dyDescent="0.35">
      <c r="A733" t="str">
        <f>"2007-12-19"</f>
        <v>2007-12-19</v>
      </c>
      <c r="B733" t="str">
        <f>"35.2858"</f>
        <v>35.2858</v>
      </c>
      <c r="C733">
        <v>731</v>
      </c>
      <c r="D733" s="7">
        <v>35.285800000000002</v>
      </c>
      <c r="E733" s="7">
        <f t="shared" si="22"/>
        <v>25793.9198</v>
      </c>
      <c r="F733" s="7">
        <f t="shared" si="23"/>
        <v>534361</v>
      </c>
      <c r="G733" s="7"/>
    </row>
    <row r="734" spans="1:7" x14ac:dyDescent="0.35">
      <c r="A734" t="str">
        <f>"2007-12-24"</f>
        <v>2007-12-24</v>
      </c>
      <c r="B734" t="str">
        <f>"35.4663"</f>
        <v>35.4663</v>
      </c>
      <c r="C734">
        <v>732</v>
      </c>
      <c r="D734" s="7">
        <v>35.466299999999997</v>
      </c>
      <c r="E734" s="7">
        <f t="shared" si="22"/>
        <v>25961.331599999998</v>
      </c>
      <c r="F734" s="7">
        <f t="shared" si="23"/>
        <v>535824</v>
      </c>
      <c r="G734" s="7"/>
    </row>
    <row r="735" spans="1:7" x14ac:dyDescent="0.35">
      <c r="A735" t="str">
        <f>"2007-12-26"</f>
        <v>2007-12-26</v>
      </c>
      <c r="B735" t="str">
        <f>"35.4678"</f>
        <v>35.4678</v>
      </c>
      <c r="C735">
        <v>733</v>
      </c>
      <c r="D735" s="7">
        <v>35.467799999999997</v>
      </c>
      <c r="E735" s="7">
        <f t="shared" si="22"/>
        <v>25997.897399999998</v>
      </c>
      <c r="F735" s="7">
        <f t="shared" si="23"/>
        <v>537289</v>
      </c>
      <c r="G735" s="7"/>
    </row>
    <row r="736" spans="1:7" x14ac:dyDescent="0.35">
      <c r="A736" t="str">
        <f>"2007-12-27"</f>
        <v>2007-12-27</v>
      </c>
      <c r="B736" t="str">
        <f>"35.7296"</f>
        <v>35.7296</v>
      </c>
      <c r="C736">
        <v>734</v>
      </c>
      <c r="D736" s="7">
        <v>35.729599999999998</v>
      </c>
      <c r="E736" s="7">
        <f t="shared" si="22"/>
        <v>26225.526399999999</v>
      </c>
      <c r="F736" s="7">
        <f t="shared" si="23"/>
        <v>538756</v>
      </c>
      <c r="G736" s="7"/>
    </row>
    <row r="737" spans="1:7" x14ac:dyDescent="0.35">
      <c r="A737" t="str">
        <f>"2007-12-28"</f>
        <v>2007-12-28</v>
      </c>
      <c r="B737" t="str">
        <f>"35.1474"</f>
        <v>35.1474</v>
      </c>
      <c r="C737">
        <v>735</v>
      </c>
      <c r="D737" s="7">
        <v>35.147399999999998</v>
      </c>
      <c r="E737" s="7">
        <f t="shared" si="22"/>
        <v>25833.339</v>
      </c>
      <c r="F737" s="7">
        <f t="shared" si="23"/>
        <v>540225</v>
      </c>
      <c r="G737" s="7"/>
    </row>
    <row r="738" spans="1:7" x14ac:dyDescent="0.35">
      <c r="A738" t="str">
        <f>"2007-12-31"</f>
        <v>2007-12-31</v>
      </c>
      <c r="B738" t="str">
        <f>"34.939"</f>
        <v>34.939</v>
      </c>
      <c r="C738">
        <v>736</v>
      </c>
      <c r="D738" s="7">
        <v>34.939</v>
      </c>
      <c r="E738" s="7">
        <f t="shared" si="22"/>
        <v>25715.103999999999</v>
      </c>
      <c r="F738" s="7">
        <f t="shared" si="23"/>
        <v>541696</v>
      </c>
      <c r="G738" s="7"/>
    </row>
    <row r="739" spans="1:7" x14ac:dyDescent="0.35">
      <c r="A739" t="str">
        <f>"2008-01-02"</f>
        <v>2008-01-02</v>
      </c>
      <c r="B739" t="str">
        <f>"33.008"</f>
        <v>33.008</v>
      </c>
      <c r="C739">
        <v>737</v>
      </c>
      <c r="D739" s="7">
        <v>33.008000000000003</v>
      </c>
      <c r="E739" s="7">
        <f t="shared" si="22"/>
        <v>24326.896000000001</v>
      </c>
      <c r="F739" s="7">
        <f t="shared" si="23"/>
        <v>543169</v>
      </c>
      <c r="G739" s="7"/>
    </row>
    <row r="740" spans="1:7" x14ac:dyDescent="0.35">
      <c r="A740" t="str">
        <f>"2008-01-03"</f>
        <v>2008-01-03</v>
      </c>
      <c r="B740" t="str">
        <f>"31.7486"</f>
        <v>31.7486</v>
      </c>
      <c r="C740">
        <v>738</v>
      </c>
      <c r="D740" s="7">
        <v>31.7486</v>
      </c>
      <c r="E740" s="7">
        <f t="shared" si="22"/>
        <v>23430.466799999998</v>
      </c>
      <c r="F740" s="7">
        <f t="shared" si="23"/>
        <v>544644</v>
      </c>
      <c r="G740" s="7"/>
    </row>
    <row r="741" spans="1:7" x14ac:dyDescent="0.35">
      <c r="A741" t="str">
        <f>"2008-01-04"</f>
        <v>2008-01-04</v>
      </c>
      <c r="B741" t="str">
        <f>"32.9445"</f>
        <v>32.9445</v>
      </c>
      <c r="C741">
        <v>739</v>
      </c>
      <c r="D741" s="7">
        <v>32.944499999999998</v>
      </c>
      <c r="E741" s="7">
        <f t="shared" si="22"/>
        <v>24345.985499999999</v>
      </c>
      <c r="F741" s="7">
        <f t="shared" si="23"/>
        <v>546121</v>
      </c>
      <c r="G741" s="7"/>
    </row>
    <row r="742" spans="1:7" x14ac:dyDescent="0.35">
      <c r="A742" t="str">
        <f>"2008-01-07"</f>
        <v>2008-01-07</v>
      </c>
      <c r="B742" t="str">
        <f>"32.1954"</f>
        <v>32.1954</v>
      </c>
      <c r="C742">
        <v>740</v>
      </c>
      <c r="D742" s="7">
        <v>32.195399999999999</v>
      </c>
      <c r="E742" s="7">
        <f t="shared" si="22"/>
        <v>23824.595999999998</v>
      </c>
      <c r="F742" s="7">
        <f t="shared" si="23"/>
        <v>547600</v>
      </c>
      <c r="G742" s="7"/>
    </row>
    <row r="743" spans="1:7" x14ac:dyDescent="0.35">
      <c r="A743" t="str">
        <f>"2008-01-08"</f>
        <v>2008-01-08</v>
      </c>
      <c r="B743" t="str">
        <f>"32.5492"</f>
        <v>32.5492</v>
      </c>
      <c r="C743">
        <v>741</v>
      </c>
      <c r="D743" s="7">
        <v>32.549199999999999</v>
      </c>
      <c r="E743" s="7">
        <f t="shared" si="22"/>
        <v>24118.957200000001</v>
      </c>
      <c r="F743" s="7">
        <f t="shared" si="23"/>
        <v>549081</v>
      </c>
      <c r="G743" s="7"/>
    </row>
    <row r="744" spans="1:7" x14ac:dyDescent="0.35">
      <c r="A744" t="str">
        <f>"2008-01-09"</f>
        <v>2008-01-09</v>
      </c>
      <c r="B744" t="str">
        <f>"32.1707"</f>
        <v>32.1707</v>
      </c>
      <c r="C744">
        <v>742</v>
      </c>
      <c r="D744" s="7">
        <v>32.170699999999997</v>
      </c>
      <c r="E744" s="7">
        <f t="shared" si="22"/>
        <v>23870.659399999997</v>
      </c>
      <c r="F744" s="7">
        <f t="shared" si="23"/>
        <v>550564</v>
      </c>
      <c r="G744" s="7"/>
    </row>
    <row r="745" spans="1:7" x14ac:dyDescent="0.35">
      <c r="A745" t="str">
        <f>"2008-01-10"</f>
        <v>2008-01-10</v>
      </c>
      <c r="B745" t="str">
        <f>"31.856"</f>
        <v>31.856</v>
      </c>
      <c r="C745">
        <v>743</v>
      </c>
      <c r="D745" s="7">
        <v>31.856000000000002</v>
      </c>
      <c r="E745" s="7">
        <f t="shared" si="22"/>
        <v>23669.008000000002</v>
      </c>
      <c r="F745" s="7">
        <f t="shared" si="23"/>
        <v>552049</v>
      </c>
      <c r="G745" s="7"/>
    </row>
    <row r="746" spans="1:7" x14ac:dyDescent="0.35">
      <c r="A746" t="str">
        <f>"2008-01-11"</f>
        <v>2008-01-11</v>
      </c>
      <c r="B746" t="str">
        <f>"31.593"</f>
        <v>31.593</v>
      </c>
      <c r="C746">
        <v>744</v>
      </c>
      <c r="D746" s="7">
        <v>31.593</v>
      </c>
      <c r="E746" s="7">
        <f t="shared" si="22"/>
        <v>23505.191999999999</v>
      </c>
      <c r="F746" s="7">
        <f t="shared" si="23"/>
        <v>553536</v>
      </c>
      <c r="G746" s="7"/>
    </row>
    <row r="747" spans="1:7" x14ac:dyDescent="0.35">
      <c r="A747" t="str">
        <f>"2008-01-14"</f>
        <v>2008-01-14</v>
      </c>
      <c r="B747" t="str">
        <f>"31.0201"</f>
        <v>31.0201</v>
      </c>
      <c r="C747">
        <v>745</v>
      </c>
      <c r="D747" s="7">
        <v>31.020099999999999</v>
      </c>
      <c r="E747" s="7">
        <f t="shared" si="22"/>
        <v>23109.9745</v>
      </c>
      <c r="F747" s="7">
        <f t="shared" si="23"/>
        <v>555025</v>
      </c>
      <c r="G747" s="7"/>
    </row>
    <row r="748" spans="1:7" x14ac:dyDescent="0.35">
      <c r="A748" t="str">
        <f>"2008-01-15"</f>
        <v>2008-01-15</v>
      </c>
      <c r="B748" t="str">
        <f>"30.6826"</f>
        <v>30.6826</v>
      </c>
      <c r="C748">
        <v>746</v>
      </c>
      <c r="D748" s="7">
        <v>30.682600000000001</v>
      </c>
      <c r="E748" s="7">
        <f t="shared" si="22"/>
        <v>22889.2196</v>
      </c>
      <c r="F748" s="7">
        <f t="shared" si="23"/>
        <v>556516</v>
      </c>
      <c r="G748" s="7"/>
    </row>
    <row r="749" spans="1:7" x14ac:dyDescent="0.35">
      <c r="A749" t="str">
        <f>"2008-01-16"</f>
        <v>2008-01-16</v>
      </c>
      <c r="B749" t="str">
        <f>"29.2627"</f>
        <v>29.2627</v>
      </c>
      <c r="C749">
        <v>747</v>
      </c>
      <c r="D749" s="7">
        <v>29.262699999999999</v>
      </c>
      <c r="E749" s="7">
        <f t="shared" si="22"/>
        <v>21859.2369</v>
      </c>
      <c r="F749" s="7">
        <f t="shared" si="23"/>
        <v>558009</v>
      </c>
      <c r="G749" s="7"/>
    </row>
    <row r="750" spans="1:7" x14ac:dyDescent="0.35">
      <c r="A750" t="str">
        <f>"2008-01-17"</f>
        <v>2008-01-17</v>
      </c>
      <c r="B750" t="str">
        <f>"28.8228"</f>
        <v>28.8228</v>
      </c>
      <c r="C750">
        <v>748</v>
      </c>
      <c r="D750" s="7">
        <v>28.822800000000001</v>
      </c>
      <c r="E750" s="7">
        <f t="shared" si="22"/>
        <v>21559.454400000002</v>
      </c>
      <c r="F750" s="7">
        <f t="shared" si="23"/>
        <v>559504</v>
      </c>
      <c r="G750" s="7"/>
    </row>
    <row r="751" spans="1:7" x14ac:dyDescent="0.35">
      <c r="A751" t="str">
        <f>"2008-01-18"</f>
        <v>2008-01-18</v>
      </c>
      <c r="B751" t="str">
        <f>"28.8593"</f>
        <v>28.8593</v>
      </c>
      <c r="C751">
        <v>749</v>
      </c>
      <c r="D751" s="7">
        <v>28.859300000000001</v>
      </c>
      <c r="E751" s="7">
        <f t="shared" si="22"/>
        <v>21615.615700000002</v>
      </c>
      <c r="F751" s="7">
        <f t="shared" si="23"/>
        <v>561001</v>
      </c>
      <c r="G751" s="7"/>
    </row>
    <row r="752" spans="1:7" x14ac:dyDescent="0.35">
      <c r="A752" t="str">
        <f>"2008-01-22"</f>
        <v>2008-01-22</v>
      </c>
      <c r="B752" t="str">
        <f>"26.5741"</f>
        <v>26.5741</v>
      </c>
      <c r="C752">
        <v>750</v>
      </c>
      <c r="D752" s="7">
        <v>26.574100000000001</v>
      </c>
      <c r="E752" s="7">
        <f t="shared" si="22"/>
        <v>19930.575000000001</v>
      </c>
      <c r="F752" s="7">
        <f t="shared" si="23"/>
        <v>562500</v>
      </c>
      <c r="G752" s="7"/>
    </row>
    <row r="753" spans="1:7" x14ac:dyDescent="0.35">
      <c r="A753" t="str">
        <f>"2008-01-23"</f>
        <v>2008-01-23</v>
      </c>
      <c r="B753" t="str">
        <f>"26.6962"</f>
        <v>26.6962</v>
      </c>
      <c r="C753">
        <v>751</v>
      </c>
      <c r="D753" s="7">
        <v>26.696200000000001</v>
      </c>
      <c r="E753" s="7">
        <f t="shared" si="22"/>
        <v>20048.8462</v>
      </c>
      <c r="F753" s="7">
        <f t="shared" si="23"/>
        <v>564001</v>
      </c>
      <c r="G753" s="7"/>
    </row>
    <row r="754" spans="1:7" x14ac:dyDescent="0.35">
      <c r="A754" t="str">
        <f>"2008-01-24"</f>
        <v>2008-01-24</v>
      </c>
      <c r="B754" t="str">
        <f>"26.8668"</f>
        <v>26.8668</v>
      </c>
      <c r="C754">
        <v>752</v>
      </c>
      <c r="D754" s="7">
        <v>26.866800000000001</v>
      </c>
      <c r="E754" s="7">
        <f t="shared" si="22"/>
        <v>20203.833600000002</v>
      </c>
      <c r="F754" s="7">
        <f t="shared" si="23"/>
        <v>565504</v>
      </c>
      <c r="G754" s="7"/>
    </row>
    <row r="755" spans="1:7" x14ac:dyDescent="0.35">
      <c r="A755" t="str">
        <f>"2008-01-25"</f>
        <v>2008-01-25</v>
      </c>
      <c r="B755" t="str">
        <f>"27.145"</f>
        <v>27.145</v>
      </c>
      <c r="C755">
        <v>753</v>
      </c>
      <c r="D755" s="7">
        <v>27.145</v>
      </c>
      <c r="E755" s="7">
        <f t="shared" si="22"/>
        <v>20440.185000000001</v>
      </c>
      <c r="F755" s="7">
        <f t="shared" si="23"/>
        <v>567009</v>
      </c>
      <c r="G755" s="7"/>
    </row>
    <row r="756" spans="1:7" x14ac:dyDescent="0.35">
      <c r="A756" t="str">
        <f>"2008-01-28"</f>
        <v>2008-01-28</v>
      </c>
      <c r="B756" t="str">
        <f>"25.9341"</f>
        <v>25.9341</v>
      </c>
      <c r="C756">
        <v>754</v>
      </c>
      <c r="D756" s="7">
        <v>25.934100000000001</v>
      </c>
      <c r="E756" s="7">
        <f t="shared" si="22"/>
        <v>19554.311400000002</v>
      </c>
      <c r="F756" s="7">
        <f t="shared" si="23"/>
        <v>568516</v>
      </c>
      <c r="G756" s="7"/>
    </row>
    <row r="757" spans="1:7" x14ac:dyDescent="0.35">
      <c r="A757" t="str">
        <f>"2008-01-29"</f>
        <v>2008-01-29</v>
      </c>
      <c r="B757" t="str">
        <f>"26.8706"</f>
        <v>26.8706</v>
      </c>
      <c r="C757">
        <v>755</v>
      </c>
      <c r="D757" s="7">
        <v>26.8706</v>
      </c>
      <c r="E757" s="7">
        <f t="shared" si="22"/>
        <v>20287.303</v>
      </c>
      <c r="F757" s="7">
        <f t="shared" si="23"/>
        <v>570025</v>
      </c>
      <c r="G757" s="7"/>
    </row>
    <row r="758" spans="1:7" x14ac:dyDescent="0.35">
      <c r="A758" t="str">
        <f>"2008-01-30"</f>
        <v>2008-01-30</v>
      </c>
      <c r="B758" t="str">
        <f>"26.7586"</f>
        <v>26.7586</v>
      </c>
      <c r="C758">
        <v>756</v>
      </c>
      <c r="D758" s="7">
        <v>26.758600000000001</v>
      </c>
      <c r="E758" s="7">
        <f t="shared" si="22"/>
        <v>20229.5016</v>
      </c>
      <c r="F758" s="7">
        <f t="shared" si="23"/>
        <v>571536</v>
      </c>
      <c r="G758" s="7"/>
    </row>
    <row r="759" spans="1:7" x14ac:dyDescent="0.35">
      <c r="A759" t="str">
        <f>"2008-01-31"</f>
        <v>2008-01-31</v>
      </c>
      <c r="B759" t="str">
        <f>"25.9685"</f>
        <v>25.9685</v>
      </c>
      <c r="C759">
        <v>757</v>
      </c>
      <c r="D759" s="7">
        <v>25.968499999999999</v>
      </c>
      <c r="E759" s="7">
        <f t="shared" si="22"/>
        <v>19658.154500000001</v>
      </c>
      <c r="F759" s="7">
        <f t="shared" si="23"/>
        <v>573049</v>
      </c>
      <c r="G759" s="7"/>
    </row>
    <row r="760" spans="1:7" x14ac:dyDescent="0.35">
      <c r="A760" t="str">
        <f>"2008-02-01"</f>
        <v>2008-02-01</v>
      </c>
      <c r="B760" t="str">
        <f>"27.518"</f>
        <v>27.518</v>
      </c>
      <c r="C760">
        <v>758</v>
      </c>
      <c r="D760" s="7">
        <v>27.518000000000001</v>
      </c>
      <c r="E760" s="7">
        <f t="shared" si="22"/>
        <v>20858.644</v>
      </c>
      <c r="F760" s="7">
        <f t="shared" si="23"/>
        <v>574564</v>
      </c>
      <c r="G760" s="7"/>
    </row>
    <row r="761" spans="1:7" x14ac:dyDescent="0.35">
      <c r="A761" t="str">
        <f>"2008-02-04"</f>
        <v>2008-02-04</v>
      </c>
      <c r="B761" t="str">
        <f>"28.0607"</f>
        <v>28.0607</v>
      </c>
      <c r="C761">
        <v>759</v>
      </c>
      <c r="D761" s="7">
        <v>28.060700000000001</v>
      </c>
      <c r="E761" s="7">
        <f t="shared" si="22"/>
        <v>21298.0713</v>
      </c>
      <c r="F761" s="7">
        <f t="shared" si="23"/>
        <v>576081</v>
      </c>
      <c r="G761" s="7"/>
    </row>
    <row r="762" spans="1:7" x14ac:dyDescent="0.35">
      <c r="A762" t="str">
        <f>"2008-02-05"</f>
        <v>2008-02-05</v>
      </c>
      <c r="B762" t="str">
        <f>"28.8782"</f>
        <v>28.8782</v>
      </c>
      <c r="C762">
        <v>760</v>
      </c>
      <c r="D762" s="7">
        <v>28.8782</v>
      </c>
      <c r="E762" s="7">
        <f t="shared" si="22"/>
        <v>21947.432000000001</v>
      </c>
      <c r="F762" s="7">
        <f t="shared" si="23"/>
        <v>577600</v>
      </c>
      <c r="G762" s="7"/>
    </row>
    <row r="763" spans="1:7" x14ac:dyDescent="0.35">
      <c r="A763" t="str">
        <f>"2008-02-06"</f>
        <v>2008-02-06</v>
      </c>
      <c r="B763" t="str">
        <f>"27.638"</f>
        <v>27.638</v>
      </c>
      <c r="C763">
        <v>761</v>
      </c>
      <c r="D763" s="7">
        <v>27.638000000000002</v>
      </c>
      <c r="E763" s="7">
        <f t="shared" si="22"/>
        <v>21032.518</v>
      </c>
      <c r="F763" s="7">
        <f t="shared" si="23"/>
        <v>579121</v>
      </c>
      <c r="G763" s="7"/>
    </row>
    <row r="764" spans="1:7" x14ac:dyDescent="0.35">
      <c r="A764" t="str">
        <f>"2008-02-07"</f>
        <v>2008-02-07</v>
      </c>
      <c r="B764" t="str">
        <f>"26.2395"</f>
        <v>26.2395</v>
      </c>
      <c r="C764">
        <v>762</v>
      </c>
      <c r="D764" s="7">
        <v>26.2395</v>
      </c>
      <c r="E764" s="7">
        <f t="shared" si="22"/>
        <v>19994.499</v>
      </c>
      <c r="F764" s="7">
        <f t="shared" si="23"/>
        <v>580644</v>
      </c>
      <c r="G764" s="7"/>
    </row>
    <row r="765" spans="1:7" x14ac:dyDescent="0.35">
      <c r="A765" t="str">
        <f>"2008-02-08"</f>
        <v>2008-02-08</v>
      </c>
      <c r="B765" t="str">
        <f>"25.1587"</f>
        <v>25.1587</v>
      </c>
      <c r="C765">
        <v>763</v>
      </c>
      <c r="D765" s="7">
        <v>25.1587</v>
      </c>
      <c r="E765" s="7">
        <f t="shared" si="22"/>
        <v>19196.088100000001</v>
      </c>
      <c r="F765" s="7">
        <f t="shared" si="23"/>
        <v>582169</v>
      </c>
      <c r="G765" s="7"/>
    </row>
    <row r="766" spans="1:7" x14ac:dyDescent="0.35">
      <c r="A766" t="str">
        <f>"2008-02-11"</f>
        <v>2008-02-11</v>
      </c>
      <c r="B766" t="str">
        <f>"25.5508"</f>
        <v>25.5508</v>
      </c>
      <c r="C766">
        <v>764</v>
      </c>
      <c r="D766" s="7">
        <v>25.550799999999999</v>
      </c>
      <c r="E766" s="7">
        <f t="shared" si="22"/>
        <v>19520.8112</v>
      </c>
      <c r="F766" s="7">
        <f t="shared" si="23"/>
        <v>583696</v>
      </c>
      <c r="G766" s="7"/>
    </row>
    <row r="767" spans="1:7" x14ac:dyDescent="0.35">
      <c r="A767" t="str">
        <f>"2008-02-12"</f>
        <v>2008-02-12</v>
      </c>
      <c r="B767" t="str">
        <f>"27.4989"</f>
        <v>27.4989</v>
      </c>
      <c r="C767">
        <v>765</v>
      </c>
      <c r="D767" s="7">
        <v>27.498899999999999</v>
      </c>
      <c r="E767" s="7">
        <f t="shared" si="22"/>
        <v>21036.658499999998</v>
      </c>
      <c r="F767" s="7">
        <f t="shared" si="23"/>
        <v>585225</v>
      </c>
      <c r="G767" s="7"/>
    </row>
    <row r="768" spans="1:7" x14ac:dyDescent="0.35">
      <c r="A768" t="str">
        <f>"2008-02-13"</f>
        <v>2008-02-13</v>
      </c>
      <c r="B768" t="str">
        <f>"27.849"</f>
        <v>27.849</v>
      </c>
      <c r="C768">
        <v>766</v>
      </c>
      <c r="D768" s="7">
        <v>27.849</v>
      </c>
      <c r="E768" s="7">
        <f t="shared" si="22"/>
        <v>21332.333999999999</v>
      </c>
      <c r="F768" s="7">
        <f t="shared" si="23"/>
        <v>586756</v>
      </c>
      <c r="G768" s="7"/>
    </row>
    <row r="769" spans="1:7" x14ac:dyDescent="0.35">
      <c r="A769" t="str">
        <f>"2008-02-14"</f>
        <v>2008-02-14</v>
      </c>
      <c r="B769" t="str">
        <f>"27.9497"</f>
        <v>27.9497</v>
      </c>
      <c r="C769">
        <v>767</v>
      </c>
      <c r="D769" s="7">
        <v>27.9497</v>
      </c>
      <c r="E769" s="7">
        <f t="shared" si="22"/>
        <v>21437.419900000001</v>
      </c>
      <c r="F769" s="7">
        <f t="shared" si="23"/>
        <v>588289</v>
      </c>
      <c r="G769" s="7"/>
    </row>
    <row r="770" spans="1:7" x14ac:dyDescent="0.35">
      <c r="A770" t="str">
        <f>"2008-02-15"</f>
        <v>2008-02-15</v>
      </c>
      <c r="B770" t="str">
        <f>"27.4766"</f>
        <v>27.4766</v>
      </c>
      <c r="C770">
        <v>768</v>
      </c>
      <c r="D770" s="7">
        <v>27.476600000000001</v>
      </c>
      <c r="E770" s="7">
        <f t="shared" si="22"/>
        <v>21102.0288</v>
      </c>
      <c r="F770" s="7">
        <f t="shared" si="23"/>
        <v>589824</v>
      </c>
      <c r="G770" s="7"/>
    </row>
    <row r="771" spans="1:7" x14ac:dyDescent="0.35">
      <c r="A771" t="str">
        <f>"2008-02-19"</f>
        <v>2008-02-19</v>
      </c>
      <c r="B771" t="str">
        <f>"28.1232"</f>
        <v>28.1232</v>
      </c>
      <c r="C771">
        <v>769</v>
      </c>
      <c r="D771" s="7">
        <v>28.123200000000001</v>
      </c>
      <c r="E771" s="7">
        <f t="shared" si="22"/>
        <v>21626.7408</v>
      </c>
      <c r="F771" s="7">
        <f t="shared" si="23"/>
        <v>591361</v>
      </c>
      <c r="G771" s="7"/>
    </row>
    <row r="772" spans="1:7" x14ac:dyDescent="0.35">
      <c r="A772" t="str">
        <f>"2008-02-20"</f>
        <v>2008-02-20</v>
      </c>
      <c r="B772" t="str">
        <f>"26.7318"</f>
        <v>26.7318</v>
      </c>
      <c r="C772">
        <v>770</v>
      </c>
      <c r="D772" s="7">
        <v>26.7318</v>
      </c>
      <c r="E772" s="7">
        <f t="shared" ref="E772:E835" si="24">C772*D772</f>
        <v>20583.486000000001</v>
      </c>
      <c r="F772" s="7">
        <f t="shared" ref="F772:F835" si="25">C772*C772</f>
        <v>592900</v>
      </c>
      <c r="G772" s="7"/>
    </row>
    <row r="773" spans="1:7" x14ac:dyDescent="0.35">
      <c r="A773" t="str">
        <f>"2008-02-21"</f>
        <v>2008-02-21</v>
      </c>
      <c r="B773" t="str">
        <f>"26.4113"</f>
        <v>26.4113</v>
      </c>
      <c r="C773">
        <v>771</v>
      </c>
      <c r="D773" s="7">
        <v>26.411300000000001</v>
      </c>
      <c r="E773" s="7">
        <f t="shared" si="24"/>
        <v>20363.112300000001</v>
      </c>
      <c r="F773" s="7">
        <f t="shared" si="25"/>
        <v>594441</v>
      </c>
      <c r="G773" s="7"/>
    </row>
    <row r="774" spans="1:7" x14ac:dyDescent="0.35">
      <c r="A774" t="str">
        <f>"2008-02-22"</f>
        <v>2008-02-22</v>
      </c>
      <c r="B774" t="str">
        <f>"26.1374"</f>
        <v>26.1374</v>
      </c>
      <c r="C774">
        <v>772</v>
      </c>
      <c r="D774" s="7">
        <v>26.1374</v>
      </c>
      <c r="E774" s="7">
        <f t="shared" si="24"/>
        <v>20178.072799999998</v>
      </c>
      <c r="F774" s="7">
        <f t="shared" si="25"/>
        <v>595984</v>
      </c>
      <c r="G774" s="7"/>
    </row>
    <row r="775" spans="1:7" x14ac:dyDescent="0.35">
      <c r="A775" t="str">
        <f>"2008-02-25"</f>
        <v>2008-02-25</v>
      </c>
      <c r="B775" t="str">
        <f>"26.502"</f>
        <v>26.502</v>
      </c>
      <c r="C775">
        <v>773</v>
      </c>
      <c r="D775" s="7">
        <v>26.501999999999999</v>
      </c>
      <c r="E775" s="7">
        <f t="shared" si="24"/>
        <v>20486.045999999998</v>
      </c>
      <c r="F775" s="7">
        <f t="shared" si="25"/>
        <v>597529</v>
      </c>
      <c r="G775" s="7"/>
    </row>
    <row r="776" spans="1:7" x14ac:dyDescent="0.35">
      <c r="A776" t="str">
        <f>"2008-02-26"</f>
        <v>2008-02-26</v>
      </c>
      <c r="B776" t="str">
        <f>"26.8425"</f>
        <v>26.8425</v>
      </c>
      <c r="C776">
        <v>774</v>
      </c>
      <c r="D776" s="7">
        <v>26.842500000000001</v>
      </c>
      <c r="E776" s="7">
        <f t="shared" si="24"/>
        <v>20776.095000000001</v>
      </c>
      <c r="F776" s="7">
        <f t="shared" si="25"/>
        <v>599076</v>
      </c>
      <c r="G776" s="7"/>
    </row>
    <row r="777" spans="1:7" x14ac:dyDescent="0.35">
      <c r="A777" t="str">
        <f>"2008-02-27"</f>
        <v>2008-02-27</v>
      </c>
      <c r="B777" t="str">
        <f>"26.6966"</f>
        <v>26.6966</v>
      </c>
      <c r="C777">
        <v>775</v>
      </c>
      <c r="D777" s="7">
        <v>26.6966</v>
      </c>
      <c r="E777" s="7">
        <f t="shared" si="24"/>
        <v>20689.865000000002</v>
      </c>
      <c r="F777" s="7">
        <f t="shared" si="25"/>
        <v>600625</v>
      </c>
      <c r="G777" s="7"/>
    </row>
    <row r="778" spans="1:7" x14ac:dyDescent="0.35">
      <c r="A778" t="str">
        <f>"2008-02-28"</f>
        <v>2008-02-28</v>
      </c>
      <c r="B778" t="str">
        <f>"26.1153"</f>
        <v>26.1153</v>
      </c>
      <c r="C778">
        <v>776</v>
      </c>
      <c r="D778" s="7">
        <v>26.115300000000001</v>
      </c>
      <c r="E778" s="7">
        <f t="shared" si="24"/>
        <v>20265.4728</v>
      </c>
      <c r="F778" s="7">
        <f t="shared" si="25"/>
        <v>602176</v>
      </c>
      <c r="G778" s="7"/>
    </row>
    <row r="779" spans="1:7" x14ac:dyDescent="0.35">
      <c r="A779" t="str">
        <f>"2008-02-29"</f>
        <v>2008-02-29</v>
      </c>
      <c r="B779" t="str">
        <f>"24.3313"</f>
        <v>24.3313</v>
      </c>
      <c r="C779">
        <v>777</v>
      </c>
      <c r="D779" s="7">
        <v>24.331299999999999</v>
      </c>
      <c r="E779" s="7">
        <f t="shared" si="24"/>
        <v>18905.420099999999</v>
      </c>
      <c r="F779" s="7">
        <f t="shared" si="25"/>
        <v>603729</v>
      </c>
      <c r="G779" s="7"/>
    </row>
    <row r="780" spans="1:7" x14ac:dyDescent="0.35">
      <c r="A780" t="str">
        <f>"2008-03-03"</f>
        <v>2008-03-03</v>
      </c>
      <c r="B780" t="str">
        <f>"22.9166"</f>
        <v>22.9166</v>
      </c>
      <c r="C780">
        <v>778</v>
      </c>
      <c r="D780" s="7">
        <v>22.916599999999999</v>
      </c>
      <c r="E780" s="7">
        <f t="shared" si="24"/>
        <v>17829.114799999999</v>
      </c>
      <c r="F780" s="7">
        <f t="shared" si="25"/>
        <v>605284</v>
      </c>
      <c r="G780" s="7"/>
    </row>
    <row r="781" spans="1:7" x14ac:dyDescent="0.35">
      <c r="A781" t="str">
        <f>"2008-03-04"</f>
        <v>2008-03-04</v>
      </c>
      <c r="B781" t="str">
        <f>"23.3063"</f>
        <v>23.3063</v>
      </c>
      <c r="C781">
        <v>779</v>
      </c>
      <c r="D781" s="7">
        <v>23.3063</v>
      </c>
      <c r="E781" s="7">
        <f t="shared" si="24"/>
        <v>18155.6077</v>
      </c>
      <c r="F781" s="7">
        <f t="shared" si="25"/>
        <v>606841</v>
      </c>
      <c r="G781" s="7"/>
    </row>
    <row r="782" spans="1:7" x14ac:dyDescent="0.35">
      <c r="A782" t="str">
        <f>"2008-03-05"</f>
        <v>2008-03-05</v>
      </c>
      <c r="B782" t="str">
        <f>"22.699"</f>
        <v>22.699</v>
      </c>
      <c r="C782">
        <v>780</v>
      </c>
      <c r="D782" s="7">
        <v>22.699000000000002</v>
      </c>
      <c r="E782" s="7">
        <f t="shared" si="24"/>
        <v>17705.22</v>
      </c>
      <c r="F782" s="7">
        <f t="shared" si="25"/>
        <v>608400</v>
      </c>
      <c r="G782" s="7"/>
    </row>
    <row r="783" spans="1:7" x14ac:dyDescent="0.35">
      <c r="A783" t="str">
        <f>"2008-03-06"</f>
        <v>2008-03-06</v>
      </c>
      <c r="B783" t="str">
        <f>"21.8113"</f>
        <v>21.8113</v>
      </c>
      <c r="C783">
        <v>781</v>
      </c>
      <c r="D783" s="7">
        <v>21.811299999999999</v>
      </c>
      <c r="E783" s="7">
        <f t="shared" si="24"/>
        <v>17034.6253</v>
      </c>
      <c r="F783" s="7">
        <f t="shared" si="25"/>
        <v>609961</v>
      </c>
      <c r="G783" s="7"/>
    </row>
    <row r="784" spans="1:7" x14ac:dyDescent="0.35">
      <c r="A784" t="str">
        <f>"2008-03-07"</f>
        <v>2008-03-07</v>
      </c>
      <c r="B784" t="str">
        <f>"21.4188"</f>
        <v>21.4188</v>
      </c>
      <c r="C784">
        <v>782</v>
      </c>
      <c r="D784" s="7">
        <v>21.418800000000001</v>
      </c>
      <c r="E784" s="7">
        <f t="shared" si="24"/>
        <v>16749.5016</v>
      </c>
      <c r="F784" s="7">
        <f t="shared" si="25"/>
        <v>611524</v>
      </c>
      <c r="G784" s="7"/>
    </row>
    <row r="785" spans="1:7" x14ac:dyDescent="0.35">
      <c r="A785" t="str">
        <f>"2008-03-10"</f>
        <v>2008-03-10</v>
      </c>
      <c r="B785" t="str">
        <f>"20.6554"</f>
        <v>20.6554</v>
      </c>
      <c r="C785">
        <v>783</v>
      </c>
      <c r="D785" s="7">
        <v>20.6554</v>
      </c>
      <c r="E785" s="7">
        <f t="shared" si="24"/>
        <v>16173.1782</v>
      </c>
      <c r="F785" s="7">
        <f t="shared" si="25"/>
        <v>613089</v>
      </c>
      <c r="G785" s="7"/>
    </row>
    <row r="786" spans="1:7" x14ac:dyDescent="0.35">
      <c r="A786" t="str">
        <f>"2008-03-11"</f>
        <v>2008-03-11</v>
      </c>
      <c r="B786" t="str">
        <f>"21.4978"</f>
        <v>21.4978</v>
      </c>
      <c r="C786">
        <v>784</v>
      </c>
      <c r="D786" s="7">
        <v>21.497800000000002</v>
      </c>
      <c r="E786" s="7">
        <f t="shared" si="24"/>
        <v>16854.2752</v>
      </c>
      <c r="F786" s="7">
        <f t="shared" si="25"/>
        <v>614656</v>
      </c>
      <c r="G786" s="7"/>
    </row>
    <row r="787" spans="1:7" x14ac:dyDescent="0.35">
      <c r="A787" t="str">
        <f>"2008-03-12"</f>
        <v>2008-03-12</v>
      </c>
      <c r="B787" t="str">
        <f>"22.4286"</f>
        <v>22.4286</v>
      </c>
      <c r="C787">
        <v>785</v>
      </c>
      <c r="D787" s="7">
        <v>22.428599999999999</v>
      </c>
      <c r="E787" s="7">
        <f t="shared" si="24"/>
        <v>17606.451000000001</v>
      </c>
      <c r="F787" s="7">
        <f t="shared" si="25"/>
        <v>616225</v>
      </c>
      <c r="G787" s="7"/>
    </row>
    <row r="788" spans="1:7" x14ac:dyDescent="0.35">
      <c r="A788" t="str">
        <f>"2008-03-13"</f>
        <v>2008-03-13</v>
      </c>
      <c r="B788" t="str">
        <f>"20.7965"</f>
        <v>20.7965</v>
      </c>
      <c r="C788">
        <v>786</v>
      </c>
      <c r="D788" s="7">
        <v>20.796500000000002</v>
      </c>
      <c r="E788" s="7">
        <f t="shared" si="24"/>
        <v>16346.049000000001</v>
      </c>
      <c r="F788" s="7">
        <f t="shared" si="25"/>
        <v>617796</v>
      </c>
      <c r="G788" s="7"/>
    </row>
    <row r="789" spans="1:7" x14ac:dyDescent="0.35">
      <c r="A789" t="str">
        <f>"2008-03-14"</f>
        <v>2008-03-14</v>
      </c>
      <c r="B789" t="str">
        <f>"21.1708"</f>
        <v>21.1708</v>
      </c>
      <c r="C789">
        <v>787</v>
      </c>
      <c r="D789" s="7">
        <v>21.1708</v>
      </c>
      <c r="E789" s="7">
        <f t="shared" si="24"/>
        <v>16661.419600000001</v>
      </c>
      <c r="F789" s="7">
        <f t="shared" si="25"/>
        <v>619369</v>
      </c>
      <c r="G789" s="7"/>
    </row>
    <row r="790" spans="1:7" x14ac:dyDescent="0.35">
      <c r="A790" t="str">
        <f>"2008-03-17"</f>
        <v>2008-03-17</v>
      </c>
      <c r="B790" t="str">
        <f>"19.2395"</f>
        <v>19.2395</v>
      </c>
      <c r="C790">
        <v>788</v>
      </c>
      <c r="D790" s="7">
        <v>19.2395</v>
      </c>
      <c r="E790" s="7">
        <f t="shared" si="24"/>
        <v>15160.726000000001</v>
      </c>
      <c r="F790" s="7">
        <f t="shared" si="25"/>
        <v>620944</v>
      </c>
      <c r="G790" s="7"/>
    </row>
    <row r="791" spans="1:7" x14ac:dyDescent="0.35">
      <c r="A791" t="str">
        <f>"2008-03-18"</f>
        <v>2008-03-18</v>
      </c>
      <c r="B791" t="str">
        <f>"19.2898"</f>
        <v>19.2898</v>
      </c>
      <c r="C791">
        <v>789</v>
      </c>
      <c r="D791" s="7">
        <v>19.2898</v>
      </c>
      <c r="E791" s="7">
        <f t="shared" si="24"/>
        <v>15219.6522</v>
      </c>
      <c r="F791" s="7">
        <f t="shared" si="25"/>
        <v>622521</v>
      </c>
      <c r="G791" s="7"/>
    </row>
    <row r="792" spans="1:7" x14ac:dyDescent="0.35">
      <c r="A792" t="str">
        <f>"2008-03-19"</f>
        <v>2008-03-19</v>
      </c>
      <c r="B792" t="str">
        <f>"20.0349"</f>
        <v>20.0349</v>
      </c>
      <c r="C792">
        <v>790</v>
      </c>
      <c r="D792" s="7">
        <v>20.0349</v>
      </c>
      <c r="E792" s="7">
        <f t="shared" si="24"/>
        <v>15827.571</v>
      </c>
      <c r="F792" s="7">
        <f t="shared" si="25"/>
        <v>624100</v>
      </c>
      <c r="G792" s="7"/>
    </row>
    <row r="793" spans="1:7" x14ac:dyDescent="0.35">
      <c r="A793" t="str">
        <f>"2008-03-20"</f>
        <v>2008-03-20</v>
      </c>
      <c r="B793" t="str">
        <f>"21.1746"</f>
        <v>21.1746</v>
      </c>
      <c r="C793">
        <v>791</v>
      </c>
      <c r="D793" s="7">
        <v>21.174600000000002</v>
      </c>
      <c r="E793" s="7">
        <f t="shared" si="24"/>
        <v>16749.1086</v>
      </c>
      <c r="F793" s="7">
        <f t="shared" si="25"/>
        <v>625681</v>
      </c>
      <c r="G793" s="7"/>
    </row>
    <row r="794" spans="1:7" x14ac:dyDescent="0.35">
      <c r="A794" t="str">
        <f>"2008-03-24"</f>
        <v>2008-03-24</v>
      </c>
      <c r="B794" t="str">
        <f>"21.0695"</f>
        <v>21.0695</v>
      </c>
      <c r="C794">
        <v>792</v>
      </c>
      <c r="D794" s="7">
        <v>21.069500000000001</v>
      </c>
      <c r="E794" s="7">
        <f t="shared" si="24"/>
        <v>16687.044000000002</v>
      </c>
      <c r="F794" s="7">
        <f t="shared" si="25"/>
        <v>627264</v>
      </c>
      <c r="G794" s="7"/>
    </row>
    <row r="795" spans="1:7" x14ac:dyDescent="0.35">
      <c r="A795" t="str">
        <f>"2008-03-25"</f>
        <v>2008-03-25</v>
      </c>
      <c r="B795" t="str">
        <f>"20.8464"</f>
        <v>20.8464</v>
      </c>
      <c r="C795">
        <v>793</v>
      </c>
      <c r="D795" s="7">
        <v>20.846399999999999</v>
      </c>
      <c r="E795" s="7">
        <f t="shared" si="24"/>
        <v>16531.195199999998</v>
      </c>
      <c r="F795" s="7">
        <f t="shared" si="25"/>
        <v>628849</v>
      </c>
      <c r="G795" s="7"/>
    </row>
    <row r="796" spans="1:7" x14ac:dyDescent="0.35">
      <c r="A796" t="str">
        <f>"2008-03-26"</f>
        <v>2008-03-26</v>
      </c>
      <c r="B796" t="str">
        <f>"20.2407"</f>
        <v>20.2407</v>
      </c>
      <c r="C796">
        <v>794</v>
      </c>
      <c r="D796" s="7">
        <v>20.2407</v>
      </c>
      <c r="E796" s="7">
        <f t="shared" si="24"/>
        <v>16071.1158</v>
      </c>
      <c r="F796" s="7">
        <f t="shared" si="25"/>
        <v>630436</v>
      </c>
      <c r="G796" s="7"/>
    </row>
    <row r="797" spans="1:7" x14ac:dyDescent="0.35">
      <c r="A797" t="str">
        <f>"2008-03-27"</f>
        <v>2008-03-27</v>
      </c>
      <c r="B797" t="str">
        <f>"20.5011"</f>
        <v>20.5011</v>
      </c>
      <c r="C797">
        <v>795</v>
      </c>
      <c r="D797" s="7">
        <v>20.501100000000001</v>
      </c>
      <c r="E797" s="7">
        <f t="shared" si="24"/>
        <v>16298.3745</v>
      </c>
      <c r="F797" s="7">
        <f t="shared" si="25"/>
        <v>632025</v>
      </c>
      <c r="G797" s="7"/>
    </row>
    <row r="798" spans="1:7" x14ac:dyDescent="0.35">
      <c r="A798" t="str">
        <f>"2008-03-28"</f>
        <v>2008-03-28</v>
      </c>
      <c r="B798" t="str">
        <f>"20.1963"</f>
        <v>20.1963</v>
      </c>
      <c r="C798">
        <v>796</v>
      </c>
      <c r="D798" s="7">
        <v>20.196300000000001</v>
      </c>
      <c r="E798" s="7">
        <f t="shared" si="24"/>
        <v>16076.254800000001</v>
      </c>
      <c r="F798" s="7">
        <f t="shared" si="25"/>
        <v>633616</v>
      </c>
      <c r="G798" s="7"/>
    </row>
    <row r="799" spans="1:7" x14ac:dyDescent="0.35">
      <c r="A799" t="str">
        <f>"2008-03-31"</f>
        <v>2008-03-31</v>
      </c>
      <c r="B799" t="str">
        <f>"19.7175"</f>
        <v>19.7175</v>
      </c>
      <c r="C799">
        <v>797</v>
      </c>
      <c r="D799" s="7">
        <v>19.717500000000001</v>
      </c>
      <c r="E799" s="7">
        <f t="shared" si="24"/>
        <v>15714.847500000002</v>
      </c>
      <c r="F799" s="7">
        <f t="shared" si="25"/>
        <v>635209</v>
      </c>
      <c r="G799" s="7"/>
    </row>
    <row r="800" spans="1:7" x14ac:dyDescent="0.35">
      <c r="A800" t="str">
        <f>"2008-04-02"</f>
        <v>2008-04-02</v>
      </c>
      <c r="B800" t="str">
        <f>"22.677"</f>
        <v>22.677</v>
      </c>
      <c r="C800">
        <v>798</v>
      </c>
      <c r="D800" s="7">
        <v>22.677</v>
      </c>
      <c r="E800" s="7">
        <f t="shared" si="24"/>
        <v>18096.245999999999</v>
      </c>
      <c r="F800" s="7">
        <f t="shared" si="25"/>
        <v>636804</v>
      </c>
      <c r="G800" s="7"/>
    </row>
    <row r="801" spans="1:7" x14ac:dyDescent="0.35">
      <c r="A801" t="str">
        <f>"2008-04-03"</f>
        <v>2008-04-03</v>
      </c>
      <c r="B801" t="str">
        <f>"21.9291"</f>
        <v>21.9291</v>
      </c>
      <c r="C801">
        <v>799</v>
      </c>
      <c r="D801" s="7">
        <v>21.929099999999998</v>
      </c>
      <c r="E801" s="7">
        <f t="shared" si="24"/>
        <v>17521.350899999998</v>
      </c>
      <c r="F801" s="7">
        <f t="shared" si="25"/>
        <v>638401</v>
      </c>
      <c r="G801" s="7"/>
    </row>
    <row r="802" spans="1:7" x14ac:dyDescent="0.35">
      <c r="A802" t="str">
        <f>"2008-04-04"</f>
        <v>2008-04-04</v>
      </c>
      <c r="B802" t="str">
        <f>"22.5336"</f>
        <v>22.5336</v>
      </c>
      <c r="C802">
        <v>800</v>
      </c>
      <c r="D802" s="7">
        <v>22.5336</v>
      </c>
      <c r="E802" s="7">
        <f t="shared" si="24"/>
        <v>18026.88</v>
      </c>
      <c r="F802" s="7">
        <f t="shared" si="25"/>
        <v>640000</v>
      </c>
      <c r="G802" s="7"/>
    </row>
    <row r="803" spans="1:7" x14ac:dyDescent="0.35">
      <c r="A803" t="str">
        <f>"2008-04-07"</f>
        <v>2008-04-07</v>
      </c>
      <c r="B803" t="str">
        <f>"22.9976"</f>
        <v>22.9976</v>
      </c>
      <c r="C803">
        <v>801</v>
      </c>
      <c r="D803" s="7">
        <v>22.997599999999998</v>
      </c>
      <c r="E803" s="7">
        <f t="shared" si="24"/>
        <v>18421.077600000001</v>
      </c>
      <c r="F803" s="7">
        <f t="shared" si="25"/>
        <v>641601</v>
      </c>
      <c r="G803" s="7"/>
    </row>
    <row r="804" spans="1:7" x14ac:dyDescent="0.35">
      <c r="A804" t="str">
        <f>"2008-04-08"</f>
        <v>2008-04-08</v>
      </c>
      <c r="B804" t="str">
        <f>"22.4822"</f>
        <v>22.4822</v>
      </c>
      <c r="C804">
        <v>802</v>
      </c>
      <c r="D804" s="7">
        <v>22.482199999999999</v>
      </c>
      <c r="E804" s="7">
        <f t="shared" si="24"/>
        <v>18030.724399999999</v>
      </c>
      <c r="F804" s="7">
        <f t="shared" si="25"/>
        <v>643204</v>
      </c>
      <c r="G804" s="7"/>
    </row>
    <row r="805" spans="1:7" x14ac:dyDescent="0.35">
      <c r="A805" t="str">
        <f>"2008-04-09"</f>
        <v>2008-04-09</v>
      </c>
      <c r="B805" t="str">
        <f>"23.7596"</f>
        <v>23.7596</v>
      </c>
      <c r="C805">
        <v>803</v>
      </c>
      <c r="D805" s="7">
        <v>23.759599999999999</v>
      </c>
      <c r="E805" s="7">
        <f t="shared" si="24"/>
        <v>19078.9588</v>
      </c>
      <c r="F805" s="7">
        <f t="shared" si="25"/>
        <v>644809</v>
      </c>
      <c r="G805" s="7"/>
    </row>
    <row r="806" spans="1:7" x14ac:dyDescent="0.35">
      <c r="A806" t="str">
        <f>"2008-04-10"</f>
        <v>2008-04-10</v>
      </c>
      <c r="B806" t="str">
        <f>"23.5676"</f>
        <v>23.5676</v>
      </c>
      <c r="C806">
        <v>804</v>
      </c>
      <c r="D806" s="7">
        <v>23.567599999999999</v>
      </c>
      <c r="E806" s="7">
        <f t="shared" si="24"/>
        <v>18948.350399999999</v>
      </c>
      <c r="F806" s="7">
        <f t="shared" si="25"/>
        <v>646416</v>
      </c>
      <c r="G806" s="7"/>
    </row>
    <row r="807" spans="1:7" x14ac:dyDescent="0.35">
      <c r="A807" t="str">
        <f>"2008-04-11"</f>
        <v>2008-04-11</v>
      </c>
      <c r="B807" t="str">
        <f>"23.2266"</f>
        <v>23.2266</v>
      </c>
      <c r="C807">
        <v>805</v>
      </c>
      <c r="D807" s="7">
        <v>23.226600000000001</v>
      </c>
      <c r="E807" s="7">
        <f t="shared" si="24"/>
        <v>18697.413</v>
      </c>
      <c r="F807" s="7">
        <f t="shared" si="25"/>
        <v>648025</v>
      </c>
      <c r="G807" s="7"/>
    </row>
    <row r="808" spans="1:7" x14ac:dyDescent="0.35">
      <c r="A808" t="str">
        <f>"2008-04-14"</f>
        <v>2008-04-14</v>
      </c>
      <c r="B808" t="str">
        <f>"22.981"</f>
        <v>22.981</v>
      </c>
      <c r="C808">
        <v>806</v>
      </c>
      <c r="D808" s="7">
        <v>22.981000000000002</v>
      </c>
      <c r="E808" s="7">
        <f t="shared" si="24"/>
        <v>18522.686000000002</v>
      </c>
      <c r="F808" s="7">
        <f t="shared" si="25"/>
        <v>649636</v>
      </c>
      <c r="G808" s="7"/>
    </row>
    <row r="809" spans="1:7" x14ac:dyDescent="0.35">
      <c r="A809" t="str">
        <f>"2008-04-15"</f>
        <v>2008-04-15</v>
      </c>
      <c r="B809" t="str">
        <f>"22.8104"</f>
        <v>22.8104</v>
      </c>
      <c r="C809">
        <v>807</v>
      </c>
      <c r="D809" s="7">
        <v>22.810400000000001</v>
      </c>
      <c r="E809" s="7">
        <f t="shared" si="24"/>
        <v>18407.9928</v>
      </c>
      <c r="F809" s="7">
        <f t="shared" si="25"/>
        <v>651249</v>
      </c>
      <c r="G809" s="7"/>
    </row>
    <row r="810" spans="1:7" x14ac:dyDescent="0.35">
      <c r="A810" t="str">
        <f>"2008-04-16"</f>
        <v>2008-04-16</v>
      </c>
      <c r="B810" t="str">
        <f>"21.9894"</f>
        <v>21.9894</v>
      </c>
      <c r="C810">
        <v>808</v>
      </c>
      <c r="D810" s="7">
        <v>21.9894</v>
      </c>
      <c r="E810" s="7">
        <f t="shared" si="24"/>
        <v>17767.4352</v>
      </c>
      <c r="F810" s="7">
        <f t="shared" si="25"/>
        <v>652864</v>
      </c>
      <c r="G810" s="7"/>
    </row>
    <row r="811" spans="1:7" x14ac:dyDescent="0.35">
      <c r="A811" t="str">
        <f>"2008-04-17"</f>
        <v>2008-04-17</v>
      </c>
      <c r="B811" t="str">
        <f>"21.574"</f>
        <v>21.574</v>
      </c>
      <c r="C811">
        <v>809</v>
      </c>
      <c r="D811" s="7">
        <v>21.574000000000002</v>
      </c>
      <c r="E811" s="7">
        <f t="shared" si="24"/>
        <v>17453.366000000002</v>
      </c>
      <c r="F811" s="7">
        <f t="shared" si="25"/>
        <v>654481</v>
      </c>
      <c r="G811" s="7"/>
    </row>
    <row r="812" spans="1:7" x14ac:dyDescent="0.35">
      <c r="A812" t="str">
        <f>"2008-04-18"</f>
        <v>2008-04-18</v>
      </c>
      <c r="B812" t="str">
        <f>"23.0075"</f>
        <v>23.0075</v>
      </c>
      <c r="C812">
        <v>810</v>
      </c>
      <c r="D812" s="7">
        <v>23.0075</v>
      </c>
      <c r="E812" s="7">
        <f t="shared" si="24"/>
        <v>18636.075000000001</v>
      </c>
      <c r="F812" s="7">
        <f t="shared" si="25"/>
        <v>656100</v>
      </c>
      <c r="G812" s="7"/>
    </row>
    <row r="813" spans="1:7" x14ac:dyDescent="0.35">
      <c r="A813" t="str">
        <f>"2008-04-21"</f>
        <v>2008-04-21</v>
      </c>
      <c r="B813" t="str">
        <f>"22.6754"</f>
        <v>22.6754</v>
      </c>
      <c r="C813">
        <v>811</v>
      </c>
      <c r="D813" s="7">
        <v>22.6754</v>
      </c>
      <c r="E813" s="7">
        <f t="shared" si="24"/>
        <v>18389.749400000001</v>
      </c>
      <c r="F813" s="7">
        <f t="shared" si="25"/>
        <v>657721</v>
      </c>
      <c r="G813" s="7"/>
    </row>
    <row r="814" spans="1:7" x14ac:dyDescent="0.35">
      <c r="A814" t="str">
        <f>"2008-04-22"</f>
        <v>2008-04-22</v>
      </c>
      <c r="B814" t="str">
        <f>"22.9294"</f>
        <v>22.9294</v>
      </c>
      <c r="C814">
        <v>812</v>
      </c>
      <c r="D814" s="7">
        <v>22.929400000000001</v>
      </c>
      <c r="E814" s="7">
        <f t="shared" si="24"/>
        <v>18618.6728</v>
      </c>
      <c r="F814" s="7">
        <f t="shared" si="25"/>
        <v>659344</v>
      </c>
      <c r="G814" s="7"/>
    </row>
    <row r="815" spans="1:7" x14ac:dyDescent="0.35">
      <c r="A815" t="str">
        <f>"2008-04-24"</f>
        <v>2008-04-24</v>
      </c>
      <c r="B815" t="str">
        <f>"24.359"</f>
        <v>24.359</v>
      </c>
      <c r="C815">
        <v>813</v>
      </c>
      <c r="D815" s="7">
        <v>24.359000000000002</v>
      </c>
      <c r="E815" s="7">
        <f t="shared" si="24"/>
        <v>19803.867000000002</v>
      </c>
      <c r="F815" s="7">
        <f t="shared" si="25"/>
        <v>660969</v>
      </c>
      <c r="G815" s="7"/>
    </row>
    <row r="816" spans="1:7" x14ac:dyDescent="0.35">
      <c r="A816" t="str">
        <f>"2008-04-25"</f>
        <v>2008-04-25</v>
      </c>
      <c r="B816" t="str">
        <f>"25.5115"</f>
        <v>25.5115</v>
      </c>
      <c r="C816">
        <v>814</v>
      </c>
      <c r="D816" s="7">
        <v>25.511500000000002</v>
      </c>
      <c r="E816" s="7">
        <f t="shared" si="24"/>
        <v>20766.361000000001</v>
      </c>
      <c r="F816" s="7">
        <f t="shared" si="25"/>
        <v>662596</v>
      </c>
      <c r="G816" s="7"/>
    </row>
    <row r="817" spans="1:7" x14ac:dyDescent="0.35">
      <c r="A817" t="str">
        <f>"2008-04-28"</f>
        <v>2008-04-28</v>
      </c>
      <c r="B817" t="str">
        <f>"25.3663"</f>
        <v>25.3663</v>
      </c>
      <c r="C817">
        <v>815</v>
      </c>
      <c r="D817" s="7">
        <v>25.366299999999999</v>
      </c>
      <c r="E817" s="7">
        <f t="shared" si="24"/>
        <v>20673.534499999998</v>
      </c>
      <c r="F817" s="7">
        <f t="shared" si="25"/>
        <v>664225</v>
      </c>
      <c r="G817" s="7"/>
    </row>
    <row r="818" spans="1:7" x14ac:dyDescent="0.35">
      <c r="A818" t="str">
        <f>"2008-04-29"</f>
        <v>2008-04-29</v>
      </c>
      <c r="B818" t="str">
        <f>"25.2442"</f>
        <v>25.2442</v>
      </c>
      <c r="C818">
        <v>816</v>
      </c>
      <c r="D818" s="7">
        <v>25.244199999999999</v>
      </c>
      <c r="E818" s="7">
        <f t="shared" si="24"/>
        <v>20599.267199999998</v>
      </c>
      <c r="F818" s="7">
        <f t="shared" si="25"/>
        <v>665856</v>
      </c>
      <c r="G818" s="7"/>
    </row>
    <row r="819" spans="1:7" x14ac:dyDescent="0.35">
      <c r="A819" t="str">
        <f>"2008-04-30"</f>
        <v>2008-04-30</v>
      </c>
      <c r="B819" t="str">
        <f>"25.2439"</f>
        <v>25.2439</v>
      </c>
      <c r="C819">
        <v>817</v>
      </c>
      <c r="D819" s="7">
        <v>25.2439</v>
      </c>
      <c r="E819" s="7">
        <f t="shared" si="24"/>
        <v>20624.266299999999</v>
      </c>
      <c r="F819" s="7">
        <f t="shared" si="25"/>
        <v>667489</v>
      </c>
      <c r="G819" s="7"/>
    </row>
    <row r="820" spans="1:7" x14ac:dyDescent="0.35">
      <c r="A820" t="str">
        <f>"2008-05-02"</f>
        <v>2008-05-02</v>
      </c>
      <c r="B820" t="str">
        <f>"27.2522"</f>
        <v>27.2522</v>
      </c>
      <c r="C820">
        <v>818</v>
      </c>
      <c r="D820" s="7">
        <v>27.252199999999998</v>
      </c>
      <c r="E820" s="7">
        <f t="shared" si="24"/>
        <v>22292.299599999998</v>
      </c>
      <c r="F820" s="7">
        <f t="shared" si="25"/>
        <v>669124</v>
      </c>
      <c r="G820" s="7"/>
    </row>
    <row r="821" spans="1:7" x14ac:dyDescent="0.35">
      <c r="A821" t="str">
        <f>"2008-05-05"</f>
        <v>2008-05-05</v>
      </c>
      <c r="B821" t="str">
        <f>"25.9961"</f>
        <v>25.9961</v>
      </c>
      <c r="C821">
        <v>819</v>
      </c>
      <c r="D821" s="7">
        <v>25.996099999999998</v>
      </c>
      <c r="E821" s="7">
        <f t="shared" si="24"/>
        <v>21290.805899999999</v>
      </c>
      <c r="F821" s="7">
        <f t="shared" si="25"/>
        <v>670761</v>
      </c>
      <c r="G821" s="7"/>
    </row>
    <row r="822" spans="1:7" x14ac:dyDescent="0.35">
      <c r="A822" t="str">
        <f>"2008-05-06"</f>
        <v>2008-05-06</v>
      </c>
      <c r="B822" t="str">
        <f>"25.7849"</f>
        <v>25.7849</v>
      </c>
      <c r="C822">
        <v>820</v>
      </c>
      <c r="D822" s="7">
        <v>25.7849</v>
      </c>
      <c r="E822" s="7">
        <f t="shared" si="24"/>
        <v>21143.617999999999</v>
      </c>
      <c r="F822" s="7">
        <f t="shared" si="25"/>
        <v>672400</v>
      </c>
      <c r="G822" s="7"/>
    </row>
    <row r="823" spans="1:7" x14ac:dyDescent="0.35">
      <c r="A823" t="str">
        <f>"2008-05-07"</f>
        <v>2008-05-07</v>
      </c>
      <c r="B823" t="str">
        <f>"26.5862"</f>
        <v>26.5862</v>
      </c>
      <c r="C823">
        <v>821</v>
      </c>
      <c r="D823" s="7">
        <v>26.586200000000002</v>
      </c>
      <c r="E823" s="7">
        <f t="shared" si="24"/>
        <v>21827.270200000003</v>
      </c>
      <c r="F823" s="7">
        <f t="shared" si="25"/>
        <v>674041</v>
      </c>
      <c r="G823" s="7"/>
    </row>
    <row r="824" spans="1:7" x14ac:dyDescent="0.35">
      <c r="A824" t="str">
        <f>"2008-05-08"</f>
        <v>2008-05-08</v>
      </c>
      <c r="B824" t="str">
        <f>"25.9988"</f>
        <v>25.9988</v>
      </c>
      <c r="C824">
        <v>822</v>
      </c>
      <c r="D824" s="7">
        <v>25.998799999999999</v>
      </c>
      <c r="E824" s="7">
        <f t="shared" si="24"/>
        <v>21371.013599999998</v>
      </c>
      <c r="F824" s="7">
        <f t="shared" si="25"/>
        <v>675684</v>
      </c>
      <c r="G824" s="7"/>
    </row>
    <row r="825" spans="1:7" x14ac:dyDescent="0.35">
      <c r="A825" t="str">
        <f>"2008-05-09"</f>
        <v>2008-05-09</v>
      </c>
      <c r="B825" t="str">
        <f>"25.198"</f>
        <v>25.198</v>
      </c>
      <c r="C825">
        <v>823</v>
      </c>
      <c r="D825" s="7">
        <v>25.198</v>
      </c>
      <c r="E825" s="7">
        <f t="shared" si="24"/>
        <v>20737.954000000002</v>
      </c>
      <c r="F825" s="7">
        <f t="shared" si="25"/>
        <v>677329</v>
      </c>
      <c r="G825" s="7"/>
    </row>
    <row r="826" spans="1:7" x14ac:dyDescent="0.35">
      <c r="A826" t="str">
        <f>"2008-05-12"</f>
        <v>2008-05-12</v>
      </c>
      <c r="B826" t="str">
        <f>"25.5173"</f>
        <v>25.5173</v>
      </c>
      <c r="C826">
        <v>824</v>
      </c>
      <c r="D826" s="7">
        <v>25.517299999999999</v>
      </c>
      <c r="E826" s="7">
        <f t="shared" si="24"/>
        <v>21026.2552</v>
      </c>
      <c r="F826" s="7">
        <f t="shared" si="25"/>
        <v>678976</v>
      </c>
      <c r="G826" s="7"/>
    </row>
    <row r="827" spans="1:7" x14ac:dyDescent="0.35">
      <c r="A827" t="str">
        <f>"2008-05-13"</f>
        <v>2008-05-13</v>
      </c>
      <c r="B827" t="str">
        <f>"26.3477"</f>
        <v>26.3477</v>
      </c>
      <c r="C827">
        <v>825</v>
      </c>
      <c r="D827" s="7">
        <v>26.3477</v>
      </c>
      <c r="E827" s="7">
        <f t="shared" si="24"/>
        <v>21736.852500000001</v>
      </c>
      <c r="F827" s="7">
        <f t="shared" si="25"/>
        <v>680625</v>
      </c>
      <c r="G827" s="7"/>
    </row>
    <row r="828" spans="1:7" x14ac:dyDescent="0.35">
      <c r="A828" t="str">
        <f>"2008-05-14"</f>
        <v>2008-05-14</v>
      </c>
      <c r="B828" t="str">
        <f>"26.391"</f>
        <v>26.391</v>
      </c>
      <c r="C828">
        <v>826</v>
      </c>
      <c r="D828" s="7">
        <v>26.390999999999998</v>
      </c>
      <c r="E828" s="7">
        <f t="shared" si="24"/>
        <v>21798.966</v>
      </c>
      <c r="F828" s="7">
        <f t="shared" si="25"/>
        <v>682276</v>
      </c>
      <c r="G828" s="7"/>
    </row>
    <row r="829" spans="1:7" x14ac:dyDescent="0.35">
      <c r="A829" t="str">
        <f>"2008-05-15"</f>
        <v>2008-05-15</v>
      </c>
      <c r="B829" t="str">
        <f>"26.8064"</f>
        <v>26.8064</v>
      </c>
      <c r="C829">
        <v>827</v>
      </c>
      <c r="D829" s="7">
        <v>26.8064</v>
      </c>
      <c r="E829" s="7">
        <f t="shared" si="24"/>
        <v>22168.892800000001</v>
      </c>
      <c r="F829" s="7">
        <f t="shared" si="25"/>
        <v>683929</v>
      </c>
      <c r="G829" s="7"/>
    </row>
    <row r="830" spans="1:7" x14ac:dyDescent="0.35">
      <c r="A830" t="str">
        <f>"2008-05-16"</f>
        <v>2008-05-16</v>
      </c>
      <c r="B830" t="str">
        <f>"25.5197"</f>
        <v>25.5197</v>
      </c>
      <c r="C830">
        <v>828</v>
      </c>
      <c r="D830" s="7">
        <v>25.5197</v>
      </c>
      <c r="E830" s="7">
        <f t="shared" si="24"/>
        <v>21130.311600000001</v>
      </c>
      <c r="F830" s="7">
        <f t="shared" si="25"/>
        <v>685584</v>
      </c>
      <c r="G830" s="7"/>
    </row>
    <row r="831" spans="1:7" x14ac:dyDescent="0.35">
      <c r="A831" t="str">
        <f>"2008-05-20"</f>
        <v>2008-05-20</v>
      </c>
      <c r="B831" t="str">
        <f>"23.757"</f>
        <v>23.757</v>
      </c>
      <c r="C831">
        <v>829</v>
      </c>
      <c r="D831" s="7">
        <v>23.757000000000001</v>
      </c>
      <c r="E831" s="7">
        <f t="shared" si="24"/>
        <v>19694.553</v>
      </c>
      <c r="F831" s="7">
        <f t="shared" si="25"/>
        <v>687241</v>
      </c>
      <c r="G831" s="7"/>
    </row>
    <row r="832" spans="1:7" x14ac:dyDescent="0.35">
      <c r="A832" t="str">
        <f>"2008-05-21"</f>
        <v>2008-05-21</v>
      </c>
      <c r="B832" t="str">
        <f>"22.0108"</f>
        <v>22.0108</v>
      </c>
      <c r="C832">
        <v>830</v>
      </c>
      <c r="D832" s="7">
        <v>22.0108</v>
      </c>
      <c r="E832" s="7">
        <f t="shared" si="24"/>
        <v>18268.964</v>
      </c>
      <c r="F832" s="7">
        <f t="shared" si="25"/>
        <v>688900</v>
      </c>
      <c r="G832" s="7"/>
    </row>
    <row r="833" spans="1:7" x14ac:dyDescent="0.35">
      <c r="A833" t="str">
        <f>"2008-05-22"</f>
        <v>2008-05-22</v>
      </c>
      <c r="B833" t="str">
        <f>"21.2821"</f>
        <v>21.2821</v>
      </c>
      <c r="C833">
        <v>831</v>
      </c>
      <c r="D833" s="7">
        <v>21.2821</v>
      </c>
      <c r="E833" s="7">
        <f t="shared" si="24"/>
        <v>17685.4251</v>
      </c>
      <c r="F833" s="7">
        <f t="shared" si="25"/>
        <v>690561</v>
      </c>
      <c r="G833" s="7"/>
    </row>
    <row r="834" spans="1:7" x14ac:dyDescent="0.35">
      <c r="A834" t="str">
        <f>"2008-05-23"</f>
        <v>2008-05-23</v>
      </c>
      <c r="B834" t="str">
        <f>"21.9842"</f>
        <v>21.9842</v>
      </c>
      <c r="C834">
        <v>832</v>
      </c>
      <c r="D834" s="7">
        <v>21.984200000000001</v>
      </c>
      <c r="E834" s="7">
        <f t="shared" si="24"/>
        <v>18290.8544</v>
      </c>
      <c r="F834" s="7">
        <f t="shared" si="25"/>
        <v>692224</v>
      </c>
      <c r="G834" s="7"/>
    </row>
    <row r="835" spans="1:7" x14ac:dyDescent="0.35">
      <c r="A835" t="str">
        <f>"2008-05-27"</f>
        <v>2008-05-27</v>
      </c>
      <c r="B835" t="str">
        <f>"22.4819"</f>
        <v>22.4819</v>
      </c>
      <c r="C835">
        <v>833</v>
      </c>
      <c r="D835" s="7">
        <v>22.4819</v>
      </c>
      <c r="E835" s="7">
        <f t="shared" si="24"/>
        <v>18727.422699999999</v>
      </c>
      <c r="F835" s="7">
        <f t="shared" si="25"/>
        <v>693889</v>
      </c>
      <c r="G835" s="7"/>
    </row>
    <row r="836" spans="1:7" x14ac:dyDescent="0.35">
      <c r="A836" t="str">
        <f>"2008-05-28"</f>
        <v>2008-05-28</v>
      </c>
      <c r="B836" t="str">
        <f>"23.9469"</f>
        <v>23.9469</v>
      </c>
      <c r="C836">
        <v>834</v>
      </c>
      <c r="D836" s="7">
        <v>23.946899999999999</v>
      </c>
      <c r="E836" s="7">
        <f t="shared" ref="E836:E899" si="26">C836*D836</f>
        <v>19971.714599999999</v>
      </c>
      <c r="F836" s="7">
        <f t="shared" ref="F836:F899" si="27">C836*C836</f>
        <v>695556</v>
      </c>
      <c r="G836" s="7"/>
    </row>
    <row r="837" spans="1:7" x14ac:dyDescent="0.35">
      <c r="A837" t="str">
        <f>"2008-05-29"</f>
        <v>2008-05-29</v>
      </c>
      <c r="B837" t="str">
        <f>"23.6785"</f>
        <v>23.6785</v>
      </c>
      <c r="C837">
        <v>835</v>
      </c>
      <c r="D837" s="7">
        <v>23.6785</v>
      </c>
      <c r="E837" s="7">
        <f t="shared" si="26"/>
        <v>19771.547500000001</v>
      </c>
      <c r="F837" s="7">
        <f t="shared" si="27"/>
        <v>697225</v>
      </c>
      <c r="G837" s="7"/>
    </row>
    <row r="838" spans="1:7" x14ac:dyDescent="0.35">
      <c r="A838" t="str">
        <f>"2008-05-30"</f>
        <v>2008-05-30</v>
      </c>
      <c r="B838" t="str">
        <f>"23.985"</f>
        <v>23.985</v>
      </c>
      <c r="C838">
        <v>836</v>
      </c>
      <c r="D838" s="7">
        <v>23.984999999999999</v>
      </c>
      <c r="E838" s="7">
        <f t="shared" si="26"/>
        <v>20051.46</v>
      </c>
      <c r="F838" s="7">
        <f t="shared" si="27"/>
        <v>698896</v>
      </c>
      <c r="G838" s="7"/>
    </row>
    <row r="839" spans="1:7" x14ac:dyDescent="0.35">
      <c r="A839" t="str">
        <f>"2008-06-02"</f>
        <v>2008-06-02</v>
      </c>
      <c r="B839" t="str">
        <f>"24.5803"</f>
        <v>24.5803</v>
      </c>
      <c r="C839">
        <v>837</v>
      </c>
      <c r="D839" s="7">
        <v>24.580300000000001</v>
      </c>
      <c r="E839" s="7">
        <f t="shared" si="26"/>
        <v>20573.7111</v>
      </c>
      <c r="F839" s="7">
        <f t="shared" si="27"/>
        <v>700569</v>
      </c>
      <c r="G839" s="7"/>
    </row>
    <row r="840" spans="1:7" x14ac:dyDescent="0.35">
      <c r="A840" t="str">
        <f>"2008-06-03"</f>
        <v>2008-06-03</v>
      </c>
      <c r="B840" t="str">
        <f>"24.9525"</f>
        <v>24.9525</v>
      </c>
      <c r="C840">
        <v>838</v>
      </c>
      <c r="D840" s="7">
        <v>24.952500000000001</v>
      </c>
      <c r="E840" s="7">
        <f t="shared" si="26"/>
        <v>20910.195</v>
      </c>
      <c r="F840" s="7">
        <f t="shared" si="27"/>
        <v>702244</v>
      </c>
      <c r="G840" s="7"/>
    </row>
    <row r="841" spans="1:7" x14ac:dyDescent="0.35">
      <c r="A841" t="str">
        <f>"2008-06-04"</f>
        <v>2008-06-04</v>
      </c>
      <c r="B841" t="str">
        <f>"24.3832"</f>
        <v>24.3832</v>
      </c>
      <c r="C841">
        <v>839</v>
      </c>
      <c r="D841" s="7">
        <v>24.383199999999999</v>
      </c>
      <c r="E841" s="7">
        <f t="shared" si="26"/>
        <v>20457.504799999999</v>
      </c>
      <c r="F841" s="7">
        <f t="shared" si="27"/>
        <v>703921</v>
      </c>
      <c r="G841" s="7"/>
    </row>
    <row r="842" spans="1:7" x14ac:dyDescent="0.35">
      <c r="A842" t="str">
        <f>"2008-06-05"</f>
        <v>2008-06-05</v>
      </c>
      <c r="B842" t="str">
        <f>"23.8614"</f>
        <v>23.8614</v>
      </c>
      <c r="C842">
        <v>840</v>
      </c>
      <c r="D842" s="7">
        <v>23.8614</v>
      </c>
      <c r="E842" s="7">
        <f t="shared" si="26"/>
        <v>20043.576000000001</v>
      </c>
      <c r="F842" s="7">
        <f t="shared" si="27"/>
        <v>705600</v>
      </c>
      <c r="G842" s="7"/>
    </row>
    <row r="843" spans="1:7" x14ac:dyDescent="0.35">
      <c r="A843" t="str">
        <f>"2008-06-06"</f>
        <v>2008-06-06</v>
      </c>
      <c r="B843" t="str">
        <f>"22.7147"</f>
        <v>22.7147</v>
      </c>
      <c r="C843">
        <v>841</v>
      </c>
      <c r="D843" s="7">
        <v>22.714700000000001</v>
      </c>
      <c r="E843" s="7">
        <f t="shared" si="26"/>
        <v>19103.062700000002</v>
      </c>
      <c r="F843" s="7">
        <f t="shared" si="27"/>
        <v>707281</v>
      </c>
      <c r="G843" s="7"/>
    </row>
    <row r="844" spans="1:7" x14ac:dyDescent="0.35">
      <c r="A844" t="str">
        <f>"2008-06-09"</f>
        <v>2008-06-09</v>
      </c>
      <c r="B844" t="str">
        <f>"21.8128"</f>
        <v>21.8128</v>
      </c>
      <c r="C844">
        <v>842</v>
      </c>
      <c r="D844" s="7">
        <v>21.812799999999999</v>
      </c>
      <c r="E844" s="7">
        <f t="shared" si="26"/>
        <v>18366.3776</v>
      </c>
      <c r="F844" s="7">
        <f t="shared" si="27"/>
        <v>708964</v>
      </c>
      <c r="G844" s="7"/>
    </row>
    <row r="845" spans="1:7" x14ac:dyDescent="0.35">
      <c r="A845" t="str">
        <f>"2008-06-10"</f>
        <v>2008-06-10</v>
      </c>
      <c r="B845" t="str">
        <f>"21.7317"</f>
        <v>21.7317</v>
      </c>
      <c r="C845">
        <v>843</v>
      </c>
      <c r="D845" s="7">
        <v>21.7317</v>
      </c>
      <c r="E845" s="7">
        <f t="shared" si="26"/>
        <v>18319.823100000001</v>
      </c>
      <c r="F845" s="7">
        <f t="shared" si="27"/>
        <v>710649</v>
      </c>
      <c r="G845" s="7"/>
    </row>
    <row r="846" spans="1:7" x14ac:dyDescent="0.35">
      <c r="A846" t="str">
        <f>"2008-06-11"</f>
        <v>2008-06-11</v>
      </c>
      <c r="B846" t="str">
        <f>"21.8439"</f>
        <v>21.8439</v>
      </c>
      <c r="C846">
        <v>844</v>
      </c>
      <c r="D846" s="7">
        <v>21.843900000000001</v>
      </c>
      <c r="E846" s="7">
        <f t="shared" si="26"/>
        <v>18436.2516</v>
      </c>
      <c r="F846" s="7">
        <f t="shared" si="27"/>
        <v>712336</v>
      </c>
      <c r="G846" s="7"/>
    </row>
    <row r="847" spans="1:7" x14ac:dyDescent="0.35">
      <c r="A847" t="str">
        <f>"2008-06-12"</f>
        <v>2008-06-12</v>
      </c>
      <c r="B847" t="str">
        <f>"22.0239"</f>
        <v>22.0239</v>
      </c>
      <c r="C847">
        <v>845</v>
      </c>
      <c r="D847" s="7">
        <v>22.023900000000001</v>
      </c>
      <c r="E847" s="7">
        <f t="shared" si="26"/>
        <v>18610.195500000002</v>
      </c>
      <c r="F847" s="7">
        <f t="shared" si="27"/>
        <v>714025</v>
      </c>
      <c r="G847" s="7"/>
    </row>
    <row r="848" spans="1:7" x14ac:dyDescent="0.35">
      <c r="A848" t="str">
        <f>"2008-06-13"</f>
        <v>2008-06-13</v>
      </c>
      <c r="B848" t="str">
        <f>"21.5203"</f>
        <v>21.5203</v>
      </c>
      <c r="C848">
        <v>846</v>
      </c>
      <c r="D848" s="7">
        <v>21.520299999999999</v>
      </c>
      <c r="E848" s="7">
        <f t="shared" si="26"/>
        <v>18206.1738</v>
      </c>
      <c r="F848" s="7">
        <f t="shared" si="27"/>
        <v>715716</v>
      </c>
      <c r="G848" s="7"/>
    </row>
    <row r="849" spans="1:7" x14ac:dyDescent="0.35">
      <c r="A849" t="str">
        <f>"2008-06-16"</f>
        <v>2008-06-16</v>
      </c>
      <c r="B849" t="str">
        <f>"21.7558"</f>
        <v>21.7558</v>
      </c>
      <c r="C849">
        <v>847</v>
      </c>
      <c r="D849" s="7">
        <v>21.755800000000001</v>
      </c>
      <c r="E849" s="7">
        <f t="shared" si="26"/>
        <v>18427.1626</v>
      </c>
      <c r="F849" s="7">
        <f t="shared" si="27"/>
        <v>717409</v>
      </c>
      <c r="G849" s="7"/>
    </row>
    <row r="850" spans="1:7" x14ac:dyDescent="0.35">
      <c r="A850" t="str">
        <f>"2008-06-17"</f>
        <v>2008-06-17</v>
      </c>
      <c r="B850" t="str">
        <f>"22.2844"</f>
        <v>22.2844</v>
      </c>
      <c r="C850">
        <v>848</v>
      </c>
      <c r="D850" s="7">
        <v>22.284400000000002</v>
      </c>
      <c r="E850" s="7">
        <f t="shared" si="26"/>
        <v>18897.171200000001</v>
      </c>
      <c r="F850" s="7">
        <f t="shared" si="27"/>
        <v>719104</v>
      </c>
      <c r="G850" s="7"/>
    </row>
    <row r="851" spans="1:7" x14ac:dyDescent="0.35">
      <c r="A851" t="str">
        <f>"2008-06-18"</f>
        <v>2008-06-18</v>
      </c>
      <c r="B851" t="str">
        <f>"21.9147"</f>
        <v>21.9147</v>
      </c>
      <c r="C851">
        <v>849</v>
      </c>
      <c r="D851" s="7">
        <v>21.9147</v>
      </c>
      <c r="E851" s="7">
        <f t="shared" si="26"/>
        <v>18605.580300000001</v>
      </c>
      <c r="F851" s="7">
        <f t="shared" si="27"/>
        <v>720801</v>
      </c>
      <c r="G851" s="7"/>
    </row>
    <row r="852" spans="1:7" x14ac:dyDescent="0.35">
      <c r="A852" t="str">
        <f>"2008-06-19"</f>
        <v>2008-06-19</v>
      </c>
      <c r="B852" t="str">
        <f>"21.4064"</f>
        <v>21.4064</v>
      </c>
      <c r="C852">
        <v>850</v>
      </c>
      <c r="D852" s="7">
        <v>21.406400000000001</v>
      </c>
      <c r="E852" s="7">
        <f t="shared" si="26"/>
        <v>18195.440000000002</v>
      </c>
      <c r="F852" s="7">
        <f t="shared" si="27"/>
        <v>722500</v>
      </c>
      <c r="G852" s="7"/>
    </row>
    <row r="853" spans="1:7" x14ac:dyDescent="0.35">
      <c r="A853" t="str">
        <f>"2008-06-20"</f>
        <v>2008-06-20</v>
      </c>
      <c r="B853" t="str">
        <f>"21.3615"</f>
        <v>21.3615</v>
      </c>
      <c r="C853">
        <v>851</v>
      </c>
      <c r="D853" s="7">
        <v>21.361499999999999</v>
      </c>
      <c r="E853" s="7">
        <f t="shared" si="26"/>
        <v>18178.636500000001</v>
      </c>
      <c r="F853" s="7">
        <f t="shared" si="27"/>
        <v>724201</v>
      </c>
      <c r="G853" s="7"/>
    </row>
    <row r="854" spans="1:7" x14ac:dyDescent="0.35">
      <c r="A854" t="str">
        <f>"2008-06-23"</f>
        <v>2008-06-23</v>
      </c>
      <c r="B854" t="str">
        <f>"21.1546"</f>
        <v>21.1546</v>
      </c>
      <c r="C854">
        <v>852</v>
      </c>
      <c r="D854" s="7">
        <v>21.154599999999999</v>
      </c>
      <c r="E854" s="7">
        <f t="shared" si="26"/>
        <v>18023.7192</v>
      </c>
      <c r="F854" s="7">
        <f t="shared" si="27"/>
        <v>725904</v>
      </c>
      <c r="G854" s="7"/>
    </row>
    <row r="855" spans="1:7" x14ac:dyDescent="0.35">
      <c r="A855" t="str">
        <f>"2008-06-24"</f>
        <v>2008-06-24</v>
      </c>
      <c r="B855" t="str">
        <f>"20.024"</f>
        <v>20.024</v>
      </c>
      <c r="C855">
        <v>853</v>
      </c>
      <c r="D855" s="7">
        <v>20.024000000000001</v>
      </c>
      <c r="E855" s="7">
        <f t="shared" si="26"/>
        <v>17080.472000000002</v>
      </c>
      <c r="F855" s="7">
        <f t="shared" si="27"/>
        <v>727609</v>
      </c>
      <c r="G855" s="7"/>
    </row>
    <row r="856" spans="1:7" x14ac:dyDescent="0.35">
      <c r="A856" t="str">
        <f>"2008-06-25"</f>
        <v>2008-06-25</v>
      </c>
      <c r="B856" t="str">
        <f>"20.6679"</f>
        <v>20.6679</v>
      </c>
      <c r="C856">
        <v>854</v>
      </c>
      <c r="D856" s="7">
        <v>20.667899999999999</v>
      </c>
      <c r="E856" s="7">
        <f t="shared" si="26"/>
        <v>17650.386599999998</v>
      </c>
      <c r="F856" s="7">
        <f t="shared" si="27"/>
        <v>729316</v>
      </c>
      <c r="G856" s="7"/>
    </row>
    <row r="857" spans="1:7" x14ac:dyDescent="0.35">
      <c r="A857" t="str">
        <f>"2008-06-26"</f>
        <v>2008-06-26</v>
      </c>
      <c r="B857" t="str">
        <f>"19.85"</f>
        <v>19.85</v>
      </c>
      <c r="C857">
        <v>855</v>
      </c>
      <c r="D857" s="7">
        <v>19.850000000000001</v>
      </c>
      <c r="E857" s="7">
        <f t="shared" si="26"/>
        <v>16971.75</v>
      </c>
      <c r="F857" s="7">
        <f t="shared" si="27"/>
        <v>731025</v>
      </c>
      <c r="G857" s="7"/>
    </row>
    <row r="858" spans="1:7" x14ac:dyDescent="0.35">
      <c r="A858" t="str">
        <f>"2008-06-27"</f>
        <v>2008-06-27</v>
      </c>
      <c r="B858" t="str">
        <f>"18.4455"</f>
        <v>18.4455</v>
      </c>
      <c r="C858">
        <v>856</v>
      </c>
      <c r="D858" s="7">
        <v>18.445499999999999</v>
      </c>
      <c r="E858" s="7">
        <f t="shared" si="26"/>
        <v>15789.348</v>
      </c>
      <c r="F858" s="7">
        <f t="shared" si="27"/>
        <v>732736</v>
      </c>
      <c r="G858" s="7"/>
    </row>
    <row r="859" spans="1:7" x14ac:dyDescent="0.35">
      <c r="A859" t="str">
        <f>"2008-06-30"</f>
        <v>2008-06-30</v>
      </c>
      <c r="B859" t="str">
        <f>"17.7549"</f>
        <v>17.7549</v>
      </c>
      <c r="C859">
        <v>857</v>
      </c>
      <c r="D859" s="7">
        <v>17.754899999999999</v>
      </c>
      <c r="E859" s="7">
        <f t="shared" si="26"/>
        <v>15215.9493</v>
      </c>
      <c r="F859" s="7">
        <f t="shared" si="27"/>
        <v>734449</v>
      </c>
      <c r="G859" s="7"/>
    </row>
    <row r="860" spans="1:7" x14ac:dyDescent="0.35">
      <c r="A860" t="str">
        <f>"2008-07-02"</f>
        <v>2008-07-02</v>
      </c>
      <c r="B860" t="str">
        <f>"15.6255"</f>
        <v>15.6255</v>
      </c>
      <c r="C860">
        <v>858</v>
      </c>
      <c r="D860" s="7">
        <v>15.625500000000001</v>
      </c>
      <c r="E860" s="7">
        <f t="shared" si="26"/>
        <v>13406.679</v>
      </c>
      <c r="F860" s="7">
        <f t="shared" si="27"/>
        <v>736164</v>
      </c>
      <c r="G860" s="7"/>
    </row>
    <row r="861" spans="1:7" x14ac:dyDescent="0.35">
      <c r="A861" t="str">
        <f>"2008-07-03"</f>
        <v>2008-07-03</v>
      </c>
      <c r="B861" t="str">
        <f>"14.5496"</f>
        <v>14.5496</v>
      </c>
      <c r="C861">
        <v>859</v>
      </c>
      <c r="D861" s="7">
        <v>14.5496</v>
      </c>
      <c r="E861" s="7">
        <f t="shared" si="26"/>
        <v>12498.106400000001</v>
      </c>
      <c r="F861" s="7">
        <f t="shared" si="27"/>
        <v>737881</v>
      </c>
      <c r="G861" s="7"/>
    </row>
    <row r="862" spans="1:7" x14ac:dyDescent="0.35">
      <c r="A862" t="str">
        <f>"2008-07-07"</f>
        <v>2008-07-07</v>
      </c>
      <c r="B862" t="str">
        <f>"15.8397"</f>
        <v>15.8397</v>
      </c>
      <c r="C862">
        <v>860</v>
      </c>
      <c r="D862" s="7">
        <v>15.839700000000001</v>
      </c>
      <c r="E862" s="7">
        <f t="shared" si="26"/>
        <v>13622.142</v>
      </c>
      <c r="F862" s="7">
        <f t="shared" si="27"/>
        <v>739600</v>
      </c>
      <c r="G862" s="7"/>
    </row>
    <row r="863" spans="1:7" x14ac:dyDescent="0.35">
      <c r="A863" t="str">
        <f>"2008-07-08"</f>
        <v>2008-07-08</v>
      </c>
      <c r="B863" t="str">
        <f>"15.8597"</f>
        <v>15.8597</v>
      </c>
      <c r="C863">
        <v>861</v>
      </c>
      <c r="D863" s="7">
        <v>15.8597</v>
      </c>
      <c r="E863" s="7">
        <f t="shared" si="26"/>
        <v>13655.2017</v>
      </c>
      <c r="F863" s="7">
        <f t="shared" si="27"/>
        <v>741321</v>
      </c>
      <c r="G863" s="7"/>
    </row>
    <row r="864" spans="1:7" x14ac:dyDescent="0.35">
      <c r="A864" t="str">
        <f>"2008-07-09"</f>
        <v>2008-07-09</v>
      </c>
      <c r="B864" t="str">
        <f>"16.5859"</f>
        <v>16.5859</v>
      </c>
      <c r="C864">
        <v>862</v>
      </c>
      <c r="D864" s="7">
        <v>16.585899999999999</v>
      </c>
      <c r="E864" s="7">
        <f t="shared" si="26"/>
        <v>14297.045799999998</v>
      </c>
      <c r="F864" s="7">
        <f t="shared" si="27"/>
        <v>743044</v>
      </c>
      <c r="G864" s="7"/>
    </row>
    <row r="865" spans="1:7" x14ac:dyDescent="0.35">
      <c r="A865" t="str">
        <f>"2008-07-10"</f>
        <v>2008-07-10</v>
      </c>
      <c r="B865" t="str">
        <f>"17.5825"</f>
        <v>17.5825</v>
      </c>
      <c r="C865">
        <v>863</v>
      </c>
      <c r="D865" s="7">
        <v>17.5825</v>
      </c>
      <c r="E865" s="7">
        <f t="shared" si="26"/>
        <v>15173.6975</v>
      </c>
      <c r="F865" s="7">
        <f t="shared" si="27"/>
        <v>744769</v>
      </c>
      <c r="G865" s="7"/>
    </row>
    <row r="866" spans="1:7" x14ac:dyDescent="0.35">
      <c r="A866" t="str">
        <f>"2008-07-11"</f>
        <v>2008-07-11</v>
      </c>
      <c r="B866" t="str">
        <f>"16.6701"</f>
        <v>16.6701</v>
      </c>
      <c r="C866">
        <v>864</v>
      </c>
      <c r="D866" s="7">
        <v>16.670100000000001</v>
      </c>
      <c r="E866" s="7">
        <f t="shared" si="26"/>
        <v>14402.966400000001</v>
      </c>
      <c r="F866" s="7">
        <f t="shared" si="27"/>
        <v>746496</v>
      </c>
      <c r="G866" s="7"/>
    </row>
    <row r="867" spans="1:7" x14ac:dyDescent="0.35">
      <c r="A867" t="str">
        <f>"2008-07-14"</f>
        <v>2008-07-14</v>
      </c>
      <c r="B867" t="str">
        <f>"16.7938"</f>
        <v>16.7938</v>
      </c>
      <c r="C867">
        <v>865</v>
      </c>
      <c r="D867" s="7">
        <v>16.793800000000001</v>
      </c>
      <c r="E867" s="7">
        <f t="shared" si="26"/>
        <v>14526.637000000001</v>
      </c>
      <c r="F867" s="7">
        <f t="shared" si="27"/>
        <v>748225</v>
      </c>
      <c r="G867" s="7"/>
    </row>
    <row r="868" spans="1:7" x14ac:dyDescent="0.35">
      <c r="A868" t="str">
        <f>"2008-07-15"</f>
        <v>2008-07-15</v>
      </c>
      <c r="B868" t="str">
        <f>"16.3621"</f>
        <v>16.3621</v>
      </c>
      <c r="C868">
        <v>866</v>
      </c>
      <c r="D868" s="7">
        <v>16.362100000000002</v>
      </c>
      <c r="E868" s="7">
        <f t="shared" si="26"/>
        <v>14169.578600000001</v>
      </c>
      <c r="F868" s="7">
        <f t="shared" si="27"/>
        <v>749956</v>
      </c>
      <c r="G868" s="7"/>
    </row>
    <row r="869" spans="1:7" x14ac:dyDescent="0.35">
      <c r="A869" t="str">
        <f>"2008-07-16"</f>
        <v>2008-07-16</v>
      </c>
      <c r="B869" t="str">
        <f>"17.0695"</f>
        <v>17.0695</v>
      </c>
      <c r="C869">
        <v>867</v>
      </c>
      <c r="D869" s="7">
        <v>17.069500000000001</v>
      </c>
      <c r="E869" s="7">
        <f t="shared" si="26"/>
        <v>14799.256500000001</v>
      </c>
      <c r="F869" s="7">
        <f t="shared" si="27"/>
        <v>751689</v>
      </c>
      <c r="G869" s="7"/>
    </row>
    <row r="870" spans="1:7" x14ac:dyDescent="0.35">
      <c r="A870" t="str">
        <f>"2008-07-17"</f>
        <v>2008-07-17</v>
      </c>
      <c r="B870" t="str">
        <f>"18.6159"</f>
        <v>18.6159</v>
      </c>
      <c r="C870">
        <v>868</v>
      </c>
      <c r="D870" s="7">
        <v>18.6159</v>
      </c>
      <c r="E870" s="7">
        <f t="shared" si="26"/>
        <v>16158.601199999999</v>
      </c>
      <c r="F870" s="7">
        <f t="shared" si="27"/>
        <v>753424</v>
      </c>
      <c r="G870" s="7"/>
    </row>
    <row r="871" spans="1:7" x14ac:dyDescent="0.35">
      <c r="A871" t="str">
        <f>"2008-07-18"</f>
        <v>2008-07-18</v>
      </c>
      <c r="B871" t="str">
        <f>"19.7057"</f>
        <v>19.7057</v>
      </c>
      <c r="C871">
        <v>869</v>
      </c>
      <c r="D871" s="7">
        <v>19.7057</v>
      </c>
      <c r="E871" s="7">
        <f t="shared" si="26"/>
        <v>17124.2533</v>
      </c>
      <c r="F871" s="7">
        <f t="shared" si="27"/>
        <v>755161</v>
      </c>
      <c r="G871" s="7"/>
    </row>
    <row r="872" spans="1:7" x14ac:dyDescent="0.35">
      <c r="A872" t="str">
        <f>"2008-07-21"</f>
        <v>2008-07-21</v>
      </c>
      <c r="B872" t="str">
        <f>"20.5211"</f>
        <v>20.5211</v>
      </c>
      <c r="C872">
        <v>870</v>
      </c>
      <c r="D872" s="7">
        <v>20.521100000000001</v>
      </c>
      <c r="E872" s="7">
        <f t="shared" si="26"/>
        <v>17853.357</v>
      </c>
      <c r="F872" s="7">
        <f t="shared" si="27"/>
        <v>756900</v>
      </c>
      <c r="G872" s="7"/>
    </row>
    <row r="873" spans="1:7" x14ac:dyDescent="0.35">
      <c r="A873" t="str">
        <f>"2008-07-22"</f>
        <v>2008-07-22</v>
      </c>
      <c r="B873" t="str">
        <f>"20.2626"</f>
        <v>20.2626</v>
      </c>
      <c r="C873">
        <v>871</v>
      </c>
      <c r="D873" s="7">
        <v>20.262599999999999</v>
      </c>
      <c r="E873" s="7">
        <f t="shared" si="26"/>
        <v>17648.724599999998</v>
      </c>
      <c r="F873" s="7">
        <f t="shared" si="27"/>
        <v>758641</v>
      </c>
      <c r="G873" s="7"/>
    </row>
    <row r="874" spans="1:7" x14ac:dyDescent="0.35">
      <c r="A874" t="str">
        <f>"2008-07-23"</f>
        <v>2008-07-23</v>
      </c>
      <c r="B874" t="str">
        <f>"21.3442"</f>
        <v>21.3442</v>
      </c>
      <c r="C874">
        <v>872</v>
      </c>
      <c r="D874" s="7">
        <v>21.344200000000001</v>
      </c>
      <c r="E874" s="7">
        <f t="shared" si="26"/>
        <v>18612.142400000001</v>
      </c>
      <c r="F874" s="7">
        <f t="shared" si="27"/>
        <v>760384</v>
      </c>
      <c r="G874" s="7"/>
    </row>
    <row r="875" spans="1:7" x14ac:dyDescent="0.35">
      <c r="A875" t="str">
        <f>"2008-07-24"</f>
        <v>2008-07-24</v>
      </c>
      <c r="B875" t="str">
        <f>"19.8522"</f>
        <v>19.8522</v>
      </c>
      <c r="C875">
        <v>873</v>
      </c>
      <c r="D875" s="7">
        <v>19.8522</v>
      </c>
      <c r="E875" s="7">
        <f t="shared" si="26"/>
        <v>17330.970600000001</v>
      </c>
      <c r="F875" s="7">
        <f t="shared" si="27"/>
        <v>762129</v>
      </c>
      <c r="G875" s="7"/>
    </row>
    <row r="876" spans="1:7" x14ac:dyDescent="0.35">
      <c r="A876" t="str">
        <f>"2008-07-25"</f>
        <v>2008-07-25</v>
      </c>
      <c r="B876" t="str">
        <f>"18.8687"</f>
        <v>18.8687</v>
      </c>
      <c r="C876">
        <v>874</v>
      </c>
      <c r="D876" s="7">
        <v>18.8687</v>
      </c>
      <c r="E876" s="7">
        <f t="shared" si="26"/>
        <v>16491.2438</v>
      </c>
      <c r="F876" s="7">
        <f t="shared" si="27"/>
        <v>763876</v>
      </c>
      <c r="G876" s="7"/>
    </row>
    <row r="877" spans="1:7" x14ac:dyDescent="0.35">
      <c r="A877" t="str">
        <f>"2008-07-28"</f>
        <v>2008-07-28</v>
      </c>
      <c r="B877" t="str">
        <f>"19.1658"</f>
        <v>19.1658</v>
      </c>
      <c r="C877">
        <v>875</v>
      </c>
      <c r="D877" s="7">
        <v>19.165800000000001</v>
      </c>
      <c r="E877" s="7">
        <f t="shared" si="26"/>
        <v>16770.075000000001</v>
      </c>
      <c r="F877" s="7">
        <f t="shared" si="27"/>
        <v>765625</v>
      </c>
      <c r="G877" s="7"/>
    </row>
    <row r="878" spans="1:7" x14ac:dyDescent="0.35">
      <c r="A878" t="str">
        <f>"2008-07-29"</f>
        <v>2008-07-29</v>
      </c>
      <c r="B878" t="str">
        <f>"19.7712"</f>
        <v>19.7712</v>
      </c>
      <c r="C878">
        <v>876</v>
      </c>
      <c r="D878" s="7">
        <v>19.7712</v>
      </c>
      <c r="E878" s="7">
        <f t="shared" si="26"/>
        <v>17319.571199999998</v>
      </c>
      <c r="F878" s="7">
        <f t="shared" si="27"/>
        <v>767376</v>
      </c>
      <c r="G878" s="7"/>
    </row>
    <row r="879" spans="1:7" x14ac:dyDescent="0.35">
      <c r="A879" t="str">
        <f>"2008-07-30"</f>
        <v>2008-07-30</v>
      </c>
      <c r="B879" t="str">
        <f>"22.4179"</f>
        <v>22.4179</v>
      </c>
      <c r="C879">
        <v>877</v>
      </c>
      <c r="D879" s="7">
        <v>22.417899999999999</v>
      </c>
      <c r="E879" s="7">
        <f t="shared" si="26"/>
        <v>19660.498299999999</v>
      </c>
      <c r="F879" s="7">
        <f t="shared" si="27"/>
        <v>769129</v>
      </c>
      <c r="G879" s="7"/>
    </row>
    <row r="880" spans="1:7" x14ac:dyDescent="0.35">
      <c r="A880" t="str">
        <f>"2008-07-31"</f>
        <v>2008-07-31</v>
      </c>
      <c r="B880" t="str">
        <f>"22.4855"</f>
        <v>22.4855</v>
      </c>
      <c r="C880">
        <v>878</v>
      </c>
      <c r="D880" s="7">
        <v>22.485499999999998</v>
      </c>
      <c r="E880" s="7">
        <f t="shared" si="26"/>
        <v>19742.269</v>
      </c>
      <c r="F880" s="7">
        <f t="shared" si="27"/>
        <v>770884</v>
      </c>
      <c r="G880" s="7"/>
    </row>
    <row r="881" spans="1:7" x14ac:dyDescent="0.35">
      <c r="A881" t="str">
        <f>"2008-08-01"</f>
        <v>2008-08-01</v>
      </c>
      <c r="B881" t="str">
        <f>"23.2648"</f>
        <v>23.2648</v>
      </c>
      <c r="C881">
        <v>879</v>
      </c>
      <c r="D881" s="7">
        <v>23.264800000000001</v>
      </c>
      <c r="E881" s="7">
        <f t="shared" si="26"/>
        <v>20449.7592</v>
      </c>
      <c r="F881" s="7">
        <f t="shared" si="27"/>
        <v>772641</v>
      </c>
      <c r="G881" s="7"/>
    </row>
    <row r="882" spans="1:7" x14ac:dyDescent="0.35">
      <c r="A882" t="str">
        <f>"2008-08-04"</f>
        <v>2008-08-04</v>
      </c>
      <c r="B882" t="str">
        <f>"25.0864"</f>
        <v>25.0864</v>
      </c>
      <c r="C882">
        <v>880</v>
      </c>
      <c r="D882" s="7">
        <v>25.086400000000001</v>
      </c>
      <c r="E882" s="7">
        <f t="shared" si="26"/>
        <v>22076.031999999999</v>
      </c>
      <c r="F882" s="7">
        <f t="shared" si="27"/>
        <v>774400</v>
      </c>
      <c r="G882" s="7"/>
    </row>
    <row r="883" spans="1:7" x14ac:dyDescent="0.35">
      <c r="A883" t="str">
        <f>"2008-08-05"</f>
        <v>2008-08-05</v>
      </c>
      <c r="B883" t="str">
        <f>"26.3514"</f>
        <v>26.3514</v>
      </c>
      <c r="C883">
        <v>881</v>
      </c>
      <c r="D883" s="7">
        <v>26.351400000000002</v>
      </c>
      <c r="E883" s="7">
        <f t="shared" si="26"/>
        <v>23215.583400000003</v>
      </c>
      <c r="F883" s="7">
        <f t="shared" si="27"/>
        <v>776161</v>
      </c>
      <c r="G883" s="7"/>
    </row>
    <row r="884" spans="1:7" x14ac:dyDescent="0.35">
      <c r="A884" t="str">
        <f>"2008-08-06"</f>
        <v>2008-08-06</v>
      </c>
      <c r="B884" t="str">
        <f>"26.8518"</f>
        <v>26.8518</v>
      </c>
      <c r="C884">
        <v>882</v>
      </c>
      <c r="D884" s="7">
        <v>26.851800000000001</v>
      </c>
      <c r="E884" s="7">
        <f t="shared" si="26"/>
        <v>23683.2876</v>
      </c>
      <c r="F884" s="7">
        <f t="shared" si="27"/>
        <v>777924</v>
      </c>
      <c r="G884" s="7"/>
    </row>
    <row r="885" spans="1:7" x14ac:dyDescent="0.35">
      <c r="A885" t="str">
        <f>"2008-08-07"</f>
        <v>2008-08-07</v>
      </c>
      <c r="B885" t="str">
        <f>"25.9446"</f>
        <v>25.9446</v>
      </c>
      <c r="C885">
        <v>883</v>
      </c>
      <c r="D885" s="7">
        <v>25.944600000000001</v>
      </c>
      <c r="E885" s="7">
        <f t="shared" si="26"/>
        <v>22909.0818</v>
      </c>
      <c r="F885" s="7">
        <f t="shared" si="27"/>
        <v>779689</v>
      </c>
      <c r="G885" s="7"/>
    </row>
    <row r="886" spans="1:7" x14ac:dyDescent="0.35">
      <c r="A886" t="str">
        <f>"2008-08-08"</f>
        <v>2008-08-08</v>
      </c>
      <c r="B886" t="str">
        <f>"25.1564"</f>
        <v>25.1564</v>
      </c>
      <c r="C886">
        <v>884</v>
      </c>
      <c r="D886" s="7">
        <v>25.156400000000001</v>
      </c>
      <c r="E886" s="7">
        <f t="shared" si="26"/>
        <v>22238.257600000001</v>
      </c>
      <c r="F886" s="7">
        <f t="shared" si="27"/>
        <v>781456</v>
      </c>
      <c r="G886" s="7"/>
    </row>
    <row r="887" spans="1:7" x14ac:dyDescent="0.35">
      <c r="A887" t="str">
        <f>"2008-08-11"</f>
        <v>2008-08-11</v>
      </c>
      <c r="B887" t="str">
        <f>"26.5716"</f>
        <v>26.5716</v>
      </c>
      <c r="C887">
        <v>885</v>
      </c>
      <c r="D887" s="7">
        <v>26.5716</v>
      </c>
      <c r="E887" s="7">
        <f t="shared" si="26"/>
        <v>23515.866000000002</v>
      </c>
      <c r="F887" s="7">
        <f t="shared" si="27"/>
        <v>783225</v>
      </c>
      <c r="G887" s="7"/>
    </row>
    <row r="888" spans="1:7" x14ac:dyDescent="0.35">
      <c r="A888" t="str">
        <f>"2008-08-12"</f>
        <v>2008-08-12</v>
      </c>
      <c r="B888" t="str">
        <f>"27.4002"</f>
        <v>27.4002</v>
      </c>
      <c r="C888">
        <v>886</v>
      </c>
      <c r="D888" s="7">
        <v>27.400200000000002</v>
      </c>
      <c r="E888" s="7">
        <f t="shared" si="26"/>
        <v>24276.5772</v>
      </c>
      <c r="F888" s="7">
        <f t="shared" si="27"/>
        <v>784996</v>
      </c>
      <c r="G888" s="7"/>
    </row>
    <row r="889" spans="1:7" x14ac:dyDescent="0.35">
      <c r="A889" t="str">
        <f>"2008-08-13"</f>
        <v>2008-08-13</v>
      </c>
      <c r="B889" t="str">
        <f>"26.2569"</f>
        <v>26.2569</v>
      </c>
      <c r="C889">
        <v>887</v>
      </c>
      <c r="D889" s="7">
        <v>26.256900000000002</v>
      </c>
      <c r="E889" s="7">
        <f t="shared" si="26"/>
        <v>23289.870300000002</v>
      </c>
      <c r="F889" s="7">
        <f t="shared" si="27"/>
        <v>786769</v>
      </c>
      <c r="G889" s="7"/>
    </row>
    <row r="890" spans="1:7" x14ac:dyDescent="0.35">
      <c r="A890" t="str">
        <f>"2008-08-14"</f>
        <v>2008-08-14</v>
      </c>
      <c r="B890" t="str">
        <f>"26.4372"</f>
        <v>26.4372</v>
      </c>
      <c r="C890">
        <v>888</v>
      </c>
      <c r="D890" s="7">
        <v>26.437200000000001</v>
      </c>
      <c r="E890" s="7">
        <f t="shared" si="26"/>
        <v>23476.2336</v>
      </c>
      <c r="F890" s="7">
        <f t="shared" si="27"/>
        <v>788544</v>
      </c>
      <c r="G890" s="7"/>
    </row>
    <row r="891" spans="1:7" x14ac:dyDescent="0.35">
      <c r="A891" t="str">
        <f>"2008-08-15"</f>
        <v>2008-08-15</v>
      </c>
      <c r="B891" t="str">
        <f>"27.2601"</f>
        <v>27.2601</v>
      </c>
      <c r="C891">
        <v>889</v>
      </c>
      <c r="D891" s="7">
        <v>27.260100000000001</v>
      </c>
      <c r="E891" s="7">
        <f t="shared" si="26"/>
        <v>24234.228900000002</v>
      </c>
      <c r="F891" s="7">
        <f t="shared" si="27"/>
        <v>790321</v>
      </c>
      <c r="G891" s="7"/>
    </row>
    <row r="892" spans="1:7" x14ac:dyDescent="0.35">
      <c r="A892" t="str">
        <f>"2008-08-18"</f>
        <v>2008-08-18</v>
      </c>
      <c r="B892" t="str">
        <f>"26.9544"</f>
        <v>26.9544</v>
      </c>
      <c r="C892">
        <v>890</v>
      </c>
      <c r="D892" s="7">
        <v>26.9544</v>
      </c>
      <c r="E892" s="7">
        <f t="shared" si="26"/>
        <v>23989.416000000001</v>
      </c>
      <c r="F892" s="7">
        <f t="shared" si="27"/>
        <v>792100</v>
      </c>
      <c r="G892" s="7"/>
    </row>
    <row r="893" spans="1:7" x14ac:dyDescent="0.35">
      <c r="A893" t="str">
        <f>"2008-08-19"</f>
        <v>2008-08-19</v>
      </c>
      <c r="B893" t="str">
        <f>"25.3073"</f>
        <v>25.3073</v>
      </c>
      <c r="C893">
        <v>891</v>
      </c>
      <c r="D893" s="7">
        <v>25.307300000000001</v>
      </c>
      <c r="E893" s="7">
        <f t="shared" si="26"/>
        <v>22548.8043</v>
      </c>
      <c r="F893" s="7">
        <f t="shared" si="27"/>
        <v>793881</v>
      </c>
      <c r="G893" s="7"/>
    </row>
    <row r="894" spans="1:7" x14ac:dyDescent="0.35">
      <c r="A894" t="str">
        <f>"2008-08-20"</f>
        <v>2008-08-20</v>
      </c>
      <c r="B894" t="str">
        <f>"24.9385"</f>
        <v>24.9385</v>
      </c>
      <c r="C894">
        <v>892</v>
      </c>
      <c r="D894" s="7">
        <v>24.938500000000001</v>
      </c>
      <c r="E894" s="7">
        <f t="shared" si="26"/>
        <v>22245.142</v>
      </c>
      <c r="F894" s="7">
        <f t="shared" si="27"/>
        <v>795664</v>
      </c>
      <c r="G894" s="7"/>
    </row>
    <row r="895" spans="1:7" x14ac:dyDescent="0.35">
      <c r="A895" t="str">
        <f>"2008-08-21"</f>
        <v>2008-08-21</v>
      </c>
      <c r="B895" t="str">
        <f>"23.976"</f>
        <v>23.976</v>
      </c>
      <c r="C895">
        <v>893</v>
      </c>
      <c r="D895" s="7">
        <v>23.975999999999999</v>
      </c>
      <c r="E895" s="7">
        <f t="shared" si="26"/>
        <v>21410.567999999999</v>
      </c>
      <c r="F895" s="7">
        <f t="shared" si="27"/>
        <v>797449</v>
      </c>
      <c r="G895" s="7"/>
    </row>
    <row r="896" spans="1:7" x14ac:dyDescent="0.35">
      <c r="A896" t="str">
        <f>"2008-08-22"</f>
        <v>2008-08-22</v>
      </c>
      <c r="B896" t="str">
        <f>"24.2262"</f>
        <v>24.2262</v>
      </c>
      <c r="C896">
        <v>894</v>
      </c>
      <c r="D896" s="7">
        <v>24.226199999999999</v>
      </c>
      <c r="E896" s="7">
        <f t="shared" si="26"/>
        <v>21658.2228</v>
      </c>
      <c r="F896" s="7">
        <f t="shared" si="27"/>
        <v>799236</v>
      </c>
      <c r="G896" s="7"/>
    </row>
    <row r="897" spans="1:7" x14ac:dyDescent="0.35">
      <c r="A897" t="str">
        <f>"2008-08-25"</f>
        <v>2008-08-25</v>
      </c>
      <c r="B897" t="str">
        <f>"24.7869"</f>
        <v>24.7869</v>
      </c>
      <c r="C897">
        <v>895</v>
      </c>
      <c r="D897" s="7">
        <v>24.786899999999999</v>
      </c>
      <c r="E897" s="7">
        <f t="shared" si="26"/>
        <v>22184.2755</v>
      </c>
      <c r="F897" s="7">
        <f t="shared" si="27"/>
        <v>801025</v>
      </c>
      <c r="G897" s="7"/>
    </row>
    <row r="898" spans="1:7" x14ac:dyDescent="0.35">
      <c r="A898" t="str">
        <f>"2008-08-26"</f>
        <v>2008-08-26</v>
      </c>
      <c r="B898" t="str">
        <f>"24.117"</f>
        <v>24.117</v>
      </c>
      <c r="C898">
        <v>896</v>
      </c>
      <c r="D898" s="7">
        <v>24.117000000000001</v>
      </c>
      <c r="E898" s="7">
        <f t="shared" si="26"/>
        <v>21608.832000000002</v>
      </c>
      <c r="F898" s="7">
        <f t="shared" si="27"/>
        <v>802816</v>
      </c>
      <c r="G898" s="7"/>
    </row>
    <row r="899" spans="1:7" x14ac:dyDescent="0.35">
      <c r="A899" t="str">
        <f>"2008-08-27"</f>
        <v>2008-08-27</v>
      </c>
      <c r="B899" t="str">
        <f>"23.6939"</f>
        <v>23.6939</v>
      </c>
      <c r="C899">
        <v>897</v>
      </c>
      <c r="D899" s="7">
        <v>23.693899999999999</v>
      </c>
      <c r="E899" s="7">
        <f t="shared" si="26"/>
        <v>21253.4283</v>
      </c>
      <c r="F899" s="7">
        <f t="shared" si="27"/>
        <v>804609</v>
      </c>
      <c r="G899" s="7"/>
    </row>
    <row r="900" spans="1:7" x14ac:dyDescent="0.35">
      <c r="A900" t="str">
        <f>"2008-08-28"</f>
        <v>2008-08-28</v>
      </c>
      <c r="B900" t="str">
        <f>"23.4179"</f>
        <v>23.4179</v>
      </c>
      <c r="C900">
        <v>898</v>
      </c>
      <c r="D900" s="7">
        <v>23.417899999999999</v>
      </c>
      <c r="E900" s="7">
        <f t="shared" ref="E900:E963" si="28">C900*D900</f>
        <v>21029.2742</v>
      </c>
      <c r="F900" s="7">
        <f t="shared" ref="F900:F963" si="29">C900*C900</f>
        <v>806404</v>
      </c>
      <c r="G900" s="7"/>
    </row>
    <row r="901" spans="1:7" x14ac:dyDescent="0.35">
      <c r="A901" t="str">
        <f>"2008-08-29"</f>
        <v>2008-08-29</v>
      </c>
      <c r="B901" t="str">
        <f>"25.6545"</f>
        <v>25.6545</v>
      </c>
      <c r="C901">
        <v>899</v>
      </c>
      <c r="D901" s="7">
        <v>25.654499999999999</v>
      </c>
      <c r="E901" s="7">
        <f t="shared" si="28"/>
        <v>23063.395499999999</v>
      </c>
      <c r="F901" s="7">
        <f t="shared" si="29"/>
        <v>808201</v>
      </c>
      <c r="G901" s="7"/>
    </row>
    <row r="902" spans="1:7" x14ac:dyDescent="0.35">
      <c r="A902" t="str">
        <f>"2008-09-02"</f>
        <v>2008-09-02</v>
      </c>
      <c r="B902" t="str">
        <f>"28.0682"</f>
        <v>28.0682</v>
      </c>
      <c r="C902">
        <v>900</v>
      </c>
      <c r="D902" s="7">
        <v>28.068200000000001</v>
      </c>
      <c r="E902" s="7">
        <f t="shared" si="28"/>
        <v>25261.38</v>
      </c>
      <c r="F902" s="7">
        <f t="shared" si="29"/>
        <v>810000</v>
      </c>
      <c r="G902" s="7"/>
    </row>
    <row r="903" spans="1:7" x14ac:dyDescent="0.35">
      <c r="A903" t="str">
        <f>"2008-09-03"</f>
        <v>2008-09-03</v>
      </c>
      <c r="B903" t="str">
        <f>"27.9388"</f>
        <v>27.9388</v>
      </c>
      <c r="C903">
        <v>901</v>
      </c>
      <c r="D903" s="7">
        <v>27.938800000000001</v>
      </c>
      <c r="E903" s="7">
        <f t="shared" si="28"/>
        <v>25172.858800000002</v>
      </c>
      <c r="F903" s="7">
        <f t="shared" si="29"/>
        <v>811801</v>
      </c>
      <c r="G903" s="7"/>
    </row>
    <row r="904" spans="1:7" x14ac:dyDescent="0.35">
      <c r="A904" t="str">
        <f>"2008-09-04"</f>
        <v>2008-09-04</v>
      </c>
      <c r="B904" t="str">
        <f>"27.4597"</f>
        <v>27.4597</v>
      </c>
      <c r="C904">
        <v>902</v>
      </c>
      <c r="D904" s="7">
        <v>27.459700000000002</v>
      </c>
      <c r="E904" s="7">
        <f t="shared" si="28"/>
        <v>24768.649400000002</v>
      </c>
      <c r="F904" s="7">
        <f t="shared" si="29"/>
        <v>813604</v>
      </c>
      <c r="G904" s="7"/>
    </row>
    <row r="905" spans="1:7" x14ac:dyDescent="0.35">
      <c r="A905" t="str">
        <f>"2008-09-05"</f>
        <v>2008-09-05</v>
      </c>
      <c r="B905" t="str">
        <f>"26.7048"</f>
        <v>26.7048</v>
      </c>
      <c r="C905">
        <v>903</v>
      </c>
      <c r="D905" s="7">
        <v>26.704799999999999</v>
      </c>
      <c r="E905" s="7">
        <f t="shared" si="28"/>
        <v>24114.434399999998</v>
      </c>
      <c r="F905" s="7">
        <f t="shared" si="29"/>
        <v>815409</v>
      </c>
      <c r="G905" s="7"/>
    </row>
    <row r="906" spans="1:7" x14ac:dyDescent="0.35">
      <c r="A906" t="str">
        <f>"2008-09-08"</f>
        <v>2008-09-08</v>
      </c>
      <c r="B906" t="str">
        <f>"27.4465"</f>
        <v>27.4465</v>
      </c>
      <c r="C906">
        <v>904</v>
      </c>
      <c r="D906" s="7">
        <v>27.4465</v>
      </c>
      <c r="E906" s="7">
        <f t="shared" si="28"/>
        <v>24811.635999999999</v>
      </c>
      <c r="F906" s="7">
        <f t="shared" si="29"/>
        <v>817216</v>
      </c>
      <c r="G906" s="7"/>
    </row>
    <row r="907" spans="1:7" x14ac:dyDescent="0.35">
      <c r="A907" t="str">
        <f>"2008-09-09"</f>
        <v>2008-09-09</v>
      </c>
      <c r="B907" t="str">
        <f>"28.3908"</f>
        <v>28.3908</v>
      </c>
      <c r="C907">
        <v>905</v>
      </c>
      <c r="D907" s="7">
        <v>28.390799999999999</v>
      </c>
      <c r="E907" s="7">
        <f t="shared" si="28"/>
        <v>25693.673999999999</v>
      </c>
      <c r="F907" s="7">
        <f t="shared" si="29"/>
        <v>819025</v>
      </c>
      <c r="G907" s="7"/>
    </row>
    <row r="908" spans="1:7" x14ac:dyDescent="0.35">
      <c r="A908" t="str">
        <f>"2008-09-10"</f>
        <v>2008-09-10</v>
      </c>
      <c r="B908" t="str">
        <f>"29.676"</f>
        <v>29.676</v>
      </c>
      <c r="C908">
        <v>906</v>
      </c>
      <c r="D908" s="7">
        <v>29.675999999999998</v>
      </c>
      <c r="E908" s="7">
        <f t="shared" si="28"/>
        <v>26886.455999999998</v>
      </c>
      <c r="F908" s="7">
        <f t="shared" si="29"/>
        <v>820836</v>
      </c>
      <c r="G908" s="7"/>
    </row>
    <row r="909" spans="1:7" x14ac:dyDescent="0.35">
      <c r="A909" t="str">
        <f>"2008-09-11"</f>
        <v>2008-09-11</v>
      </c>
      <c r="B909" t="str">
        <f>"30.1244"</f>
        <v>30.1244</v>
      </c>
      <c r="C909">
        <v>907</v>
      </c>
      <c r="D909" s="7">
        <v>30.124400000000001</v>
      </c>
      <c r="E909" s="7">
        <f t="shared" si="28"/>
        <v>27322.8308</v>
      </c>
      <c r="F909" s="7">
        <f t="shared" si="29"/>
        <v>822649</v>
      </c>
      <c r="G909" s="7"/>
    </row>
    <row r="910" spans="1:7" x14ac:dyDescent="0.35">
      <c r="A910" t="str">
        <f>"2008-09-12"</f>
        <v>2008-09-12</v>
      </c>
      <c r="B910" t="str">
        <f>"30.2877"</f>
        <v>30.2877</v>
      </c>
      <c r="C910">
        <v>908</v>
      </c>
      <c r="D910" s="7">
        <v>30.287700000000001</v>
      </c>
      <c r="E910" s="7">
        <f t="shared" si="28"/>
        <v>27501.231599999999</v>
      </c>
      <c r="F910" s="7">
        <f t="shared" si="29"/>
        <v>824464</v>
      </c>
      <c r="G910" s="7"/>
    </row>
    <row r="911" spans="1:7" x14ac:dyDescent="0.35">
      <c r="A911" t="str">
        <f>"2008-09-15"</f>
        <v>2008-09-15</v>
      </c>
      <c r="B911" t="str">
        <f>"27.3444"</f>
        <v>27.3444</v>
      </c>
      <c r="C911">
        <v>909</v>
      </c>
      <c r="D911" s="7">
        <v>27.3444</v>
      </c>
      <c r="E911" s="7">
        <f t="shared" si="28"/>
        <v>24856.059600000001</v>
      </c>
      <c r="F911" s="7">
        <f t="shared" si="29"/>
        <v>826281</v>
      </c>
      <c r="G911" s="7"/>
    </row>
    <row r="912" spans="1:7" x14ac:dyDescent="0.35">
      <c r="A912" t="str">
        <f>"2008-09-16"</f>
        <v>2008-09-16</v>
      </c>
      <c r="B912" t="str">
        <f>"26.8984"</f>
        <v>26.8984</v>
      </c>
      <c r="C912">
        <v>910</v>
      </c>
      <c r="D912" s="7">
        <v>26.898399999999999</v>
      </c>
      <c r="E912" s="7">
        <f t="shared" si="28"/>
        <v>24477.543999999998</v>
      </c>
      <c r="F912" s="7">
        <f t="shared" si="29"/>
        <v>828100</v>
      </c>
      <c r="G912" s="7"/>
    </row>
    <row r="913" spans="1:7" x14ac:dyDescent="0.35">
      <c r="A913" t="str">
        <f>"2008-09-17"</f>
        <v>2008-09-17</v>
      </c>
      <c r="B913" t="str">
        <f>"22.2987"</f>
        <v>22.2987</v>
      </c>
      <c r="C913">
        <v>911</v>
      </c>
      <c r="D913" s="7">
        <v>22.2987</v>
      </c>
      <c r="E913" s="7">
        <f t="shared" si="28"/>
        <v>20314.115699999998</v>
      </c>
      <c r="F913" s="7">
        <f t="shared" si="29"/>
        <v>829921</v>
      </c>
      <c r="G913" s="7"/>
    </row>
    <row r="914" spans="1:7" x14ac:dyDescent="0.35">
      <c r="A914" t="str">
        <f>"2008-09-18"</f>
        <v>2008-09-18</v>
      </c>
      <c r="B914" t="str">
        <f>"20.1776"</f>
        <v>20.1776</v>
      </c>
      <c r="C914">
        <v>912</v>
      </c>
      <c r="D914" s="7">
        <v>20.177600000000002</v>
      </c>
      <c r="E914" s="7">
        <f t="shared" si="28"/>
        <v>18401.9712</v>
      </c>
      <c r="F914" s="7">
        <f t="shared" si="29"/>
        <v>831744</v>
      </c>
      <c r="G914" s="7"/>
    </row>
    <row r="915" spans="1:7" x14ac:dyDescent="0.35">
      <c r="A915" t="str">
        <f>"2008-09-19"</f>
        <v>2008-09-19</v>
      </c>
      <c r="B915" t="str">
        <f>"23.7481"</f>
        <v>23.7481</v>
      </c>
      <c r="C915">
        <v>913</v>
      </c>
      <c r="D915" s="7">
        <v>23.748100000000001</v>
      </c>
      <c r="E915" s="7">
        <f t="shared" si="28"/>
        <v>21682.015299999999</v>
      </c>
      <c r="F915" s="7">
        <f t="shared" si="29"/>
        <v>833569</v>
      </c>
      <c r="G915" s="7"/>
    </row>
    <row r="916" spans="1:7" x14ac:dyDescent="0.35">
      <c r="A916" t="str">
        <f>"2008-09-22"</f>
        <v>2008-09-22</v>
      </c>
      <c r="B916" t="str">
        <f>"21.9875"</f>
        <v>21.9875</v>
      </c>
      <c r="C916">
        <v>914</v>
      </c>
      <c r="D916" s="7">
        <v>21.987500000000001</v>
      </c>
      <c r="E916" s="7">
        <f t="shared" si="28"/>
        <v>20096.575000000001</v>
      </c>
      <c r="F916" s="7">
        <f t="shared" si="29"/>
        <v>835396</v>
      </c>
      <c r="G916" s="7"/>
    </row>
    <row r="917" spans="1:7" x14ac:dyDescent="0.35">
      <c r="A917" t="str">
        <f>"2008-09-23"</f>
        <v>2008-09-23</v>
      </c>
      <c r="B917" t="str">
        <f>"20.8305"</f>
        <v>20.8305</v>
      </c>
      <c r="C917">
        <v>915</v>
      </c>
      <c r="D917" s="7">
        <v>20.830500000000001</v>
      </c>
      <c r="E917" s="7">
        <f t="shared" si="28"/>
        <v>19059.907500000001</v>
      </c>
      <c r="F917" s="7">
        <f t="shared" si="29"/>
        <v>837225</v>
      </c>
      <c r="G917" s="7"/>
    </row>
    <row r="918" spans="1:7" x14ac:dyDescent="0.35">
      <c r="A918" t="str">
        <f>"2008-09-24"</f>
        <v>2008-09-24</v>
      </c>
      <c r="B918" t="str">
        <f>"20.8819"</f>
        <v>20.8819</v>
      </c>
      <c r="C918">
        <v>916</v>
      </c>
      <c r="D918" s="7">
        <v>20.881900000000002</v>
      </c>
      <c r="E918" s="7">
        <f t="shared" si="28"/>
        <v>19127.820400000001</v>
      </c>
      <c r="F918" s="7">
        <f t="shared" si="29"/>
        <v>839056</v>
      </c>
      <c r="G918" s="7"/>
    </row>
    <row r="919" spans="1:7" x14ac:dyDescent="0.35">
      <c r="A919" t="str">
        <f>"2008-09-25"</f>
        <v>2008-09-25</v>
      </c>
      <c r="B919" t="str">
        <f>"22.3586"</f>
        <v>22.3586</v>
      </c>
      <c r="C919">
        <v>917</v>
      </c>
      <c r="D919" s="7">
        <v>22.358599999999999</v>
      </c>
      <c r="E919" s="7">
        <f t="shared" si="28"/>
        <v>20502.836199999998</v>
      </c>
      <c r="F919" s="7">
        <f t="shared" si="29"/>
        <v>840889</v>
      </c>
      <c r="G919" s="7"/>
    </row>
    <row r="920" spans="1:7" x14ac:dyDescent="0.35">
      <c r="A920" t="str">
        <f>"2008-09-26"</f>
        <v>2008-09-26</v>
      </c>
      <c r="B920" t="str">
        <f>"23.853"</f>
        <v>23.853</v>
      </c>
      <c r="C920">
        <v>918</v>
      </c>
      <c r="D920" s="7">
        <v>23.853000000000002</v>
      </c>
      <c r="E920" s="7">
        <f t="shared" si="28"/>
        <v>21897.054</v>
      </c>
      <c r="F920" s="7">
        <f t="shared" si="29"/>
        <v>842724</v>
      </c>
      <c r="G920" s="7"/>
    </row>
    <row r="921" spans="1:7" x14ac:dyDescent="0.35">
      <c r="A921" t="str">
        <f>"2008-09-29"</f>
        <v>2008-09-29</v>
      </c>
      <c r="B921" t="str">
        <f>"23.03"</f>
        <v>23.03</v>
      </c>
      <c r="C921">
        <v>919</v>
      </c>
      <c r="D921" s="7">
        <v>23.03</v>
      </c>
      <c r="E921" s="7">
        <f t="shared" si="28"/>
        <v>21164.57</v>
      </c>
      <c r="F921" s="7">
        <f t="shared" si="29"/>
        <v>844561</v>
      </c>
      <c r="G921" s="7"/>
    </row>
    <row r="922" spans="1:7" x14ac:dyDescent="0.35">
      <c r="A922" t="str">
        <f>"2008-10-03"</f>
        <v>2008-10-03</v>
      </c>
      <c r="B922" t="str">
        <f>"23.6448"</f>
        <v>23.6448</v>
      </c>
      <c r="C922">
        <v>920</v>
      </c>
      <c r="D922" s="7">
        <v>23.6448</v>
      </c>
      <c r="E922" s="7">
        <f t="shared" si="28"/>
        <v>21753.216</v>
      </c>
      <c r="F922" s="7">
        <f t="shared" si="29"/>
        <v>846400</v>
      </c>
      <c r="G922" s="7"/>
    </row>
    <row r="923" spans="1:7" x14ac:dyDescent="0.35">
      <c r="A923" t="str">
        <f>"2008-10-06"</f>
        <v>2008-10-06</v>
      </c>
      <c r="B923" t="str">
        <f>"20.5909"</f>
        <v>20.5909</v>
      </c>
      <c r="C923">
        <v>921</v>
      </c>
      <c r="D923" s="7">
        <v>20.590900000000001</v>
      </c>
      <c r="E923" s="7">
        <f t="shared" si="28"/>
        <v>18964.2189</v>
      </c>
      <c r="F923" s="7">
        <f t="shared" si="29"/>
        <v>848241</v>
      </c>
      <c r="G923" s="7"/>
    </row>
    <row r="924" spans="1:7" x14ac:dyDescent="0.35">
      <c r="A924" t="str">
        <f>"2008-10-07"</f>
        <v>2008-10-07</v>
      </c>
      <c r="B924" t="str">
        <f>"20.2674"</f>
        <v>20.2674</v>
      </c>
      <c r="C924">
        <v>922</v>
      </c>
      <c r="D924" s="7">
        <v>20.267399999999999</v>
      </c>
      <c r="E924" s="7">
        <f t="shared" si="28"/>
        <v>18686.542799999999</v>
      </c>
      <c r="F924" s="7">
        <f t="shared" si="29"/>
        <v>850084</v>
      </c>
      <c r="G924" s="7"/>
    </row>
    <row r="925" spans="1:7" x14ac:dyDescent="0.35">
      <c r="A925" t="str">
        <f>"2008-10-08"</f>
        <v>2008-10-08</v>
      </c>
      <c r="B925" t="str">
        <f>"18.3162"</f>
        <v>18.3162</v>
      </c>
      <c r="C925">
        <v>923</v>
      </c>
      <c r="D925" s="7">
        <v>18.316199999999998</v>
      </c>
      <c r="E925" s="7">
        <f t="shared" si="28"/>
        <v>16905.852599999998</v>
      </c>
      <c r="F925" s="7">
        <f t="shared" si="29"/>
        <v>851929</v>
      </c>
      <c r="G925" s="7"/>
    </row>
    <row r="926" spans="1:7" x14ac:dyDescent="0.35">
      <c r="A926" t="str">
        <f>"2008-10-09"</f>
        <v>2008-10-09</v>
      </c>
      <c r="B926" t="str">
        <f>"17.9524"</f>
        <v>17.9524</v>
      </c>
      <c r="C926">
        <v>924</v>
      </c>
      <c r="D926" s="7">
        <v>17.952400000000001</v>
      </c>
      <c r="E926" s="7">
        <f t="shared" si="28"/>
        <v>16588.017599999999</v>
      </c>
      <c r="F926" s="7">
        <f t="shared" si="29"/>
        <v>853776</v>
      </c>
      <c r="G926" s="7"/>
    </row>
    <row r="927" spans="1:7" x14ac:dyDescent="0.35">
      <c r="A927" t="str">
        <f>"2008-10-10"</f>
        <v>2008-10-10</v>
      </c>
      <c r="B927" t="str">
        <f>"16.1388"</f>
        <v>16.1388</v>
      </c>
      <c r="C927">
        <v>925</v>
      </c>
      <c r="D927" s="7">
        <v>16.1388</v>
      </c>
      <c r="E927" s="7">
        <f t="shared" si="28"/>
        <v>14928.39</v>
      </c>
      <c r="F927" s="7">
        <f t="shared" si="29"/>
        <v>855625</v>
      </c>
      <c r="G927" s="7"/>
    </row>
    <row r="928" spans="1:7" x14ac:dyDescent="0.35">
      <c r="A928" t="str">
        <f>"2008-10-13"</f>
        <v>2008-10-13</v>
      </c>
      <c r="B928" t="str">
        <f>"16.8459"</f>
        <v>16.8459</v>
      </c>
      <c r="C928">
        <v>926</v>
      </c>
      <c r="D928" s="7">
        <v>16.8459</v>
      </c>
      <c r="E928" s="7">
        <f t="shared" si="28"/>
        <v>15599.303400000001</v>
      </c>
      <c r="F928" s="7">
        <f t="shared" si="29"/>
        <v>857476</v>
      </c>
      <c r="G928" s="7"/>
    </row>
    <row r="929" spans="1:7" x14ac:dyDescent="0.35">
      <c r="A929" t="str">
        <f>"2008-10-14"</f>
        <v>2008-10-14</v>
      </c>
      <c r="B929" t="str">
        <f>"17.4965"</f>
        <v>17.4965</v>
      </c>
      <c r="C929">
        <v>927</v>
      </c>
      <c r="D929" s="7">
        <v>17.496500000000001</v>
      </c>
      <c r="E929" s="7">
        <f t="shared" si="28"/>
        <v>16219.255500000001</v>
      </c>
      <c r="F929" s="7">
        <f t="shared" si="29"/>
        <v>859329</v>
      </c>
      <c r="G929" s="7"/>
    </row>
    <row r="930" spans="1:7" x14ac:dyDescent="0.35">
      <c r="A930" t="str">
        <f>"2008-10-15"</f>
        <v>2008-10-15</v>
      </c>
      <c r="B930" t="str">
        <f>"15.2126"</f>
        <v>15.2126</v>
      </c>
      <c r="C930">
        <v>928</v>
      </c>
      <c r="D930" s="7">
        <v>15.2126</v>
      </c>
      <c r="E930" s="7">
        <f t="shared" si="28"/>
        <v>14117.292799999999</v>
      </c>
      <c r="F930" s="7">
        <f t="shared" si="29"/>
        <v>861184</v>
      </c>
      <c r="G930" s="7"/>
    </row>
    <row r="931" spans="1:7" x14ac:dyDescent="0.35">
      <c r="A931" t="str">
        <f>"2008-10-16"</f>
        <v>2008-10-16</v>
      </c>
      <c r="B931" t="str">
        <f>"14.5084"</f>
        <v>14.5084</v>
      </c>
      <c r="C931">
        <v>929</v>
      </c>
      <c r="D931" s="7">
        <v>14.5084</v>
      </c>
      <c r="E931" s="7">
        <f t="shared" si="28"/>
        <v>13478.303599999999</v>
      </c>
      <c r="F931" s="7">
        <f t="shared" si="29"/>
        <v>863041</v>
      </c>
      <c r="G931" s="7"/>
    </row>
    <row r="932" spans="1:7" x14ac:dyDescent="0.35">
      <c r="A932" t="str">
        <f>"2008-10-17"</f>
        <v>2008-10-17</v>
      </c>
      <c r="B932" t="str">
        <f>"14.4014"</f>
        <v>14.4014</v>
      </c>
      <c r="C932">
        <v>930</v>
      </c>
      <c r="D932" s="7">
        <v>14.401400000000001</v>
      </c>
      <c r="E932" s="7">
        <f t="shared" si="28"/>
        <v>13393.302000000001</v>
      </c>
      <c r="F932" s="7">
        <f t="shared" si="29"/>
        <v>864900</v>
      </c>
      <c r="G932" s="7"/>
    </row>
    <row r="933" spans="1:7" x14ac:dyDescent="0.35">
      <c r="A933" t="str">
        <f>"2008-10-20"</f>
        <v>2008-10-20</v>
      </c>
      <c r="B933" t="str">
        <f>"15.032"</f>
        <v>15.032</v>
      </c>
      <c r="C933">
        <v>931</v>
      </c>
      <c r="D933" s="7">
        <v>15.032</v>
      </c>
      <c r="E933" s="7">
        <f t="shared" si="28"/>
        <v>13994.791999999999</v>
      </c>
      <c r="F933" s="7">
        <f t="shared" si="29"/>
        <v>866761</v>
      </c>
      <c r="G933" s="7"/>
    </row>
    <row r="934" spans="1:7" x14ac:dyDescent="0.35">
      <c r="A934" t="str">
        <f>"2008-10-21"</f>
        <v>2008-10-21</v>
      </c>
      <c r="B934" t="str">
        <f>"14.6453"</f>
        <v>14.6453</v>
      </c>
      <c r="C934">
        <v>932</v>
      </c>
      <c r="D934" s="7">
        <v>14.645300000000001</v>
      </c>
      <c r="E934" s="7">
        <f t="shared" si="28"/>
        <v>13649.419600000001</v>
      </c>
      <c r="F934" s="7">
        <f t="shared" si="29"/>
        <v>868624</v>
      </c>
      <c r="G934" s="7"/>
    </row>
    <row r="935" spans="1:7" x14ac:dyDescent="0.35">
      <c r="A935" t="str">
        <f>"2008-10-22"</f>
        <v>2008-10-22</v>
      </c>
      <c r="B935" t="str">
        <f>"13.6095"</f>
        <v>13.6095</v>
      </c>
      <c r="C935">
        <v>933</v>
      </c>
      <c r="D935" s="7">
        <v>13.609500000000001</v>
      </c>
      <c r="E935" s="7">
        <f t="shared" si="28"/>
        <v>12697.663500000001</v>
      </c>
      <c r="F935" s="7">
        <f t="shared" si="29"/>
        <v>870489</v>
      </c>
      <c r="G935" s="7"/>
    </row>
    <row r="936" spans="1:7" x14ac:dyDescent="0.35">
      <c r="A936" t="str">
        <f>"2008-10-23"</f>
        <v>2008-10-23</v>
      </c>
      <c r="B936" t="str">
        <f>"13.4083"</f>
        <v>13.4083</v>
      </c>
      <c r="C936">
        <v>934</v>
      </c>
      <c r="D936" s="7">
        <v>13.408300000000001</v>
      </c>
      <c r="E936" s="7">
        <f t="shared" si="28"/>
        <v>12523.352200000001</v>
      </c>
      <c r="F936" s="7">
        <f t="shared" si="29"/>
        <v>872356</v>
      </c>
      <c r="G936" s="7"/>
    </row>
    <row r="937" spans="1:7" x14ac:dyDescent="0.35">
      <c r="A937" t="str">
        <f>"2008-10-24"</f>
        <v>2008-10-24</v>
      </c>
      <c r="B937" t="str">
        <f>"12.3811"</f>
        <v>12.3811</v>
      </c>
      <c r="C937">
        <v>935</v>
      </c>
      <c r="D937" s="7">
        <v>12.3811</v>
      </c>
      <c r="E937" s="7">
        <f t="shared" si="28"/>
        <v>11576.3285</v>
      </c>
      <c r="F937" s="7">
        <f t="shared" si="29"/>
        <v>874225</v>
      </c>
      <c r="G937" s="7"/>
    </row>
    <row r="938" spans="1:7" x14ac:dyDescent="0.35">
      <c r="A938" t="str">
        <f>"2008-10-27"</f>
        <v>2008-10-27</v>
      </c>
      <c r="B938" t="str">
        <f>"12.5774"</f>
        <v>12.5774</v>
      </c>
      <c r="C938">
        <v>936</v>
      </c>
      <c r="D938" s="7">
        <v>12.577400000000001</v>
      </c>
      <c r="E938" s="7">
        <f t="shared" si="28"/>
        <v>11772.446400000001</v>
      </c>
      <c r="F938" s="7">
        <f t="shared" si="29"/>
        <v>876096</v>
      </c>
      <c r="G938" s="7"/>
    </row>
    <row r="939" spans="1:7" x14ac:dyDescent="0.35">
      <c r="A939" t="str">
        <f>"2008-10-28"</f>
        <v>2008-10-28</v>
      </c>
      <c r="B939" t="str">
        <f>"14.6058"</f>
        <v>14.6058</v>
      </c>
      <c r="C939">
        <v>937</v>
      </c>
      <c r="D939" s="7">
        <v>14.6058</v>
      </c>
      <c r="E939" s="7">
        <f t="shared" si="28"/>
        <v>13685.634599999999</v>
      </c>
      <c r="F939" s="7">
        <f t="shared" si="29"/>
        <v>877969</v>
      </c>
      <c r="G939" s="7"/>
    </row>
    <row r="940" spans="1:7" x14ac:dyDescent="0.35">
      <c r="A940" t="str">
        <f>"2008-10-30"</f>
        <v>2008-10-30</v>
      </c>
      <c r="B940" t="str">
        <f>"16.0907"</f>
        <v>16.0907</v>
      </c>
      <c r="C940">
        <v>938</v>
      </c>
      <c r="D940" s="7">
        <v>16.090699999999998</v>
      </c>
      <c r="E940" s="7">
        <f t="shared" si="28"/>
        <v>15093.076599999999</v>
      </c>
      <c r="F940" s="7">
        <f t="shared" si="29"/>
        <v>879844</v>
      </c>
      <c r="G940" s="7"/>
    </row>
    <row r="941" spans="1:7" x14ac:dyDescent="0.35">
      <c r="A941" t="str">
        <f>"2008-10-31"</f>
        <v>2008-10-31</v>
      </c>
      <c r="B941" t="str">
        <f>"16.3216"</f>
        <v>16.3216</v>
      </c>
      <c r="C941">
        <v>939</v>
      </c>
      <c r="D941" s="7">
        <v>16.3216</v>
      </c>
      <c r="E941" s="7">
        <f t="shared" si="28"/>
        <v>15325.982400000001</v>
      </c>
      <c r="F941" s="7">
        <f t="shared" si="29"/>
        <v>881721</v>
      </c>
      <c r="G941" s="7"/>
    </row>
    <row r="942" spans="1:7" x14ac:dyDescent="0.35">
      <c r="A942" t="str">
        <f>"2008-11-03"</f>
        <v>2008-11-03</v>
      </c>
      <c r="B942" t="str">
        <f>"17.272"</f>
        <v>17.272</v>
      </c>
      <c r="C942">
        <v>940</v>
      </c>
      <c r="D942" s="7">
        <v>17.271999999999998</v>
      </c>
      <c r="E942" s="7">
        <f t="shared" si="28"/>
        <v>16235.679999999998</v>
      </c>
      <c r="F942" s="7">
        <f t="shared" si="29"/>
        <v>883600</v>
      </c>
      <c r="G942" s="7"/>
    </row>
    <row r="943" spans="1:7" x14ac:dyDescent="0.35">
      <c r="A943" t="str">
        <f>"2008-11-04"</f>
        <v>2008-11-04</v>
      </c>
      <c r="B943" t="str">
        <f>"18.5129"</f>
        <v>18.5129</v>
      </c>
      <c r="C943">
        <v>941</v>
      </c>
      <c r="D943" s="7">
        <v>18.512899999999998</v>
      </c>
      <c r="E943" s="7">
        <f t="shared" si="28"/>
        <v>17420.638899999998</v>
      </c>
      <c r="F943" s="7">
        <f t="shared" si="29"/>
        <v>885481</v>
      </c>
      <c r="G943" s="7"/>
    </row>
    <row r="944" spans="1:7" x14ac:dyDescent="0.35">
      <c r="A944" t="str">
        <f>"2008-11-05"</f>
        <v>2008-11-05</v>
      </c>
      <c r="B944" t="str">
        <f>"18.3839"</f>
        <v>18.3839</v>
      </c>
      <c r="C944">
        <v>942</v>
      </c>
      <c r="D944" s="7">
        <v>18.383900000000001</v>
      </c>
      <c r="E944" s="7">
        <f t="shared" si="28"/>
        <v>17317.6338</v>
      </c>
      <c r="F944" s="7">
        <f t="shared" si="29"/>
        <v>887364</v>
      </c>
      <c r="G944" s="7"/>
    </row>
    <row r="945" spans="1:7" x14ac:dyDescent="0.35">
      <c r="A945" t="str">
        <f>"2008-11-06"</f>
        <v>2008-11-06</v>
      </c>
      <c r="B945" t="str">
        <f>"18.6087"</f>
        <v>18.6087</v>
      </c>
      <c r="C945">
        <v>943</v>
      </c>
      <c r="D945" s="7">
        <v>18.608699999999999</v>
      </c>
      <c r="E945" s="7">
        <f t="shared" si="28"/>
        <v>17548.004099999998</v>
      </c>
      <c r="F945" s="7">
        <f t="shared" si="29"/>
        <v>889249</v>
      </c>
      <c r="G945" s="7"/>
    </row>
    <row r="946" spans="1:7" x14ac:dyDescent="0.35">
      <c r="A946" t="str">
        <f>"2008-11-07"</f>
        <v>2008-11-07</v>
      </c>
      <c r="B946" t="str">
        <f>"19.1562"</f>
        <v>19.1562</v>
      </c>
      <c r="C946">
        <v>944</v>
      </c>
      <c r="D946" s="7">
        <v>19.156199999999998</v>
      </c>
      <c r="E946" s="7">
        <f t="shared" si="28"/>
        <v>18083.452799999999</v>
      </c>
      <c r="F946" s="7">
        <f t="shared" si="29"/>
        <v>891136</v>
      </c>
      <c r="G946" s="7"/>
    </row>
    <row r="947" spans="1:7" x14ac:dyDescent="0.35">
      <c r="A947" t="str">
        <f>"2008-11-10"</f>
        <v>2008-11-10</v>
      </c>
      <c r="B947" t="str">
        <f>"18.6324"</f>
        <v>18.6324</v>
      </c>
      <c r="C947">
        <v>945</v>
      </c>
      <c r="D947" s="7">
        <v>18.632400000000001</v>
      </c>
      <c r="E947" s="7">
        <f t="shared" si="28"/>
        <v>17607.618000000002</v>
      </c>
      <c r="F947" s="7">
        <f t="shared" si="29"/>
        <v>893025</v>
      </c>
      <c r="G947" s="7"/>
    </row>
    <row r="948" spans="1:7" x14ac:dyDescent="0.35">
      <c r="A948" t="str">
        <f>"2008-11-11"</f>
        <v>2008-11-11</v>
      </c>
      <c r="B948" t="str">
        <f>"16.3576"</f>
        <v>16.3576</v>
      </c>
      <c r="C948">
        <v>946</v>
      </c>
      <c r="D948" s="7">
        <v>16.357600000000001</v>
      </c>
      <c r="E948" s="7">
        <f t="shared" si="28"/>
        <v>15474.289600000002</v>
      </c>
      <c r="F948" s="7">
        <f t="shared" si="29"/>
        <v>894916</v>
      </c>
      <c r="G948" s="7"/>
    </row>
    <row r="949" spans="1:7" x14ac:dyDescent="0.35">
      <c r="A949" t="str">
        <f>"2008-11-12"</f>
        <v>2008-11-12</v>
      </c>
      <c r="B949" t="str">
        <f>"15.1821"</f>
        <v>15.1821</v>
      </c>
      <c r="C949">
        <v>947</v>
      </c>
      <c r="D949" s="7">
        <v>15.1821</v>
      </c>
      <c r="E949" s="7">
        <f t="shared" si="28"/>
        <v>14377.448700000001</v>
      </c>
      <c r="F949" s="7">
        <f t="shared" si="29"/>
        <v>896809</v>
      </c>
      <c r="G949" s="7"/>
    </row>
    <row r="950" spans="1:7" x14ac:dyDescent="0.35">
      <c r="A950" t="str">
        <f>"2008-11-13"</f>
        <v>2008-11-13</v>
      </c>
      <c r="B950" t="str">
        <f>"15.8615"</f>
        <v>15.8615</v>
      </c>
      <c r="C950">
        <v>948</v>
      </c>
      <c r="D950" s="7">
        <v>15.861499999999999</v>
      </c>
      <c r="E950" s="7">
        <f t="shared" si="28"/>
        <v>15036.701999999999</v>
      </c>
      <c r="F950" s="7">
        <f t="shared" si="29"/>
        <v>898704</v>
      </c>
      <c r="G950" s="7"/>
    </row>
    <row r="951" spans="1:7" x14ac:dyDescent="0.35">
      <c r="A951" t="str">
        <f>"2008-11-14"</f>
        <v>2008-11-14</v>
      </c>
      <c r="B951" t="str">
        <f>"15.0319"</f>
        <v>15.0319</v>
      </c>
      <c r="C951">
        <v>949</v>
      </c>
      <c r="D951" s="7">
        <v>15.0319</v>
      </c>
      <c r="E951" s="7">
        <f t="shared" si="28"/>
        <v>14265.2731</v>
      </c>
      <c r="F951" s="7">
        <f t="shared" si="29"/>
        <v>900601</v>
      </c>
      <c r="G951" s="7"/>
    </row>
    <row r="952" spans="1:7" x14ac:dyDescent="0.35">
      <c r="A952" t="str">
        <f>"2008-11-17"</f>
        <v>2008-11-17</v>
      </c>
      <c r="B952" t="str">
        <f>"15.8762"</f>
        <v>15.8762</v>
      </c>
      <c r="C952">
        <v>950</v>
      </c>
      <c r="D952" s="7">
        <v>15.876200000000001</v>
      </c>
      <c r="E952" s="7">
        <f t="shared" si="28"/>
        <v>15082.390000000001</v>
      </c>
      <c r="F952" s="7">
        <f t="shared" si="29"/>
        <v>902500</v>
      </c>
      <c r="G952" s="7"/>
    </row>
    <row r="953" spans="1:7" x14ac:dyDescent="0.35">
      <c r="A953" t="str">
        <f>"2008-11-18"</f>
        <v>2008-11-18</v>
      </c>
      <c r="B953" t="str">
        <f>"15.6409"</f>
        <v>15.6409</v>
      </c>
      <c r="C953">
        <v>951</v>
      </c>
      <c r="D953" s="7">
        <v>15.6409</v>
      </c>
      <c r="E953" s="7">
        <f t="shared" si="28"/>
        <v>14874.4959</v>
      </c>
      <c r="F953" s="7">
        <f t="shared" si="29"/>
        <v>904401</v>
      </c>
      <c r="G953" s="7"/>
    </row>
    <row r="954" spans="1:7" x14ac:dyDescent="0.35">
      <c r="A954" t="str">
        <f>"2008-11-19"</f>
        <v>2008-11-19</v>
      </c>
      <c r="B954" t="str">
        <f>"15.4972"</f>
        <v>15.4972</v>
      </c>
      <c r="C954">
        <v>952</v>
      </c>
      <c r="D954" s="7">
        <v>15.497199999999999</v>
      </c>
      <c r="E954" s="7">
        <f t="shared" si="28"/>
        <v>14753.3344</v>
      </c>
      <c r="F954" s="7">
        <f t="shared" si="29"/>
        <v>906304</v>
      </c>
      <c r="G954" s="7"/>
    </row>
    <row r="955" spans="1:7" x14ac:dyDescent="0.35">
      <c r="A955" t="str">
        <f>"2008-11-20"</f>
        <v>2008-11-20</v>
      </c>
      <c r="B955" t="str">
        <f>"14.9844"</f>
        <v>14.9844</v>
      </c>
      <c r="C955">
        <v>953</v>
      </c>
      <c r="D955" s="7">
        <v>14.984400000000001</v>
      </c>
      <c r="E955" s="7">
        <f t="shared" si="28"/>
        <v>14280.1332</v>
      </c>
      <c r="F955" s="7">
        <f t="shared" si="29"/>
        <v>908209</v>
      </c>
      <c r="G955" s="7"/>
    </row>
    <row r="956" spans="1:7" x14ac:dyDescent="0.35">
      <c r="A956" t="str">
        <f>"2008-11-21"</f>
        <v>2008-11-21</v>
      </c>
      <c r="B956" t="str">
        <f>"14.8864"</f>
        <v>14.8864</v>
      </c>
      <c r="C956">
        <v>954</v>
      </c>
      <c r="D956" s="7">
        <v>14.8864</v>
      </c>
      <c r="E956" s="7">
        <f t="shared" si="28"/>
        <v>14201.625599999999</v>
      </c>
      <c r="F956" s="7">
        <f t="shared" si="29"/>
        <v>910116</v>
      </c>
      <c r="G956" s="7"/>
    </row>
    <row r="957" spans="1:7" x14ac:dyDescent="0.35">
      <c r="A957" t="str">
        <f>"2008-11-24"</f>
        <v>2008-11-24</v>
      </c>
      <c r="B957" t="str">
        <f>"16.1586"</f>
        <v>16.1586</v>
      </c>
      <c r="C957">
        <v>955</v>
      </c>
      <c r="D957" s="7">
        <v>16.1586</v>
      </c>
      <c r="E957" s="7">
        <f t="shared" si="28"/>
        <v>15431.463</v>
      </c>
      <c r="F957" s="7">
        <f t="shared" si="29"/>
        <v>912025</v>
      </c>
      <c r="G957" s="7"/>
    </row>
    <row r="958" spans="1:7" x14ac:dyDescent="0.35">
      <c r="A958" t="str">
        <f>"2008-11-25"</f>
        <v>2008-11-25</v>
      </c>
      <c r="B958" t="str">
        <f>"16.1254"</f>
        <v>16.1254</v>
      </c>
      <c r="C958">
        <v>956</v>
      </c>
      <c r="D958" s="7">
        <v>16.125399999999999</v>
      </c>
      <c r="E958" s="7">
        <f t="shared" si="28"/>
        <v>15415.882399999999</v>
      </c>
      <c r="F958" s="7">
        <f t="shared" si="29"/>
        <v>913936</v>
      </c>
      <c r="G958" s="7"/>
    </row>
    <row r="959" spans="1:7" x14ac:dyDescent="0.35">
      <c r="A959" t="str">
        <f>"2008-11-26"</f>
        <v>2008-11-26</v>
      </c>
      <c r="B959" t="str">
        <f>"16.0093"</f>
        <v>16.0093</v>
      </c>
      <c r="C959">
        <v>957</v>
      </c>
      <c r="D959" s="7">
        <v>16.0093</v>
      </c>
      <c r="E959" s="7">
        <f t="shared" si="28"/>
        <v>15320.900099999999</v>
      </c>
      <c r="F959" s="7">
        <f t="shared" si="29"/>
        <v>915849</v>
      </c>
      <c r="G959" s="7"/>
    </row>
    <row r="960" spans="1:7" x14ac:dyDescent="0.35">
      <c r="A960" t="str">
        <f>"2008-11-28"</f>
        <v>2008-11-28</v>
      </c>
      <c r="B960" t="str">
        <f>"16.0409"</f>
        <v>16.0409</v>
      </c>
      <c r="C960">
        <v>958</v>
      </c>
      <c r="D960" s="7">
        <v>16.040900000000001</v>
      </c>
      <c r="E960" s="7">
        <f t="shared" si="28"/>
        <v>15367.182200000001</v>
      </c>
      <c r="F960" s="7">
        <f t="shared" si="29"/>
        <v>917764</v>
      </c>
      <c r="G960" s="7"/>
    </row>
    <row r="961" spans="1:7" x14ac:dyDescent="0.35">
      <c r="A961" t="str">
        <f>"2008-12-01"</f>
        <v>2008-12-01</v>
      </c>
      <c r="B961" t="str">
        <f>"16.2454"</f>
        <v>16.2454</v>
      </c>
      <c r="C961">
        <v>959</v>
      </c>
      <c r="D961" s="7">
        <v>16.2454</v>
      </c>
      <c r="E961" s="7">
        <f t="shared" si="28"/>
        <v>15579.338600000001</v>
      </c>
      <c r="F961" s="7">
        <f t="shared" si="29"/>
        <v>919681</v>
      </c>
      <c r="G961" s="7"/>
    </row>
    <row r="962" spans="1:7" x14ac:dyDescent="0.35">
      <c r="A962" t="str">
        <f>"2008-12-02"</f>
        <v>2008-12-02</v>
      </c>
      <c r="B962" t="str">
        <f>"16.0864"</f>
        <v>16.0864</v>
      </c>
      <c r="C962">
        <v>960</v>
      </c>
      <c r="D962" s="7">
        <v>16.086400000000001</v>
      </c>
      <c r="E962" s="7">
        <f t="shared" si="28"/>
        <v>15442.944000000001</v>
      </c>
      <c r="F962" s="7">
        <f t="shared" si="29"/>
        <v>921600</v>
      </c>
      <c r="G962" s="7"/>
    </row>
    <row r="963" spans="1:7" x14ac:dyDescent="0.35">
      <c r="A963" t="str">
        <f>"2008-12-03"</f>
        <v>2008-12-03</v>
      </c>
      <c r="B963" t="str">
        <f>"15.9745"</f>
        <v>15.9745</v>
      </c>
      <c r="C963">
        <v>961</v>
      </c>
      <c r="D963" s="7">
        <v>15.974500000000001</v>
      </c>
      <c r="E963" s="7">
        <f t="shared" si="28"/>
        <v>15351.494500000001</v>
      </c>
      <c r="F963" s="7">
        <f t="shared" si="29"/>
        <v>923521</v>
      </c>
      <c r="G963" s="7"/>
    </row>
    <row r="964" spans="1:7" x14ac:dyDescent="0.35">
      <c r="A964" t="str">
        <f>"2008-12-04"</f>
        <v>2008-12-04</v>
      </c>
      <c r="B964" t="str">
        <f>"15.8856"</f>
        <v>15.8856</v>
      </c>
      <c r="C964">
        <v>962</v>
      </c>
      <c r="D964" s="7">
        <v>15.8856</v>
      </c>
      <c r="E964" s="7">
        <f t="shared" ref="E964:E1027" si="30">C964*D964</f>
        <v>15281.947200000001</v>
      </c>
      <c r="F964" s="7">
        <f t="shared" ref="F964:F1027" si="31">C964*C964</f>
        <v>925444</v>
      </c>
      <c r="G964" s="7"/>
    </row>
    <row r="965" spans="1:7" x14ac:dyDescent="0.35">
      <c r="A965" t="str">
        <f>"2008-12-05"</f>
        <v>2008-12-05</v>
      </c>
      <c r="B965" t="str">
        <f>"15.7956"</f>
        <v>15.7956</v>
      </c>
      <c r="C965">
        <v>963</v>
      </c>
      <c r="D965" s="7">
        <v>15.7956</v>
      </c>
      <c r="E965" s="7">
        <f t="shared" si="30"/>
        <v>15211.1628</v>
      </c>
      <c r="F965" s="7">
        <f t="shared" si="31"/>
        <v>927369</v>
      </c>
      <c r="G965" s="7"/>
    </row>
    <row r="966" spans="1:7" x14ac:dyDescent="0.35">
      <c r="A966" t="str">
        <f>"2008-12-12"</f>
        <v>2008-12-12</v>
      </c>
      <c r="B966" t="str">
        <f>"15.1319"</f>
        <v>15.1319</v>
      </c>
      <c r="C966">
        <v>964</v>
      </c>
      <c r="D966" s="7">
        <v>15.1319</v>
      </c>
      <c r="E966" s="7">
        <f t="shared" si="30"/>
        <v>14587.151599999999</v>
      </c>
      <c r="F966" s="7">
        <f t="shared" si="31"/>
        <v>929296</v>
      </c>
      <c r="G966" s="7"/>
    </row>
    <row r="967" spans="1:7" x14ac:dyDescent="0.35">
      <c r="A967" t="str">
        <f>"2008-12-15"</f>
        <v>2008-12-15</v>
      </c>
      <c r="B967" t="str">
        <f>"14.8734"</f>
        <v>14.8734</v>
      </c>
      <c r="C967">
        <v>965</v>
      </c>
      <c r="D967" s="7">
        <v>14.8734</v>
      </c>
      <c r="E967" s="7">
        <f t="shared" si="30"/>
        <v>14352.831</v>
      </c>
      <c r="F967" s="7">
        <f t="shared" si="31"/>
        <v>931225</v>
      </c>
      <c r="G967" s="7"/>
    </row>
    <row r="968" spans="1:7" x14ac:dyDescent="0.35">
      <c r="A968" t="str">
        <f>"2008-12-16"</f>
        <v>2008-12-16</v>
      </c>
      <c r="B968" t="str">
        <f>"14.8489"</f>
        <v>14.8489</v>
      </c>
      <c r="C968">
        <v>966</v>
      </c>
      <c r="D968" s="7">
        <v>14.8489</v>
      </c>
      <c r="E968" s="7">
        <f t="shared" si="30"/>
        <v>14344.037400000001</v>
      </c>
      <c r="F968" s="7">
        <f t="shared" si="31"/>
        <v>933156</v>
      </c>
      <c r="G968" s="7"/>
    </row>
    <row r="969" spans="1:7" x14ac:dyDescent="0.35">
      <c r="A969" t="str">
        <f>"2008-12-17"</f>
        <v>2008-12-17</v>
      </c>
      <c r="B969" t="str">
        <f>"15.5071"</f>
        <v>15.5071</v>
      </c>
      <c r="C969">
        <v>967</v>
      </c>
      <c r="D969" s="7">
        <v>15.507099999999999</v>
      </c>
      <c r="E969" s="7">
        <f t="shared" si="30"/>
        <v>14995.3657</v>
      </c>
      <c r="F969" s="7">
        <f t="shared" si="31"/>
        <v>935089</v>
      </c>
      <c r="G969" s="7"/>
    </row>
    <row r="970" spans="1:7" x14ac:dyDescent="0.35">
      <c r="A970" t="str">
        <f>"2008-12-18"</f>
        <v>2008-12-18</v>
      </c>
      <c r="B970" t="str">
        <f>"16.2567"</f>
        <v>16.2567</v>
      </c>
      <c r="C970">
        <v>968</v>
      </c>
      <c r="D970" s="7">
        <v>16.256699999999999</v>
      </c>
      <c r="E970" s="7">
        <f t="shared" si="30"/>
        <v>15736.485599999998</v>
      </c>
      <c r="F970" s="7">
        <f t="shared" si="31"/>
        <v>937024</v>
      </c>
      <c r="G970" s="7"/>
    </row>
    <row r="971" spans="1:7" x14ac:dyDescent="0.35">
      <c r="A971" t="str">
        <f>"2008-12-19"</f>
        <v>2008-12-19</v>
      </c>
      <c r="B971" t="str">
        <f>"15.731"</f>
        <v>15.731</v>
      </c>
      <c r="C971">
        <v>969</v>
      </c>
      <c r="D971" s="7">
        <v>15.731</v>
      </c>
      <c r="E971" s="7">
        <f t="shared" si="30"/>
        <v>15243.339</v>
      </c>
      <c r="F971" s="7">
        <f t="shared" si="31"/>
        <v>938961</v>
      </c>
      <c r="G971" s="7"/>
    </row>
    <row r="972" spans="1:7" x14ac:dyDescent="0.35">
      <c r="A972" t="str">
        <f>"2008-12-22"</f>
        <v>2008-12-22</v>
      </c>
      <c r="B972" t="str">
        <f>"15.4348"</f>
        <v>15.4348</v>
      </c>
      <c r="C972">
        <v>970</v>
      </c>
      <c r="D972" s="7">
        <v>15.434799999999999</v>
      </c>
      <c r="E972" s="7">
        <f t="shared" si="30"/>
        <v>14971.755999999999</v>
      </c>
      <c r="F972" s="7">
        <f t="shared" si="31"/>
        <v>940900</v>
      </c>
      <c r="G972" s="7"/>
    </row>
    <row r="973" spans="1:7" x14ac:dyDescent="0.35">
      <c r="A973" t="str">
        <f>"2008-12-23"</f>
        <v>2008-12-23</v>
      </c>
      <c r="B973" t="str">
        <f>"16.7672"</f>
        <v>16.7672</v>
      </c>
      <c r="C973">
        <v>971</v>
      </c>
      <c r="D973" s="7">
        <v>16.767199999999999</v>
      </c>
      <c r="E973" s="7">
        <f t="shared" si="30"/>
        <v>16280.9512</v>
      </c>
      <c r="F973" s="7">
        <f t="shared" si="31"/>
        <v>942841</v>
      </c>
      <c r="G973" s="7"/>
    </row>
    <row r="974" spans="1:7" x14ac:dyDescent="0.35">
      <c r="A974" t="str">
        <f>"2008-12-24"</f>
        <v>2008-12-24</v>
      </c>
      <c r="B974" t="str">
        <f>"16.5712"</f>
        <v>16.5712</v>
      </c>
      <c r="C974">
        <v>972</v>
      </c>
      <c r="D974" s="7">
        <v>16.571200000000001</v>
      </c>
      <c r="E974" s="7">
        <f t="shared" si="30"/>
        <v>16107.206400000001</v>
      </c>
      <c r="F974" s="7">
        <f t="shared" si="31"/>
        <v>944784</v>
      </c>
      <c r="G974" s="7"/>
    </row>
    <row r="975" spans="1:7" x14ac:dyDescent="0.35">
      <c r="A975" t="str">
        <f>"2008-12-26"</f>
        <v>2008-12-26</v>
      </c>
      <c r="B975" t="str">
        <f>"16.515"</f>
        <v>16.515</v>
      </c>
      <c r="C975">
        <v>973</v>
      </c>
      <c r="D975" s="7">
        <v>16.515000000000001</v>
      </c>
      <c r="E975" s="7">
        <f t="shared" si="30"/>
        <v>16069.095000000001</v>
      </c>
      <c r="F975" s="7">
        <f t="shared" si="31"/>
        <v>946729</v>
      </c>
      <c r="G975" s="7"/>
    </row>
    <row r="976" spans="1:7" x14ac:dyDescent="0.35">
      <c r="A976" t="str">
        <f>"2008-12-29"</f>
        <v>2008-12-29</v>
      </c>
      <c r="B976" t="str">
        <f>"16.2014"</f>
        <v>16.2014</v>
      </c>
      <c r="C976">
        <v>974</v>
      </c>
      <c r="D976" s="7">
        <v>16.2014</v>
      </c>
      <c r="E976" s="7">
        <f t="shared" si="30"/>
        <v>15780.1636</v>
      </c>
      <c r="F976" s="7">
        <f t="shared" si="31"/>
        <v>948676</v>
      </c>
      <c r="G976" s="7"/>
    </row>
    <row r="977" spans="1:7" x14ac:dyDescent="0.35">
      <c r="A977" t="str">
        <f>"2008-12-30"</f>
        <v>2008-12-30</v>
      </c>
      <c r="B977" t="str">
        <f>"16.8595"</f>
        <v>16.8595</v>
      </c>
      <c r="C977">
        <v>975</v>
      </c>
      <c r="D977" s="7">
        <v>16.859500000000001</v>
      </c>
      <c r="E977" s="7">
        <f t="shared" si="30"/>
        <v>16438.012500000001</v>
      </c>
      <c r="F977" s="7">
        <f t="shared" si="31"/>
        <v>950625</v>
      </c>
      <c r="G977" s="7"/>
    </row>
    <row r="978" spans="1:7" x14ac:dyDescent="0.35">
      <c r="A978" t="str">
        <f>"2008-12-31"</f>
        <v>2008-12-31</v>
      </c>
      <c r="B978" t="str">
        <f>"16.5909"</f>
        <v>16.5909</v>
      </c>
      <c r="C978">
        <v>976</v>
      </c>
      <c r="D978" s="7">
        <v>16.590900000000001</v>
      </c>
      <c r="E978" s="7">
        <f t="shared" si="30"/>
        <v>16192.718400000002</v>
      </c>
      <c r="F978" s="7">
        <f t="shared" si="31"/>
        <v>952576</v>
      </c>
      <c r="G978" s="7"/>
    </row>
    <row r="979" spans="1:7" x14ac:dyDescent="0.35">
      <c r="A979" t="str">
        <f>"2009-01-02"</f>
        <v>2009-01-02</v>
      </c>
      <c r="B979" t="str">
        <f>"16.8044"</f>
        <v>16.8044</v>
      </c>
      <c r="C979">
        <v>977</v>
      </c>
      <c r="D979" s="7">
        <v>16.804400000000001</v>
      </c>
      <c r="E979" s="7">
        <f t="shared" si="30"/>
        <v>16417.898800000003</v>
      </c>
      <c r="F979" s="7">
        <f t="shared" si="31"/>
        <v>954529</v>
      </c>
      <c r="G979" s="7"/>
    </row>
    <row r="980" spans="1:7" x14ac:dyDescent="0.35">
      <c r="A980" t="str">
        <f>"2009-01-05"</f>
        <v>2009-01-05</v>
      </c>
      <c r="B980" t="str">
        <f>"17.7304"</f>
        <v>17.7304</v>
      </c>
      <c r="C980">
        <v>978</v>
      </c>
      <c r="D980" s="7">
        <v>17.730399999999999</v>
      </c>
      <c r="E980" s="7">
        <f t="shared" si="30"/>
        <v>17340.331200000001</v>
      </c>
      <c r="F980" s="7">
        <f t="shared" si="31"/>
        <v>956484</v>
      </c>
      <c r="G980" s="7"/>
    </row>
    <row r="981" spans="1:7" x14ac:dyDescent="0.35">
      <c r="A981" t="str">
        <f>"2009-01-06"</f>
        <v>2009-01-06</v>
      </c>
      <c r="B981" t="str">
        <f>"18.2097"</f>
        <v>18.2097</v>
      </c>
      <c r="C981">
        <v>979</v>
      </c>
      <c r="D981" s="7">
        <v>18.209700000000002</v>
      </c>
      <c r="E981" s="7">
        <f t="shared" si="30"/>
        <v>17827.296300000002</v>
      </c>
      <c r="F981" s="7">
        <f t="shared" si="31"/>
        <v>958441</v>
      </c>
      <c r="G981" s="7"/>
    </row>
    <row r="982" spans="1:7" x14ac:dyDescent="0.35">
      <c r="A982" t="str">
        <f>"2009-01-07"</f>
        <v>2009-01-07</v>
      </c>
      <c r="B982" t="str">
        <f>"18.1321"</f>
        <v>18.1321</v>
      </c>
      <c r="C982">
        <v>980</v>
      </c>
      <c r="D982" s="7">
        <v>18.132100000000001</v>
      </c>
      <c r="E982" s="7">
        <f t="shared" si="30"/>
        <v>17769.458000000002</v>
      </c>
      <c r="F982" s="7">
        <f t="shared" si="31"/>
        <v>960400</v>
      </c>
      <c r="G982" s="7"/>
    </row>
    <row r="983" spans="1:7" x14ac:dyDescent="0.35">
      <c r="A983" t="str">
        <f>"2009-01-08"</f>
        <v>2009-01-08</v>
      </c>
      <c r="B983" t="str">
        <f>"16.9967"</f>
        <v>16.9967</v>
      </c>
      <c r="C983">
        <v>981</v>
      </c>
      <c r="D983" s="7">
        <v>16.996700000000001</v>
      </c>
      <c r="E983" s="7">
        <f t="shared" si="30"/>
        <v>16673.762699999999</v>
      </c>
      <c r="F983" s="7">
        <f t="shared" si="31"/>
        <v>962361</v>
      </c>
      <c r="G983" s="7"/>
    </row>
    <row r="984" spans="1:7" x14ac:dyDescent="0.35">
      <c r="A984" t="str">
        <f>"2009-01-09"</f>
        <v>2009-01-09</v>
      </c>
      <c r="B984" t="str">
        <f>"18.5186"</f>
        <v>18.5186</v>
      </c>
      <c r="C984">
        <v>982</v>
      </c>
      <c r="D984" s="7">
        <v>18.518599999999999</v>
      </c>
      <c r="E984" s="7">
        <f t="shared" si="30"/>
        <v>18185.265199999998</v>
      </c>
      <c r="F984" s="7">
        <f t="shared" si="31"/>
        <v>964324</v>
      </c>
      <c r="G984" s="7"/>
    </row>
    <row r="985" spans="1:7" x14ac:dyDescent="0.35">
      <c r="A985" t="str">
        <f>"2009-01-12"</f>
        <v>2009-01-12</v>
      </c>
      <c r="B985" t="str">
        <f>"18.8234"</f>
        <v>18.8234</v>
      </c>
      <c r="C985">
        <v>983</v>
      </c>
      <c r="D985" s="7">
        <v>18.823399999999999</v>
      </c>
      <c r="E985" s="7">
        <f t="shared" si="30"/>
        <v>18503.4022</v>
      </c>
      <c r="F985" s="7">
        <f t="shared" si="31"/>
        <v>966289</v>
      </c>
      <c r="G985" s="7"/>
    </row>
    <row r="986" spans="1:7" x14ac:dyDescent="0.35">
      <c r="A986" t="str">
        <f>"2009-01-13"</f>
        <v>2009-01-13</v>
      </c>
      <c r="B986" t="str">
        <f>"18.7234"</f>
        <v>18.7234</v>
      </c>
      <c r="C986">
        <v>984</v>
      </c>
      <c r="D986" s="7">
        <v>18.723400000000002</v>
      </c>
      <c r="E986" s="7">
        <f t="shared" si="30"/>
        <v>18423.8256</v>
      </c>
      <c r="F986" s="7">
        <f t="shared" si="31"/>
        <v>968256</v>
      </c>
      <c r="G986" s="7"/>
    </row>
    <row r="987" spans="1:7" x14ac:dyDescent="0.35">
      <c r="A987" t="str">
        <f>"2009-01-14"</f>
        <v>2009-01-14</v>
      </c>
      <c r="B987" t="str">
        <f>"18.6242"</f>
        <v>18.6242</v>
      </c>
      <c r="C987">
        <v>985</v>
      </c>
      <c r="D987" s="7">
        <v>18.624199999999998</v>
      </c>
      <c r="E987" s="7">
        <f t="shared" si="30"/>
        <v>18344.837</v>
      </c>
      <c r="F987" s="7">
        <f t="shared" si="31"/>
        <v>970225</v>
      </c>
      <c r="G987" s="7"/>
    </row>
    <row r="988" spans="1:7" x14ac:dyDescent="0.35">
      <c r="A988" t="str">
        <f>"2009-01-15"</f>
        <v>2009-01-15</v>
      </c>
      <c r="B988" t="str">
        <f>"18.9775"</f>
        <v>18.9775</v>
      </c>
      <c r="C988">
        <v>986</v>
      </c>
      <c r="D988" s="7">
        <v>18.977499999999999</v>
      </c>
      <c r="E988" s="7">
        <f t="shared" si="30"/>
        <v>18711.814999999999</v>
      </c>
      <c r="F988" s="7">
        <f t="shared" si="31"/>
        <v>972196</v>
      </c>
      <c r="G988" s="7"/>
    </row>
    <row r="989" spans="1:7" x14ac:dyDescent="0.35">
      <c r="A989" t="str">
        <f>"2009-01-16"</f>
        <v>2009-01-16</v>
      </c>
      <c r="B989" t="str">
        <f>"18.5875"</f>
        <v>18.5875</v>
      </c>
      <c r="C989">
        <v>987</v>
      </c>
      <c r="D989" s="7">
        <v>18.587499999999999</v>
      </c>
      <c r="E989" s="7">
        <f t="shared" si="30"/>
        <v>18345.862499999999</v>
      </c>
      <c r="F989" s="7">
        <f t="shared" si="31"/>
        <v>974169</v>
      </c>
      <c r="G989" s="7"/>
    </row>
    <row r="990" spans="1:7" x14ac:dyDescent="0.35">
      <c r="A990" t="str">
        <f>"2009-01-20"</f>
        <v>2009-01-20</v>
      </c>
      <c r="B990" t="str">
        <f>"16.7337"</f>
        <v>16.7337</v>
      </c>
      <c r="C990">
        <v>988</v>
      </c>
      <c r="D990" s="7">
        <v>16.733699999999999</v>
      </c>
      <c r="E990" s="7">
        <f t="shared" si="30"/>
        <v>16532.8956</v>
      </c>
      <c r="F990" s="7">
        <f t="shared" si="31"/>
        <v>976144</v>
      </c>
      <c r="G990" s="7"/>
    </row>
    <row r="991" spans="1:7" x14ac:dyDescent="0.35">
      <c r="A991" t="str">
        <f>"2009-01-21"</f>
        <v>2009-01-21</v>
      </c>
      <c r="B991" t="str">
        <f>"16.0459"</f>
        <v>16.0459</v>
      </c>
      <c r="C991">
        <v>989</v>
      </c>
      <c r="D991" s="7">
        <v>16.0459</v>
      </c>
      <c r="E991" s="7">
        <f t="shared" si="30"/>
        <v>15869.3951</v>
      </c>
      <c r="F991" s="7">
        <f t="shared" si="31"/>
        <v>978121</v>
      </c>
      <c r="G991" s="7"/>
    </row>
    <row r="992" spans="1:7" x14ac:dyDescent="0.35">
      <c r="A992" t="str">
        <f>"2009-01-22"</f>
        <v>2009-01-22</v>
      </c>
      <c r="B992" t="str">
        <f>"16.5287"</f>
        <v>16.5287</v>
      </c>
      <c r="C992">
        <v>990</v>
      </c>
      <c r="D992" s="7">
        <v>16.528700000000001</v>
      </c>
      <c r="E992" s="7">
        <f t="shared" si="30"/>
        <v>16363.413</v>
      </c>
      <c r="F992" s="7">
        <f t="shared" si="31"/>
        <v>980100</v>
      </c>
      <c r="G992" s="7"/>
    </row>
    <row r="993" spans="1:7" x14ac:dyDescent="0.35">
      <c r="A993" t="str">
        <f>"2009-01-23"</f>
        <v>2009-01-23</v>
      </c>
      <c r="B993" t="str">
        <f>"15.4422"</f>
        <v>15.4422</v>
      </c>
      <c r="C993">
        <v>991</v>
      </c>
      <c r="D993" s="7">
        <v>15.4422</v>
      </c>
      <c r="E993" s="7">
        <f t="shared" si="30"/>
        <v>15303.2202</v>
      </c>
      <c r="F993" s="7">
        <f t="shared" si="31"/>
        <v>982081</v>
      </c>
      <c r="G993" s="7"/>
    </row>
    <row r="994" spans="1:7" x14ac:dyDescent="0.35">
      <c r="A994" t="str">
        <f>"2009-01-26"</f>
        <v>2009-01-26</v>
      </c>
      <c r="B994" t="str">
        <f>"16.4143"</f>
        <v>16.4143</v>
      </c>
      <c r="C994">
        <v>992</v>
      </c>
      <c r="D994" s="7">
        <v>16.414300000000001</v>
      </c>
      <c r="E994" s="7">
        <f t="shared" si="30"/>
        <v>16282.9856</v>
      </c>
      <c r="F994" s="7">
        <f t="shared" si="31"/>
        <v>984064</v>
      </c>
      <c r="G994" s="7"/>
    </row>
    <row r="995" spans="1:7" x14ac:dyDescent="0.35">
      <c r="A995" t="str">
        <f>"2009-01-27"</f>
        <v>2009-01-27</v>
      </c>
      <c r="B995" t="str">
        <f>"17.0251"</f>
        <v>17.0251</v>
      </c>
      <c r="C995">
        <v>993</v>
      </c>
      <c r="D995" s="7">
        <v>17.025099999999998</v>
      </c>
      <c r="E995" s="7">
        <f t="shared" si="30"/>
        <v>16905.924299999999</v>
      </c>
      <c r="F995" s="7">
        <f t="shared" si="31"/>
        <v>986049</v>
      </c>
      <c r="G995" s="7"/>
    </row>
    <row r="996" spans="1:7" x14ac:dyDescent="0.35">
      <c r="A996" t="str">
        <f>"2009-01-28"</f>
        <v>2009-01-28</v>
      </c>
      <c r="B996" t="str">
        <f>"17.4468"</f>
        <v>17.4468</v>
      </c>
      <c r="C996">
        <v>994</v>
      </c>
      <c r="D996" s="7">
        <v>17.4468</v>
      </c>
      <c r="E996" s="7">
        <f t="shared" si="30"/>
        <v>17342.119200000001</v>
      </c>
      <c r="F996" s="7">
        <f t="shared" si="31"/>
        <v>988036</v>
      </c>
      <c r="G996" s="7"/>
    </row>
    <row r="997" spans="1:7" x14ac:dyDescent="0.35">
      <c r="A997" t="str">
        <f>"2009-01-29"</f>
        <v>2009-01-29</v>
      </c>
      <c r="B997" t="str">
        <f>"16.3742"</f>
        <v>16.3742</v>
      </c>
      <c r="C997">
        <v>995</v>
      </c>
      <c r="D997" s="7">
        <v>16.374199999999998</v>
      </c>
      <c r="E997" s="7">
        <f t="shared" si="30"/>
        <v>16292.328999999998</v>
      </c>
      <c r="F997" s="7">
        <f t="shared" si="31"/>
        <v>990025</v>
      </c>
      <c r="G997" s="7"/>
    </row>
    <row r="998" spans="1:7" x14ac:dyDescent="0.35">
      <c r="A998" t="str">
        <f>"2009-01-30"</f>
        <v>2009-01-30</v>
      </c>
      <c r="B998" t="str">
        <f>"15.6373"</f>
        <v>15.6373</v>
      </c>
      <c r="C998">
        <v>996</v>
      </c>
      <c r="D998" s="7">
        <v>15.6373</v>
      </c>
      <c r="E998" s="7">
        <f t="shared" si="30"/>
        <v>15574.7508</v>
      </c>
      <c r="F998" s="7">
        <f t="shared" si="31"/>
        <v>992016</v>
      </c>
      <c r="G998" s="7"/>
    </row>
    <row r="999" spans="1:7" x14ac:dyDescent="0.35">
      <c r="A999" t="str">
        <f>"2009-02-02"</f>
        <v>2009-02-02</v>
      </c>
      <c r="B999" t="str">
        <f>"15.6863"</f>
        <v>15.6863</v>
      </c>
      <c r="C999">
        <v>997</v>
      </c>
      <c r="D999" s="7">
        <v>15.686299999999999</v>
      </c>
      <c r="E999" s="7">
        <f t="shared" si="30"/>
        <v>15639.241099999999</v>
      </c>
      <c r="F999" s="7">
        <f t="shared" si="31"/>
        <v>994009</v>
      </c>
      <c r="G999" s="7"/>
    </row>
    <row r="1000" spans="1:7" x14ac:dyDescent="0.35">
      <c r="A1000" t="str">
        <f>"2009-02-03"</f>
        <v>2009-02-03</v>
      </c>
      <c r="B1000" t="str">
        <f>"16.2075"</f>
        <v>16.2075</v>
      </c>
      <c r="C1000">
        <v>998</v>
      </c>
      <c r="D1000" s="7">
        <v>16.2075</v>
      </c>
      <c r="E1000" s="7">
        <f t="shared" si="30"/>
        <v>16175.084999999999</v>
      </c>
      <c r="F1000" s="7">
        <f t="shared" si="31"/>
        <v>996004</v>
      </c>
      <c r="G1000" s="7"/>
    </row>
    <row r="1001" spans="1:7" x14ac:dyDescent="0.35">
      <c r="A1001" t="str">
        <f>"2009-02-04"</f>
        <v>2009-02-04</v>
      </c>
      <c r="B1001" t="str">
        <f>"16.3868"</f>
        <v>16.3868</v>
      </c>
      <c r="C1001">
        <v>999</v>
      </c>
      <c r="D1001" s="7">
        <v>16.386800000000001</v>
      </c>
      <c r="E1001" s="7">
        <f t="shared" si="30"/>
        <v>16370.413200000001</v>
      </c>
      <c r="F1001" s="7">
        <f t="shared" si="31"/>
        <v>998001</v>
      </c>
      <c r="G1001" s="7"/>
    </row>
    <row r="1002" spans="1:7" x14ac:dyDescent="0.35">
      <c r="A1002" t="str">
        <f>"2009-02-05"</f>
        <v>2009-02-05</v>
      </c>
      <c r="B1002" t="str">
        <f>"16.3397"</f>
        <v>16.3397</v>
      </c>
      <c r="C1002">
        <v>1000</v>
      </c>
      <c r="D1002" s="7">
        <v>16.339700000000001</v>
      </c>
      <c r="E1002" s="7">
        <f t="shared" si="30"/>
        <v>16339.7</v>
      </c>
      <c r="F1002" s="7">
        <f t="shared" si="31"/>
        <v>1000000</v>
      </c>
      <c r="G1002" s="7"/>
    </row>
    <row r="1003" spans="1:7" x14ac:dyDescent="0.35">
      <c r="A1003" t="str">
        <f>"2009-02-06"</f>
        <v>2009-02-06</v>
      </c>
      <c r="B1003" t="str">
        <f>"16.566"</f>
        <v>16.566</v>
      </c>
      <c r="C1003">
        <v>1001</v>
      </c>
      <c r="D1003" s="7">
        <v>16.565999999999999</v>
      </c>
      <c r="E1003" s="7">
        <f t="shared" si="30"/>
        <v>16582.565999999999</v>
      </c>
      <c r="F1003" s="7">
        <f t="shared" si="31"/>
        <v>1002001</v>
      </c>
      <c r="G1003" s="7"/>
    </row>
    <row r="1004" spans="1:7" x14ac:dyDescent="0.35">
      <c r="A1004" t="str">
        <f>"2009-02-09"</f>
        <v>2009-02-09</v>
      </c>
      <c r="B1004" t="str">
        <f>"17.8225"</f>
        <v>17.8225</v>
      </c>
      <c r="C1004">
        <v>1002</v>
      </c>
      <c r="D1004" s="7">
        <v>17.822500000000002</v>
      </c>
      <c r="E1004" s="7">
        <f t="shared" si="30"/>
        <v>17858.145</v>
      </c>
      <c r="F1004" s="7">
        <f t="shared" si="31"/>
        <v>1004004</v>
      </c>
      <c r="G1004" s="7"/>
    </row>
    <row r="1005" spans="1:7" x14ac:dyDescent="0.35">
      <c r="A1005" t="str">
        <f>"2009-02-10"</f>
        <v>2009-02-10</v>
      </c>
      <c r="B1005" t="str">
        <f>"16.8476"</f>
        <v>16.8476</v>
      </c>
      <c r="C1005">
        <v>1003</v>
      </c>
      <c r="D1005" s="7">
        <v>16.8476</v>
      </c>
      <c r="E1005" s="7">
        <f t="shared" si="30"/>
        <v>16898.142800000001</v>
      </c>
      <c r="F1005" s="7">
        <f t="shared" si="31"/>
        <v>1006009</v>
      </c>
      <c r="G1005" s="7"/>
    </row>
    <row r="1006" spans="1:7" x14ac:dyDescent="0.35">
      <c r="A1006" t="str">
        <f>"2009-02-11"</f>
        <v>2009-02-11</v>
      </c>
      <c r="B1006" t="str">
        <f>"16.1173"</f>
        <v>16.1173</v>
      </c>
      <c r="C1006">
        <v>1004</v>
      </c>
      <c r="D1006" s="7">
        <v>16.1173</v>
      </c>
      <c r="E1006" s="7">
        <f t="shared" si="30"/>
        <v>16181.769200000001</v>
      </c>
      <c r="F1006" s="7">
        <f t="shared" si="31"/>
        <v>1008016</v>
      </c>
      <c r="G1006" s="7"/>
    </row>
    <row r="1007" spans="1:7" x14ac:dyDescent="0.35">
      <c r="A1007" t="str">
        <f>"2009-02-12"</f>
        <v>2009-02-12</v>
      </c>
      <c r="B1007" t="str">
        <f>"16.2778"</f>
        <v>16.2778</v>
      </c>
      <c r="C1007">
        <v>1005</v>
      </c>
      <c r="D1007" s="7">
        <v>16.277799999999999</v>
      </c>
      <c r="E1007" s="7">
        <f t="shared" si="30"/>
        <v>16359.188999999998</v>
      </c>
      <c r="F1007" s="7">
        <f t="shared" si="31"/>
        <v>1010025</v>
      </c>
      <c r="G1007" s="7"/>
    </row>
    <row r="1008" spans="1:7" x14ac:dyDescent="0.35">
      <c r="A1008" t="str">
        <f>"2009-02-13"</f>
        <v>2009-02-13</v>
      </c>
      <c r="B1008" t="str">
        <f>"16.6723"</f>
        <v>16.6723</v>
      </c>
      <c r="C1008">
        <v>1006</v>
      </c>
      <c r="D1008" s="7">
        <v>16.6723</v>
      </c>
      <c r="E1008" s="7">
        <f t="shared" si="30"/>
        <v>16772.3338</v>
      </c>
      <c r="F1008" s="7">
        <f t="shared" si="31"/>
        <v>1012036</v>
      </c>
      <c r="G1008" s="7"/>
    </row>
    <row r="1009" spans="1:7" x14ac:dyDescent="0.35">
      <c r="A1009" t="str">
        <f>"2009-02-17"</f>
        <v>2009-02-17</v>
      </c>
      <c r="B1009" t="str">
        <f>"15.1835"</f>
        <v>15.1835</v>
      </c>
      <c r="C1009">
        <v>1007</v>
      </c>
      <c r="D1009" s="7">
        <v>15.1835</v>
      </c>
      <c r="E1009" s="7">
        <f t="shared" si="30"/>
        <v>15289.7845</v>
      </c>
      <c r="F1009" s="7">
        <f t="shared" si="31"/>
        <v>1014049</v>
      </c>
      <c r="G1009" s="7"/>
    </row>
    <row r="1010" spans="1:7" x14ac:dyDescent="0.35">
      <c r="A1010" t="str">
        <f>"2009-02-18"</f>
        <v>2009-02-18</v>
      </c>
      <c r="B1010" t="str">
        <f>"14.3507"</f>
        <v>14.3507</v>
      </c>
      <c r="C1010">
        <v>1008</v>
      </c>
      <c r="D1010" s="7">
        <v>14.3507</v>
      </c>
      <c r="E1010" s="7">
        <f t="shared" si="30"/>
        <v>14465.5056</v>
      </c>
      <c r="F1010" s="7">
        <f t="shared" si="31"/>
        <v>1016064</v>
      </c>
      <c r="G1010" s="7"/>
    </row>
    <row r="1011" spans="1:7" x14ac:dyDescent="0.35">
      <c r="A1011" t="str">
        <f>"2009-02-19"</f>
        <v>2009-02-19</v>
      </c>
      <c r="B1011" t="str">
        <f>"15.031"</f>
        <v>15.031</v>
      </c>
      <c r="C1011">
        <v>1009</v>
      </c>
      <c r="D1011" s="7">
        <v>15.031000000000001</v>
      </c>
      <c r="E1011" s="7">
        <f t="shared" si="30"/>
        <v>15166.279</v>
      </c>
      <c r="F1011" s="7">
        <f t="shared" si="31"/>
        <v>1018081</v>
      </c>
      <c r="G1011" s="7"/>
    </row>
    <row r="1012" spans="1:7" x14ac:dyDescent="0.35">
      <c r="A1012" t="str">
        <f>"2009-02-20"</f>
        <v>2009-02-20</v>
      </c>
      <c r="B1012" t="str">
        <f>"13.9964"</f>
        <v>13.9964</v>
      </c>
      <c r="C1012">
        <v>1010</v>
      </c>
      <c r="D1012" s="7">
        <v>13.9964</v>
      </c>
      <c r="E1012" s="7">
        <f t="shared" si="30"/>
        <v>14136.364</v>
      </c>
      <c r="F1012" s="7">
        <f t="shared" si="31"/>
        <v>1020100</v>
      </c>
      <c r="G1012" s="7"/>
    </row>
    <row r="1013" spans="1:7" x14ac:dyDescent="0.35">
      <c r="A1013" t="str">
        <f>"2009-02-23"</f>
        <v>2009-02-23</v>
      </c>
      <c r="B1013" t="str">
        <f>"14.1476"</f>
        <v>14.1476</v>
      </c>
      <c r="C1013">
        <v>1011</v>
      </c>
      <c r="D1013" s="7">
        <v>14.147600000000001</v>
      </c>
      <c r="E1013" s="7">
        <f t="shared" si="30"/>
        <v>14303.223600000001</v>
      </c>
      <c r="F1013" s="7">
        <f t="shared" si="31"/>
        <v>1022121</v>
      </c>
      <c r="G1013" s="7"/>
    </row>
    <row r="1014" spans="1:7" x14ac:dyDescent="0.35">
      <c r="A1014" t="str">
        <f>"2009-02-24"</f>
        <v>2009-02-24</v>
      </c>
      <c r="B1014" t="str">
        <f>"14.4065"</f>
        <v>14.4065</v>
      </c>
      <c r="C1014">
        <v>1012</v>
      </c>
      <c r="D1014" s="7">
        <v>14.406499999999999</v>
      </c>
      <c r="E1014" s="7">
        <f t="shared" si="30"/>
        <v>14579.377999999999</v>
      </c>
      <c r="F1014" s="7">
        <f t="shared" si="31"/>
        <v>1024144</v>
      </c>
      <c r="G1014" s="7"/>
    </row>
    <row r="1015" spans="1:7" x14ac:dyDescent="0.35">
      <c r="A1015" t="str">
        <f>"2009-02-25"</f>
        <v>2009-02-25</v>
      </c>
      <c r="B1015" t="str">
        <f>"14.0028"</f>
        <v>14.0028</v>
      </c>
      <c r="C1015">
        <v>1013</v>
      </c>
      <c r="D1015" s="7">
        <v>14.002800000000001</v>
      </c>
      <c r="E1015" s="7">
        <f t="shared" si="30"/>
        <v>14184.8364</v>
      </c>
      <c r="F1015" s="7">
        <f t="shared" si="31"/>
        <v>1026169</v>
      </c>
      <c r="G1015" s="7"/>
    </row>
    <row r="1016" spans="1:7" x14ac:dyDescent="0.35">
      <c r="A1016" t="str">
        <f>"2009-02-26"</f>
        <v>2009-02-26</v>
      </c>
      <c r="B1016" t="str">
        <f>"14.1474"</f>
        <v>14.1474</v>
      </c>
      <c r="C1016">
        <v>1014</v>
      </c>
      <c r="D1016" s="7">
        <v>14.147399999999999</v>
      </c>
      <c r="E1016" s="7">
        <f t="shared" si="30"/>
        <v>14345.463599999999</v>
      </c>
      <c r="F1016" s="7">
        <f t="shared" si="31"/>
        <v>1028196</v>
      </c>
      <c r="G1016" s="7"/>
    </row>
    <row r="1017" spans="1:7" x14ac:dyDescent="0.35">
      <c r="A1017" t="str">
        <f>"2009-02-27"</f>
        <v>2009-02-27</v>
      </c>
      <c r="B1017" t="str">
        <f>"13.803"</f>
        <v>13.803</v>
      </c>
      <c r="C1017">
        <v>1015</v>
      </c>
      <c r="D1017" s="7">
        <v>13.803000000000001</v>
      </c>
      <c r="E1017" s="7">
        <f t="shared" si="30"/>
        <v>14010.045</v>
      </c>
      <c r="F1017" s="7">
        <f t="shared" si="31"/>
        <v>1030225</v>
      </c>
      <c r="G1017" s="7"/>
    </row>
    <row r="1018" spans="1:7" x14ac:dyDescent="0.35">
      <c r="A1018" t="str">
        <f>"2009-03-02"</f>
        <v>2009-03-02</v>
      </c>
      <c r="B1018" t="str">
        <f>"12.97"</f>
        <v>12.97</v>
      </c>
      <c r="C1018">
        <v>1016</v>
      </c>
      <c r="D1018" s="7">
        <v>12.97</v>
      </c>
      <c r="E1018" s="7">
        <f t="shared" si="30"/>
        <v>13177.52</v>
      </c>
      <c r="F1018" s="7">
        <f t="shared" si="31"/>
        <v>1032256</v>
      </c>
      <c r="G1018" s="7"/>
    </row>
    <row r="1019" spans="1:7" x14ac:dyDescent="0.35">
      <c r="A1019" t="str">
        <f>"2009-03-03"</f>
        <v>2009-03-03</v>
      </c>
      <c r="B1019" t="str">
        <f>"12.8067"</f>
        <v>12.8067</v>
      </c>
      <c r="C1019">
        <v>1017</v>
      </c>
      <c r="D1019" s="7">
        <v>12.806699999999999</v>
      </c>
      <c r="E1019" s="7">
        <f t="shared" si="30"/>
        <v>13024.4139</v>
      </c>
      <c r="F1019" s="7">
        <f t="shared" si="31"/>
        <v>1034289</v>
      </c>
      <c r="G1019" s="7"/>
    </row>
    <row r="1020" spans="1:7" x14ac:dyDescent="0.35">
      <c r="A1020" t="str">
        <f>"2009-03-04"</f>
        <v>2009-03-04</v>
      </c>
      <c r="B1020" t="str">
        <f>"13.8029"</f>
        <v>13.8029</v>
      </c>
      <c r="C1020">
        <v>1018</v>
      </c>
      <c r="D1020" s="7">
        <v>13.802899999999999</v>
      </c>
      <c r="E1020" s="7">
        <f t="shared" si="30"/>
        <v>14051.352199999999</v>
      </c>
      <c r="F1020" s="7">
        <f t="shared" si="31"/>
        <v>1036324</v>
      </c>
      <c r="G1020" s="7"/>
    </row>
    <row r="1021" spans="1:7" x14ac:dyDescent="0.35">
      <c r="A1021" t="str">
        <f>"2009-03-05"</f>
        <v>2009-03-05</v>
      </c>
      <c r="B1021" t="str">
        <f>"12.8722"</f>
        <v>12.8722</v>
      </c>
      <c r="C1021">
        <v>1019</v>
      </c>
      <c r="D1021" s="7">
        <v>12.872199999999999</v>
      </c>
      <c r="E1021" s="7">
        <f t="shared" si="30"/>
        <v>13116.771799999999</v>
      </c>
      <c r="F1021" s="7">
        <f t="shared" si="31"/>
        <v>1038361</v>
      </c>
      <c r="G1021" s="7"/>
    </row>
    <row r="1022" spans="1:7" x14ac:dyDescent="0.35">
      <c r="A1022" t="str">
        <f>"2009-03-06"</f>
        <v>2009-03-06</v>
      </c>
      <c r="B1022" t="str">
        <f>"12.766"</f>
        <v>12.766</v>
      </c>
      <c r="C1022">
        <v>1020</v>
      </c>
      <c r="D1022" s="7">
        <v>12.766</v>
      </c>
      <c r="E1022" s="7">
        <f t="shared" si="30"/>
        <v>13021.32</v>
      </c>
      <c r="F1022" s="7">
        <f t="shared" si="31"/>
        <v>1040400</v>
      </c>
      <c r="G1022" s="7"/>
    </row>
    <row r="1023" spans="1:7" x14ac:dyDescent="0.35">
      <c r="A1023" t="str">
        <f>"2009-03-09"</f>
        <v>2009-03-09</v>
      </c>
      <c r="B1023" t="str">
        <f>"12.9898"</f>
        <v>12.9898</v>
      </c>
      <c r="C1023">
        <v>1021</v>
      </c>
      <c r="D1023" s="7">
        <v>12.989800000000001</v>
      </c>
      <c r="E1023" s="7">
        <f t="shared" si="30"/>
        <v>13262.585800000001</v>
      </c>
      <c r="F1023" s="7">
        <f t="shared" si="31"/>
        <v>1042441</v>
      </c>
      <c r="G1023" s="7"/>
    </row>
    <row r="1024" spans="1:7" x14ac:dyDescent="0.35">
      <c r="A1024" t="str">
        <f>"2009-03-10"</f>
        <v>2009-03-10</v>
      </c>
      <c r="B1024" t="str">
        <f>"13.4288"</f>
        <v>13.4288</v>
      </c>
      <c r="C1024">
        <v>1022</v>
      </c>
      <c r="D1024" s="7">
        <v>13.428800000000001</v>
      </c>
      <c r="E1024" s="7">
        <f t="shared" si="30"/>
        <v>13724.233600000001</v>
      </c>
      <c r="F1024" s="7">
        <f t="shared" si="31"/>
        <v>1044484</v>
      </c>
      <c r="G1024" s="7"/>
    </row>
    <row r="1025" spans="1:7" x14ac:dyDescent="0.35">
      <c r="A1025" t="str">
        <f>"2009-03-11"</f>
        <v>2009-03-11</v>
      </c>
      <c r="B1025" t="str">
        <f>"13.4327"</f>
        <v>13.4327</v>
      </c>
      <c r="C1025">
        <v>1023</v>
      </c>
      <c r="D1025" s="7">
        <v>13.432700000000001</v>
      </c>
      <c r="E1025" s="7">
        <f t="shared" si="30"/>
        <v>13741.652100000001</v>
      </c>
      <c r="F1025" s="7">
        <f t="shared" si="31"/>
        <v>1046529</v>
      </c>
      <c r="G1025" s="7"/>
    </row>
    <row r="1026" spans="1:7" x14ac:dyDescent="0.35">
      <c r="A1026" t="str">
        <f>"2009-03-12"</f>
        <v>2009-03-12</v>
      </c>
      <c r="B1026" t="str">
        <f>"13.5437"</f>
        <v>13.5437</v>
      </c>
      <c r="C1026">
        <v>1024</v>
      </c>
      <c r="D1026" s="7">
        <v>13.543699999999999</v>
      </c>
      <c r="E1026" s="7">
        <f t="shared" si="30"/>
        <v>13868.748799999999</v>
      </c>
      <c r="F1026" s="7">
        <f t="shared" si="31"/>
        <v>1048576</v>
      </c>
      <c r="G1026" s="7"/>
    </row>
    <row r="1027" spans="1:7" x14ac:dyDescent="0.35">
      <c r="A1027" t="str">
        <f>"2009-03-13"</f>
        <v>2009-03-13</v>
      </c>
      <c r="B1027" t="str">
        <f>"14.1962"</f>
        <v>14.1962</v>
      </c>
      <c r="C1027">
        <v>1025</v>
      </c>
      <c r="D1027" s="7">
        <v>14.196199999999999</v>
      </c>
      <c r="E1027" s="7">
        <f t="shared" si="30"/>
        <v>14551.105</v>
      </c>
      <c r="F1027" s="7">
        <f t="shared" si="31"/>
        <v>1050625</v>
      </c>
      <c r="G1027" s="7"/>
    </row>
    <row r="1028" spans="1:7" x14ac:dyDescent="0.35">
      <c r="A1028" t="str">
        <f>"2009-03-16"</f>
        <v>2009-03-16</v>
      </c>
      <c r="B1028" t="str">
        <f>"14.7662"</f>
        <v>14.7662</v>
      </c>
      <c r="C1028">
        <v>1026</v>
      </c>
      <c r="D1028" s="7">
        <v>14.7662</v>
      </c>
      <c r="E1028" s="7">
        <f t="shared" ref="E1028:E1091" si="32">C1028*D1028</f>
        <v>15150.1212</v>
      </c>
      <c r="F1028" s="7">
        <f t="shared" ref="F1028:F1091" si="33">C1028*C1028</f>
        <v>1052676</v>
      </c>
      <c r="G1028" s="7"/>
    </row>
    <row r="1029" spans="1:7" x14ac:dyDescent="0.35">
      <c r="A1029" t="str">
        <f>"2009-03-17"</f>
        <v>2009-03-17</v>
      </c>
      <c r="B1029" t="str">
        <f>"14.5892"</f>
        <v>14.5892</v>
      </c>
      <c r="C1029">
        <v>1027</v>
      </c>
      <c r="D1029" s="7">
        <v>14.5892</v>
      </c>
      <c r="E1029" s="7">
        <f t="shared" si="32"/>
        <v>14983.108399999999</v>
      </c>
      <c r="F1029" s="7">
        <f t="shared" si="33"/>
        <v>1054729</v>
      </c>
      <c r="G1029" s="7"/>
    </row>
    <row r="1030" spans="1:7" x14ac:dyDescent="0.35">
      <c r="A1030" t="str">
        <f>"2009-03-18"</f>
        <v>2009-03-18</v>
      </c>
      <c r="B1030" t="str">
        <f>"15.3183"</f>
        <v>15.3183</v>
      </c>
      <c r="C1030">
        <v>1028</v>
      </c>
      <c r="D1030" s="7">
        <v>15.318300000000001</v>
      </c>
      <c r="E1030" s="7">
        <f t="shared" si="32"/>
        <v>15747.2124</v>
      </c>
      <c r="F1030" s="7">
        <f t="shared" si="33"/>
        <v>1056784</v>
      </c>
      <c r="G1030" s="7"/>
    </row>
    <row r="1031" spans="1:7" x14ac:dyDescent="0.35">
      <c r="A1031" t="str">
        <f>"2009-03-19"</f>
        <v>2009-03-19</v>
      </c>
      <c r="B1031" t="str">
        <f>"14.3084"</f>
        <v>14.3084</v>
      </c>
      <c r="C1031">
        <v>1029</v>
      </c>
      <c r="D1031" s="7">
        <v>14.308400000000001</v>
      </c>
      <c r="E1031" s="7">
        <f t="shared" si="32"/>
        <v>14723.3436</v>
      </c>
      <c r="F1031" s="7">
        <f t="shared" si="33"/>
        <v>1058841</v>
      </c>
      <c r="G1031" s="7"/>
    </row>
    <row r="1032" spans="1:7" x14ac:dyDescent="0.35">
      <c r="A1032" t="str">
        <f>"2009-03-20"</f>
        <v>2009-03-20</v>
      </c>
      <c r="B1032" t="str">
        <f>"14.7874"</f>
        <v>14.7874</v>
      </c>
      <c r="C1032">
        <v>1030</v>
      </c>
      <c r="D1032" s="7">
        <v>14.7874</v>
      </c>
      <c r="E1032" s="7">
        <f t="shared" si="32"/>
        <v>15231.021999999999</v>
      </c>
      <c r="F1032" s="7">
        <f t="shared" si="33"/>
        <v>1060900</v>
      </c>
      <c r="G1032" s="7"/>
    </row>
    <row r="1033" spans="1:7" x14ac:dyDescent="0.35">
      <c r="A1033" t="str">
        <f>"2009-03-23"</f>
        <v>2009-03-23</v>
      </c>
      <c r="B1033" t="str">
        <f>"15.4881"</f>
        <v>15.4881</v>
      </c>
      <c r="C1033">
        <v>1031</v>
      </c>
      <c r="D1033" s="7">
        <v>15.488099999999999</v>
      </c>
      <c r="E1033" s="7">
        <f t="shared" si="32"/>
        <v>15968.231099999999</v>
      </c>
      <c r="F1033" s="7">
        <f t="shared" si="33"/>
        <v>1062961</v>
      </c>
      <c r="G1033" s="7"/>
    </row>
    <row r="1034" spans="1:7" x14ac:dyDescent="0.35">
      <c r="A1034" t="str">
        <f>"2009-03-24"</f>
        <v>2009-03-24</v>
      </c>
      <c r="B1034" t="str">
        <f>"16.5493"</f>
        <v>16.5493</v>
      </c>
      <c r="C1034">
        <v>1032</v>
      </c>
      <c r="D1034" s="7">
        <v>16.549299999999999</v>
      </c>
      <c r="E1034" s="7">
        <f t="shared" si="32"/>
        <v>17078.8776</v>
      </c>
      <c r="F1034" s="7">
        <f t="shared" si="33"/>
        <v>1065024</v>
      </c>
      <c r="G1034" s="7"/>
    </row>
    <row r="1035" spans="1:7" x14ac:dyDescent="0.35">
      <c r="A1035" t="str">
        <f>"2009-03-25"</f>
        <v>2009-03-25</v>
      </c>
      <c r="B1035" t="str">
        <f>"16.0092"</f>
        <v>16.0092</v>
      </c>
      <c r="C1035">
        <v>1033</v>
      </c>
      <c r="D1035" s="7">
        <v>16.0092</v>
      </c>
      <c r="E1035" s="7">
        <f t="shared" si="32"/>
        <v>16537.5036</v>
      </c>
      <c r="F1035" s="7">
        <f t="shared" si="33"/>
        <v>1067089</v>
      </c>
      <c r="G1035" s="7"/>
    </row>
    <row r="1036" spans="1:7" x14ac:dyDescent="0.35">
      <c r="A1036" t="str">
        <f>"2009-03-26"</f>
        <v>2009-03-26</v>
      </c>
      <c r="B1036" t="str">
        <f>"15.982"</f>
        <v>15.982</v>
      </c>
      <c r="C1036">
        <v>1034</v>
      </c>
      <c r="D1036" s="7">
        <v>15.981999999999999</v>
      </c>
      <c r="E1036" s="7">
        <f t="shared" si="32"/>
        <v>16525.387999999999</v>
      </c>
      <c r="F1036" s="7">
        <f t="shared" si="33"/>
        <v>1069156</v>
      </c>
      <c r="G1036" s="7"/>
    </row>
    <row r="1037" spans="1:7" x14ac:dyDescent="0.35">
      <c r="A1037" t="str">
        <f>"2009-03-27"</f>
        <v>2009-03-27</v>
      </c>
      <c r="B1037" t="str">
        <f>"16.1155"</f>
        <v>16.1155</v>
      </c>
      <c r="C1037">
        <v>1035</v>
      </c>
      <c r="D1037" s="7">
        <v>16.115500000000001</v>
      </c>
      <c r="E1037" s="7">
        <f t="shared" si="32"/>
        <v>16679.5425</v>
      </c>
      <c r="F1037" s="7">
        <f t="shared" si="33"/>
        <v>1071225</v>
      </c>
      <c r="G1037" s="7"/>
    </row>
    <row r="1038" spans="1:7" x14ac:dyDescent="0.35">
      <c r="A1038" t="str">
        <f>"2009-03-30"</f>
        <v>2009-03-30</v>
      </c>
      <c r="B1038" t="str">
        <f>"15.9979"</f>
        <v>15.9979</v>
      </c>
      <c r="C1038">
        <v>1036</v>
      </c>
      <c r="D1038" s="7">
        <v>15.9979</v>
      </c>
      <c r="E1038" s="7">
        <f t="shared" si="32"/>
        <v>16573.824400000001</v>
      </c>
      <c r="F1038" s="7">
        <f t="shared" si="33"/>
        <v>1073296</v>
      </c>
      <c r="G1038" s="7"/>
    </row>
    <row r="1039" spans="1:7" x14ac:dyDescent="0.35">
      <c r="A1039" t="str">
        <f>"2009-03-31"</f>
        <v>2009-03-31</v>
      </c>
      <c r="B1039" t="str">
        <f>"16.6633"</f>
        <v>16.6633</v>
      </c>
      <c r="C1039">
        <v>1037</v>
      </c>
      <c r="D1039" s="7">
        <v>16.6633</v>
      </c>
      <c r="E1039" s="7">
        <f t="shared" si="32"/>
        <v>17279.842099999998</v>
      </c>
      <c r="F1039" s="7">
        <f t="shared" si="33"/>
        <v>1075369</v>
      </c>
      <c r="G1039" s="7"/>
    </row>
    <row r="1040" spans="1:7" x14ac:dyDescent="0.35">
      <c r="A1040" t="str">
        <f>"2009-04-01"</f>
        <v>2009-04-01</v>
      </c>
      <c r="B1040" t="str">
        <f>"17.7278"</f>
        <v>17.7278</v>
      </c>
      <c r="C1040">
        <v>1038</v>
      </c>
      <c r="D1040" s="7">
        <v>17.727799999999998</v>
      </c>
      <c r="E1040" s="7">
        <f t="shared" si="32"/>
        <v>18401.456399999999</v>
      </c>
      <c r="F1040" s="7">
        <f t="shared" si="33"/>
        <v>1077444</v>
      </c>
      <c r="G1040" s="7"/>
    </row>
    <row r="1041" spans="1:7" x14ac:dyDescent="0.35">
      <c r="A1041" t="str">
        <f>"2009-04-02"</f>
        <v>2009-04-02</v>
      </c>
      <c r="B1041" t="str">
        <f>"18.8391"</f>
        <v>18.8391</v>
      </c>
      <c r="C1041">
        <v>1039</v>
      </c>
      <c r="D1041" s="7">
        <v>18.839099999999998</v>
      </c>
      <c r="E1041" s="7">
        <f t="shared" si="32"/>
        <v>19573.8249</v>
      </c>
      <c r="F1041" s="7">
        <f t="shared" si="33"/>
        <v>1079521</v>
      </c>
      <c r="G1041" s="7"/>
    </row>
    <row r="1042" spans="1:7" x14ac:dyDescent="0.35">
      <c r="A1042" t="str">
        <f>"2009-04-03"</f>
        <v>2009-04-03</v>
      </c>
      <c r="B1042" t="str">
        <f>"19.4146"</f>
        <v>19.4146</v>
      </c>
      <c r="C1042">
        <v>1040</v>
      </c>
      <c r="D1042" s="7">
        <v>19.4146</v>
      </c>
      <c r="E1042" s="7">
        <f t="shared" si="32"/>
        <v>20191.184000000001</v>
      </c>
      <c r="F1042" s="7">
        <f t="shared" si="33"/>
        <v>1081600</v>
      </c>
      <c r="G1042" s="7"/>
    </row>
    <row r="1043" spans="1:7" x14ac:dyDescent="0.35">
      <c r="A1043" t="str">
        <f>"2009-04-06"</f>
        <v>2009-04-06</v>
      </c>
      <c r="B1043" t="str">
        <f>"19.9696"</f>
        <v>19.9696</v>
      </c>
      <c r="C1043">
        <v>1041</v>
      </c>
      <c r="D1043" s="7">
        <v>19.9696</v>
      </c>
      <c r="E1043" s="7">
        <f t="shared" si="32"/>
        <v>20788.353599999999</v>
      </c>
      <c r="F1043" s="7">
        <f t="shared" si="33"/>
        <v>1083681</v>
      </c>
      <c r="G1043" s="7"/>
    </row>
    <row r="1044" spans="1:7" x14ac:dyDescent="0.35">
      <c r="A1044" t="str">
        <f>"2009-04-07"</f>
        <v>2009-04-07</v>
      </c>
      <c r="B1044" t="str">
        <f>"20.1123"</f>
        <v>20.1123</v>
      </c>
      <c r="C1044">
        <v>1042</v>
      </c>
      <c r="D1044" s="7">
        <v>20.112300000000001</v>
      </c>
      <c r="E1044" s="7">
        <f t="shared" si="32"/>
        <v>20957.016600000003</v>
      </c>
      <c r="F1044" s="7">
        <f t="shared" si="33"/>
        <v>1085764</v>
      </c>
      <c r="G1044" s="7"/>
    </row>
    <row r="1045" spans="1:7" x14ac:dyDescent="0.35">
      <c r="A1045" t="str">
        <f>"2009-04-08"</f>
        <v>2009-04-08</v>
      </c>
      <c r="B1045" t="str">
        <f>"20.1608"</f>
        <v>20.1608</v>
      </c>
      <c r="C1045">
        <v>1043</v>
      </c>
      <c r="D1045" s="7">
        <v>20.160799999999998</v>
      </c>
      <c r="E1045" s="7">
        <f t="shared" si="32"/>
        <v>21027.714399999997</v>
      </c>
      <c r="F1045" s="7">
        <f t="shared" si="33"/>
        <v>1087849</v>
      </c>
      <c r="G1045" s="7"/>
    </row>
    <row r="1046" spans="1:7" x14ac:dyDescent="0.35">
      <c r="A1046" t="str">
        <f>"2009-04-09"</f>
        <v>2009-04-09</v>
      </c>
      <c r="B1046" t="str">
        <f>"21.3873"</f>
        <v>21.3873</v>
      </c>
      <c r="C1046">
        <v>1044</v>
      </c>
      <c r="D1046" s="7">
        <v>21.3873</v>
      </c>
      <c r="E1046" s="7">
        <f t="shared" si="32"/>
        <v>22328.341199999999</v>
      </c>
      <c r="F1046" s="7">
        <f t="shared" si="33"/>
        <v>1089936</v>
      </c>
      <c r="G1046" s="7"/>
    </row>
    <row r="1047" spans="1:7" x14ac:dyDescent="0.35">
      <c r="A1047" t="str">
        <f>"2009-04-13"</f>
        <v>2009-04-13</v>
      </c>
      <c r="B1047" t="str">
        <f>"21.9278"</f>
        <v>21.9278</v>
      </c>
      <c r="C1047">
        <v>1045</v>
      </c>
      <c r="D1047" s="7">
        <v>21.927800000000001</v>
      </c>
      <c r="E1047" s="7">
        <f t="shared" si="32"/>
        <v>22914.551000000003</v>
      </c>
      <c r="F1047" s="7">
        <f t="shared" si="33"/>
        <v>1092025</v>
      </c>
      <c r="G1047" s="7"/>
    </row>
    <row r="1048" spans="1:7" x14ac:dyDescent="0.35">
      <c r="A1048" t="str">
        <f>"2009-04-14"</f>
        <v>2009-04-14</v>
      </c>
      <c r="B1048" t="str">
        <f>"22.0787"</f>
        <v>22.0787</v>
      </c>
      <c r="C1048">
        <v>1046</v>
      </c>
      <c r="D1048" s="7">
        <v>22.078700000000001</v>
      </c>
      <c r="E1048" s="7">
        <f t="shared" si="32"/>
        <v>23094.320200000002</v>
      </c>
      <c r="F1048" s="7">
        <f t="shared" si="33"/>
        <v>1094116</v>
      </c>
      <c r="G1048" s="7"/>
    </row>
    <row r="1049" spans="1:7" x14ac:dyDescent="0.35">
      <c r="A1049" t="str">
        <f>"2009-04-15"</f>
        <v>2009-04-15</v>
      </c>
      <c r="B1049" t="str">
        <f>"21.2829"</f>
        <v>21.2829</v>
      </c>
      <c r="C1049">
        <v>1047</v>
      </c>
      <c r="D1049" s="7">
        <v>21.282900000000001</v>
      </c>
      <c r="E1049" s="7">
        <f t="shared" si="32"/>
        <v>22283.196300000003</v>
      </c>
      <c r="F1049" s="7">
        <f t="shared" si="33"/>
        <v>1096209</v>
      </c>
      <c r="G1049" s="7"/>
    </row>
    <row r="1050" spans="1:7" x14ac:dyDescent="0.35">
      <c r="A1050" t="str">
        <f>"2009-04-16"</f>
        <v>2009-04-16</v>
      </c>
      <c r="B1050" t="str">
        <f>"21.8479"</f>
        <v>21.8479</v>
      </c>
      <c r="C1050">
        <v>1048</v>
      </c>
      <c r="D1050" s="7">
        <v>21.847899999999999</v>
      </c>
      <c r="E1050" s="7">
        <f t="shared" si="32"/>
        <v>22896.599200000001</v>
      </c>
      <c r="F1050" s="7">
        <f t="shared" si="33"/>
        <v>1098304</v>
      </c>
      <c r="G1050" s="7"/>
    </row>
    <row r="1051" spans="1:7" x14ac:dyDescent="0.35">
      <c r="A1051" t="str">
        <f>"2009-04-17"</f>
        <v>2009-04-17</v>
      </c>
      <c r="B1051" t="str">
        <f>"21.4831"</f>
        <v>21.4831</v>
      </c>
      <c r="C1051">
        <v>1049</v>
      </c>
      <c r="D1051" s="7">
        <v>21.4831</v>
      </c>
      <c r="E1051" s="7">
        <f t="shared" si="32"/>
        <v>22535.7719</v>
      </c>
      <c r="F1051" s="7">
        <f t="shared" si="33"/>
        <v>1100401</v>
      </c>
      <c r="G1051" s="7"/>
    </row>
    <row r="1052" spans="1:7" x14ac:dyDescent="0.35">
      <c r="A1052" t="str">
        <f>"2009-04-20"</f>
        <v>2009-04-20</v>
      </c>
      <c r="B1052" t="str">
        <f>"20.0212"</f>
        <v>20.0212</v>
      </c>
      <c r="C1052">
        <v>1050</v>
      </c>
      <c r="D1052" s="7">
        <v>20.0212</v>
      </c>
      <c r="E1052" s="7">
        <f t="shared" si="32"/>
        <v>21022.260000000002</v>
      </c>
      <c r="F1052" s="7">
        <f t="shared" si="33"/>
        <v>1102500</v>
      </c>
      <c r="G1052" s="7"/>
    </row>
    <row r="1053" spans="1:7" x14ac:dyDescent="0.35">
      <c r="A1053" t="str">
        <f>"2009-04-21"</f>
        <v>2009-04-21</v>
      </c>
      <c r="B1053" t="str">
        <f>"19.7906"</f>
        <v>19.7906</v>
      </c>
      <c r="C1053">
        <v>1051</v>
      </c>
      <c r="D1053" s="7">
        <v>19.790600000000001</v>
      </c>
      <c r="E1053" s="7">
        <f t="shared" si="32"/>
        <v>20799.920600000001</v>
      </c>
      <c r="F1053" s="7">
        <f t="shared" si="33"/>
        <v>1104601</v>
      </c>
      <c r="G1053" s="7"/>
    </row>
    <row r="1054" spans="1:7" x14ac:dyDescent="0.35">
      <c r="A1054" t="str">
        <f>"2009-04-22"</f>
        <v>2009-04-22</v>
      </c>
      <c r="B1054" t="str">
        <f>"19.9901"</f>
        <v>19.9901</v>
      </c>
      <c r="C1054">
        <v>1052</v>
      </c>
      <c r="D1054" s="7">
        <v>19.990100000000002</v>
      </c>
      <c r="E1054" s="7">
        <f t="shared" si="32"/>
        <v>21029.585200000001</v>
      </c>
      <c r="F1054" s="7">
        <f t="shared" si="33"/>
        <v>1106704</v>
      </c>
      <c r="G1054" s="7"/>
    </row>
    <row r="1055" spans="1:7" x14ac:dyDescent="0.35">
      <c r="A1055" t="str">
        <f>"2009-04-24"</f>
        <v>2009-04-24</v>
      </c>
      <c r="B1055" t="str">
        <f>"20.284"</f>
        <v>20.284</v>
      </c>
      <c r="C1055">
        <v>1053</v>
      </c>
      <c r="D1055" s="7">
        <v>20.283999999999999</v>
      </c>
      <c r="E1055" s="7">
        <f t="shared" si="32"/>
        <v>21359.052</v>
      </c>
      <c r="F1055" s="7">
        <f t="shared" si="33"/>
        <v>1108809</v>
      </c>
      <c r="G1055" s="7"/>
    </row>
    <row r="1056" spans="1:7" x14ac:dyDescent="0.35">
      <c r="A1056" t="str">
        <f>"2009-04-27"</f>
        <v>2009-04-27</v>
      </c>
      <c r="B1056" t="str">
        <f>"20.1184"</f>
        <v>20.1184</v>
      </c>
      <c r="C1056">
        <v>1054</v>
      </c>
      <c r="D1056" s="7">
        <v>20.118400000000001</v>
      </c>
      <c r="E1056" s="7">
        <f t="shared" si="32"/>
        <v>21204.793600000001</v>
      </c>
      <c r="F1056" s="7">
        <f t="shared" si="33"/>
        <v>1110916</v>
      </c>
      <c r="G1056" s="7"/>
    </row>
    <row r="1057" spans="1:7" x14ac:dyDescent="0.35">
      <c r="A1057" t="str">
        <f>"2009-04-28"</f>
        <v>2009-04-28</v>
      </c>
      <c r="B1057" t="str">
        <f>"20.1503"</f>
        <v>20.1503</v>
      </c>
      <c r="C1057">
        <v>1055</v>
      </c>
      <c r="D1057" s="7">
        <v>20.150300000000001</v>
      </c>
      <c r="E1057" s="7">
        <f t="shared" si="32"/>
        <v>21258.566500000001</v>
      </c>
      <c r="F1057" s="7">
        <f t="shared" si="33"/>
        <v>1113025</v>
      </c>
      <c r="G1057" s="7"/>
    </row>
    <row r="1058" spans="1:7" x14ac:dyDescent="0.35">
      <c r="A1058" t="str">
        <f>"2009-04-29"</f>
        <v>2009-04-29</v>
      </c>
      <c r="B1058" t="str">
        <f>"21.1123"</f>
        <v>21.1123</v>
      </c>
      <c r="C1058">
        <v>1056</v>
      </c>
      <c r="D1058" s="7">
        <v>21.112300000000001</v>
      </c>
      <c r="E1058" s="7">
        <f t="shared" si="32"/>
        <v>22294.588800000001</v>
      </c>
      <c r="F1058" s="7">
        <f t="shared" si="33"/>
        <v>1115136</v>
      </c>
      <c r="G1058" s="7"/>
    </row>
    <row r="1059" spans="1:7" x14ac:dyDescent="0.35">
      <c r="A1059" t="str">
        <f>"2009-04-30"</f>
        <v>2009-04-30</v>
      </c>
      <c r="B1059" t="str">
        <f>"21.3665"</f>
        <v>21.3665</v>
      </c>
      <c r="C1059">
        <v>1057</v>
      </c>
      <c r="D1059" s="7">
        <v>21.366499999999998</v>
      </c>
      <c r="E1059" s="7">
        <f t="shared" si="32"/>
        <v>22584.390499999998</v>
      </c>
      <c r="F1059" s="7">
        <f t="shared" si="33"/>
        <v>1117249</v>
      </c>
      <c r="G1059" s="7"/>
    </row>
    <row r="1060" spans="1:7" x14ac:dyDescent="0.35">
      <c r="A1060" t="str">
        <f>"2009-05-01"</f>
        <v>2009-05-01</v>
      </c>
      <c r="B1060" t="str">
        <f>"21.9344"</f>
        <v>21.9344</v>
      </c>
      <c r="C1060">
        <v>1058</v>
      </c>
      <c r="D1060" s="7">
        <v>21.9344</v>
      </c>
      <c r="E1060" s="7">
        <f t="shared" si="32"/>
        <v>23206.5952</v>
      </c>
      <c r="F1060" s="7">
        <f t="shared" si="33"/>
        <v>1119364</v>
      </c>
      <c r="G1060" s="7"/>
    </row>
    <row r="1061" spans="1:7" x14ac:dyDescent="0.35">
      <c r="A1061" t="str">
        <f>"2009-05-04"</f>
        <v>2009-05-04</v>
      </c>
      <c r="B1061" t="str">
        <f>"22.8588"</f>
        <v>22.8588</v>
      </c>
      <c r="C1061">
        <v>1059</v>
      </c>
      <c r="D1061" s="7">
        <v>22.858799999999999</v>
      </c>
      <c r="E1061" s="7">
        <f t="shared" si="32"/>
        <v>24207.4692</v>
      </c>
      <c r="F1061" s="7">
        <f t="shared" si="33"/>
        <v>1121481</v>
      </c>
      <c r="G1061" s="7"/>
    </row>
    <row r="1062" spans="1:7" x14ac:dyDescent="0.35">
      <c r="A1062" t="str">
        <f>"2009-05-05"</f>
        <v>2009-05-05</v>
      </c>
      <c r="B1062" t="str">
        <f>"23.1232"</f>
        <v>23.1232</v>
      </c>
      <c r="C1062">
        <v>1060</v>
      </c>
      <c r="D1062" s="7">
        <v>23.123200000000001</v>
      </c>
      <c r="E1062" s="7">
        <f t="shared" si="32"/>
        <v>24510.592000000001</v>
      </c>
      <c r="F1062" s="7">
        <f t="shared" si="33"/>
        <v>1123600</v>
      </c>
      <c r="G1062" s="7"/>
    </row>
    <row r="1063" spans="1:7" x14ac:dyDescent="0.35">
      <c r="A1063" t="str">
        <f>"2009-05-06"</f>
        <v>2009-05-06</v>
      </c>
      <c r="B1063" t="str">
        <f>"23.5108"</f>
        <v>23.5108</v>
      </c>
      <c r="C1063">
        <v>1061</v>
      </c>
      <c r="D1063" s="7">
        <v>23.5108</v>
      </c>
      <c r="E1063" s="7">
        <f t="shared" si="32"/>
        <v>24944.9588</v>
      </c>
      <c r="F1063" s="7">
        <f t="shared" si="33"/>
        <v>1125721</v>
      </c>
      <c r="G1063" s="7"/>
    </row>
    <row r="1064" spans="1:7" x14ac:dyDescent="0.35">
      <c r="A1064" t="str">
        <f>"2009-05-07"</f>
        <v>2009-05-07</v>
      </c>
      <c r="B1064" t="str">
        <f>"23.9305"</f>
        <v>23.9305</v>
      </c>
      <c r="C1064">
        <v>1062</v>
      </c>
      <c r="D1064" s="7">
        <v>23.930499999999999</v>
      </c>
      <c r="E1064" s="7">
        <f t="shared" si="32"/>
        <v>25414.190999999999</v>
      </c>
      <c r="F1064" s="7">
        <f t="shared" si="33"/>
        <v>1127844</v>
      </c>
      <c r="G1064" s="7"/>
    </row>
    <row r="1065" spans="1:7" x14ac:dyDescent="0.35">
      <c r="A1065" t="str">
        <f>"2009-05-08"</f>
        <v>2009-05-08</v>
      </c>
      <c r="B1065" t="str">
        <f>"23.8338"</f>
        <v>23.8338</v>
      </c>
      <c r="C1065">
        <v>1063</v>
      </c>
      <c r="D1065" s="7">
        <v>23.8338</v>
      </c>
      <c r="E1065" s="7">
        <f t="shared" si="32"/>
        <v>25335.329399999999</v>
      </c>
      <c r="F1065" s="7">
        <f t="shared" si="33"/>
        <v>1129969</v>
      </c>
      <c r="G1065" s="7"/>
    </row>
    <row r="1066" spans="1:7" x14ac:dyDescent="0.35">
      <c r="A1066" t="str">
        <f>"2009-05-11"</f>
        <v>2009-05-11</v>
      </c>
      <c r="B1066" t="str">
        <f>"23.4093"</f>
        <v>23.4093</v>
      </c>
      <c r="C1066">
        <v>1064</v>
      </c>
      <c r="D1066" s="7">
        <v>23.409300000000002</v>
      </c>
      <c r="E1066" s="7">
        <f t="shared" si="32"/>
        <v>24907.495200000001</v>
      </c>
      <c r="F1066" s="7">
        <f t="shared" si="33"/>
        <v>1132096</v>
      </c>
      <c r="G1066" s="7"/>
    </row>
    <row r="1067" spans="1:7" x14ac:dyDescent="0.35">
      <c r="A1067" t="str">
        <f>"2009-05-12"</f>
        <v>2009-05-12</v>
      </c>
      <c r="B1067" t="str">
        <f>"25.1484"</f>
        <v>25.1484</v>
      </c>
      <c r="C1067">
        <v>1065</v>
      </c>
      <c r="D1067" s="7">
        <v>25.148399999999999</v>
      </c>
      <c r="E1067" s="7">
        <f t="shared" si="32"/>
        <v>26783.045999999998</v>
      </c>
      <c r="F1067" s="7">
        <f t="shared" si="33"/>
        <v>1134225</v>
      </c>
      <c r="G1067" s="7"/>
    </row>
    <row r="1068" spans="1:7" x14ac:dyDescent="0.35">
      <c r="A1068" t="str">
        <f>"2009-05-13"</f>
        <v>2009-05-13</v>
      </c>
      <c r="B1068" t="str">
        <f>"24.2092"</f>
        <v>24.2092</v>
      </c>
      <c r="C1068">
        <v>1066</v>
      </c>
      <c r="D1068" s="7">
        <v>24.209199999999999</v>
      </c>
      <c r="E1068" s="7">
        <f t="shared" si="32"/>
        <v>25807.0072</v>
      </c>
      <c r="F1068" s="7">
        <f t="shared" si="33"/>
        <v>1136356</v>
      </c>
      <c r="G1068" s="7"/>
    </row>
    <row r="1069" spans="1:7" x14ac:dyDescent="0.35">
      <c r="A1069" t="str">
        <f>"2009-05-14"</f>
        <v>2009-05-14</v>
      </c>
      <c r="B1069" t="str">
        <f>"25.0008"</f>
        <v>25.0008</v>
      </c>
      <c r="C1069">
        <v>1067</v>
      </c>
      <c r="D1069" s="7">
        <v>25.000800000000002</v>
      </c>
      <c r="E1069" s="7">
        <f t="shared" si="32"/>
        <v>26675.853600000002</v>
      </c>
      <c r="F1069" s="7">
        <f t="shared" si="33"/>
        <v>1138489</v>
      </c>
      <c r="G1069" s="7"/>
    </row>
    <row r="1070" spans="1:7" x14ac:dyDescent="0.35">
      <c r="A1070" t="str">
        <f>"2009-05-15"</f>
        <v>2009-05-15</v>
      </c>
      <c r="B1070" t="str">
        <f>"24.7337"</f>
        <v>24.7337</v>
      </c>
      <c r="C1070">
        <v>1068</v>
      </c>
      <c r="D1070" s="7">
        <v>24.733699999999999</v>
      </c>
      <c r="E1070" s="7">
        <f t="shared" si="32"/>
        <v>26415.5916</v>
      </c>
      <c r="F1070" s="7">
        <f t="shared" si="33"/>
        <v>1140624</v>
      </c>
      <c r="G1070" s="7"/>
    </row>
    <row r="1071" spans="1:7" x14ac:dyDescent="0.35">
      <c r="A1071" t="str">
        <f>"2009-05-18"</f>
        <v>2009-05-18</v>
      </c>
      <c r="B1071" t="str">
        <f>"25.4114"</f>
        <v>25.4114</v>
      </c>
      <c r="C1071">
        <v>1069</v>
      </c>
      <c r="D1071" s="7">
        <v>25.4114</v>
      </c>
      <c r="E1071" s="7">
        <f t="shared" si="32"/>
        <v>27164.786599999999</v>
      </c>
      <c r="F1071" s="7">
        <f t="shared" si="33"/>
        <v>1142761</v>
      </c>
      <c r="G1071" s="7"/>
    </row>
    <row r="1072" spans="1:7" x14ac:dyDescent="0.35">
      <c r="A1072" t="str">
        <f>"2009-05-20"</f>
        <v>2009-05-20</v>
      </c>
      <c r="B1072" t="str">
        <f>"25.0538"</f>
        <v>25.0538</v>
      </c>
      <c r="C1072">
        <v>1070</v>
      </c>
      <c r="D1072" s="7">
        <v>25.053799999999999</v>
      </c>
      <c r="E1072" s="7">
        <f t="shared" si="32"/>
        <v>26807.565999999999</v>
      </c>
      <c r="F1072" s="7">
        <f t="shared" si="33"/>
        <v>1144900</v>
      </c>
      <c r="G1072" s="7"/>
    </row>
    <row r="1073" spans="1:7" x14ac:dyDescent="0.35">
      <c r="A1073" t="str">
        <f>"2009-05-21"</f>
        <v>2009-05-21</v>
      </c>
      <c r="B1073" t="str">
        <f>"22.8206"</f>
        <v>22.8206</v>
      </c>
      <c r="C1073">
        <v>1071</v>
      </c>
      <c r="D1073" s="7">
        <v>22.820599999999999</v>
      </c>
      <c r="E1073" s="7">
        <f t="shared" si="32"/>
        <v>24440.8626</v>
      </c>
      <c r="F1073" s="7">
        <f t="shared" si="33"/>
        <v>1147041</v>
      </c>
      <c r="G1073" s="7"/>
    </row>
    <row r="1074" spans="1:7" x14ac:dyDescent="0.35">
      <c r="A1074" t="str">
        <f>"2009-05-22"</f>
        <v>2009-05-22</v>
      </c>
      <c r="B1074" t="str">
        <f>"23.5068"</f>
        <v>23.5068</v>
      </c>
      <c r="C1074">
        <v>1072</v>
      </c>
      <c r="D1074" s="7">
        <v>23.506799999999998</v>
      </c>
      <c r="E1074" s="7">
        <f t="shared" si="32"/>
        <v>25199.289599999996</v>
      </c>
      <c r="F1074" s="7">
        <f t="shared" si="33"/>
        <v>1149184</v>
      </c>
      <c r="G1074" s="7"/>
    </row>
    <row r="1075" spans="1:7" x14ac:dyDescent="0.35">
      <c r="A1075" t="str">
        <f>"2009-05-26"</f>
        <v>2009-05-26</v>
      </c>
      <c r="B1075" t="str">
        <f>"23.2137"</f>
        <v>23.2137</v>
      </c>
      <c r="C1075">
        <v>1073</v>
      </c>
      <c r="D1075" s="7">
        <v>23.213699999999999</v>
      </c>
      <c r="E1075" s="7">
        <f t="shared" si="32"/>
        <v>24908.3001</v>
      </c>
      <c r="F1075" s="7">
        <f t="shared" si="33"/>
        <v>1151329</v>
      </c>
      <c r="G1075" s="7"/>
    </row>
    <row r="1076" spans="1:7" x14ac:dyDescent="0.35">
      <c r="A1076" t="str">
        <f>"2009-05-27"</f>
        <v>2009-05-27</v>
      </c>
      <c r="B1076" t="str">
        <f>"23.4614"</f>
        <v>23.4614</v>
      </c>
      <c r="C1076">
        <v>1074</v>
      </c>
      <c r="D1076" s="7">
        <v>23.461400000000001</v>
      </c>
      <c r="E1076" s="7">
        <f t="shared" si="32"/>
        <v>25197.543600000001</v>
      </c>
      <c r="F1076" s="7">
        <f t="shared" si="33"/>
        <v>1153476</v>
      </c>
      <c r="G1076" s="7"/>
    </row>
    <row r="1077" spans="1:7" x14ac:dyDescent="0.35">
      <c r="A1077" t="str">
        <f>"2009-05-28"</f>
        <v>2009-05-28</v>
      </c>
      <c r="B1077" t="str">
        <f>"23.2047"</f>
        <v>23.2047</v>
      </c>
      <c r="C1077">
        <v>1075</v>
      </c>
      <c r="D1077" s="7">
        <v>23.204699999999999</v>
      </c>
      <c r="E1077" s="7">
        <f t="shared" si="32"/>
        <v>24945.052499999998</v>
      </c>
      <c r="F1077" s="7">
        <f t="shared" si="33"/>
        <v>1155625</v>
      </c>
      <c r="G1077" s="7"/>
    </row>
    <row r="1078" spans="1:7" x14ac:dyDescent="0.35">
      <c r="A1078" t="str">
        <f>"2009-05-29"</f>
        <v>2009-05-29</v>
      </c>
      <c r="B1078" t="str">
        <f>"23.3941"</f>
        <v>23.3941</v>
      </c>
      <c r="C1078">
        <v>1076</v>
      </c>
      <c r="D1078" s="7">
        <v>23.394100000000002</v>
      </c>
      <c r="E1078" s="7">
        <f t="shared" si="32"/>
        <v>25172.051600000003</v>
      </c>
      <c r="F1078" s="7">
        <f t="shared" si="33"/>
        <v>1157776</v>
      </c>
      <c r="G1078" s="7"/>
    </row>
    <row r="1079" spans="1:7" x14ac:dyDescent="0.35">
      <c r="A1079" t="str">
        <f>"2009-06-01"</f>
        <v>2009-06-01</v>
      </c>
      <c r="B1079" t="str">
        <f>"23.8531"</f>
        <v>23.8531</v>
      </c>
      <c r="C1079">
        <v>1077</v>
      </c>
      <c r="D1079" s="7">
        <v>23.853100000000001</v>
      </c>
      <c r="E1079" s="7">
        <f t="shared" si="32"/>
        <v>25689.788700000001</v>
      </c>
      <c r="F1079" s="7">
        <f t="shared" si="33"/>
        <v>1159929</v>
      </c>
      <c r="G1079" s="7"/>
    </row>
    <row r="1080" spans="1:7" x14ac:dyDescent="0.35">
      <c r="A1080" t="str">
        <f>"2009-06-02"</f>
        <v>2009-06-02</v>
      </c>
      <c r="B1080" t="str">
        <f>"24.6616"</f>
        <v>24.6616</v>
      </c>
      <c r="C1080">
        <v>1078</v>
      </c>
      <c r="D1080" s="7">
        <v>24.6616</v>
      </c>
      <c r="E1080" s="7">
        <f t="shared" si="32"/>
        <v>26585.2048</v>
      </c>
      <c r="F1080" s="7">
        <f t="shared" si="33"/>
        <v>1162084</v>
      </c>
      <c r="G1080" s="7"/>
    </row>
    <row r="1081" spans="1:7" x14ac:dyDescent="0.35">
      <c r="A1081" t="str">
        <f>"2009-06-03"</f>
        <v>2009-06-03</v>
      </c>
      <c r="B1081" t="str">
        <f>"25.5152"</f>
        <v>25.5152</v>
      </c>
      <c r="C1081">
        <v>1079</v>
      </c>
      <c r="D1081" s="7">
        <v>25.5152</v>
      </c>
      <c r="E1081" s="7">
        <f t="shared" si="32"/>
        <v>27530.900799999999</v>
      </c>
      <c r="F1081" s="7">
        <f t="shared" si="33"/>
        <v>1164241</v>
      </c>
      <c r="G1081" s="7"/>
    </row>
    <row r="1082" spans="1:7" x14ac:dyDescent="0.35">
      <c r="A1082" t="str">
        <f>"2009-06-04"</f>
        <v>2009-06-04</v>
      </c>
      <c r="B1082" t="str">
        <f>"24.2088"</f>
        <v>24.2088</v>
      </c>
      <c r="C1082">
        <v>1080</v>
      </c>
      <c r="D1082" s="7">
        <v>24.2088</v>
      </c>
      <c r="E1082" s="7">
        <f t="shared" si="32"/>
        <v>26145.504000000001</v>
      </c>
      <c r="F1082" s="7">
        <f t="shared" si="33"/>
        <v>1166400</v>
      </c>
      <c r="G1082" s="7"/>
    </row>
    <row r="1083" spans="1:7" x14ac:dyDescent="0.35">
      <c r="A1083" t="str">
        <f>"2009-06-05"</f>
        <v>2009-06-05</v>
      </c>
      <c r="B1083" t="str">
        <f>"24.8413"</f>
        <v>24.8413</v>
      </c>
      <c r="C1083">
        <v>1081</v>
      </c>
      <c r="D1083" s="7">
        <v>24.8413</v>
      </c>
      <c r="E1083" s="7">
        <f t="shared" si="32"/>
        <v>26853.445299999999</v>
      </c>
      <c r="F1083" s="7">
        <f t="shared" si="33"/>
        <v>1168561</v>
      </c>
      <c r="G1083" s="7"/>
    </row>
    <row r="1084" spans="1:7" x14ac:dyDescent="0.35">
      <c r="A1084" t="str">
        <f>"2009-06-08"</f>
        <v>2009-06-08</v>
      </c>
      <c r="B1084" t="str">
        <f>"24.3767"</f>
        <v>24.3767</v>
      </c>
      <c r="C1084">
        <v>1082</v>
      </c>
      <c r="D1084" s="7">
        <v>24.3767</v>
      </c>
      <c r="E1084" s="7">
        <f t="shared" si="32"/>
        <v>26375.589400000001</v>
      </c>
      <c r="F1084" s="7">
        <f t="shared" si="33"/>
        <v>1170724</v>
      </c>
      <c r="G1084" s="7"/>
    </row>
    <row r="1085" spans="1:7" x14ac:dyDescent="0.35">
      <c r="A1085" t="str">
        <f>"2009-06-09"</f>
        <v>2009-06-09</v>
      </c>
      <c r="B1085" t="str">
        <f>"24.4737"</f>
        <v>24.4737</v>
      </c>
      <c r="C1085">
        <v>1083</v>
      </c>
      <c r="D1085" s="7">
        <v>24.473700000000001</v>
      </c>
      <c r="E1085" s="7">
        <f t="shared" si="32"/>
        <v>26505.017100000001</v>
      </c>
      <c r="F1085" s="7">
        <f t="shared" si="33"/>
        <v>1172889</v>
      </c>
      <c r="G1085" s="7"/>
    </row>
    <row r="1086" spans="1:7" x14ac:dyDescent="0.35">
      <c r="A1086" t="str">
        <f>"2009-06-10"</f>
        <v>2009-06-10</v>
      </c>
      <c r="B1086" t="str">
        <f>"24.7771"</f>
        <v>24.7771</v>
      </c>
      <c r="C1086">
        <v>1084</v>
      </c>
      <c r="D1086" s="7">
        <v>24.777100000000001</v>
      </c>
      <c r="E1086" s="7">
        <f t="shared" si="32"/>
        <v>26858.376400000001</v>
      </c>
      <c r="F1086" s="7">
        <f t="shared" si="33"/>
        <v>1175056</v>
      </c>
      <c r="G1086" s="7"/>
    </row>
    <row r="1087" spans="1:7" x14ac:dyDescent="0.35">
      <c r="A1087" t="str">
        <f>"2009-06-11"</f>
        <v>2009-06-11</v>
      </c>
      <c r="B1087" t="str">
        <f>"24.5419"</f>
        <v>24.5419</v>
      </c>
      <c r="C1087">
        <v>1085</v>
      </c>
      <c r="D1087" s="7">
        <v>24.541899999999998</v>
      </c>
      <c r="E1087" s="7">
        <f t="shared" si="32"/>
        <v>26627.961499999998</v>
      </c>
      <c r="F1087" s="7">
        <f t="shared" si="33"/>
        <v>1177225</v>
      </c>
      <c r="G1087" s="7"/>
    </row>
    <row r="1088" spans="1:7" x14ac:dyDescent="0.35">
      <c r="A1088" t="str">
        <f>"2009-06-12"</f>
        <v>2009-06-12</v>
      </c>
      <c r="B1088" t="str">
        <f>"25.2011"</f>
        <v>25.2011</v>
      </c>
      <c r="C1088">
        <v>1086</v>
      </c>
      <c r="D1088" s="7">
        <v>25.2011</v>
      </c>
      <c r="E1088" s="7">
        <f t="shared" si="32"/>
        <v>27368.3946</v>
      </c>
      <c r="F1088" s="7">
        <f t="shared" si="33"/>
        <v>1179396</v>
      </c>
      <c r="G1088" s="7"/>
    </row>
    <row r="1089" spans="1:7" x14ac:dyDescent="0.35">
      <c r="A1089" t="str">
        <f>"2009-06-15"</f>
        <v>2009-06-15</v>
      </c>
      <c r="B1089" t="str">
        <f>"25.4234"</f>
        <v>25.4234</v>
      </c>
      <c r="C1089">
        <v>1087</v>
      </c>
      <c r="D1089" s="7">
        <v>25.423400000000001</v>
      </c>
      <c r="E1089" s="7">
        <f t="shared" si="32"/>
        <v>27635.235800000002</v>
      </c>
      <c r="F1089" s="7">
        <f t="shared" si="33"/>
        <v>1181569</v>
      </c>
      <c r="G1089" s="7"/>
    </row>
    <row r="1090" spans="1:7" x14ac:dyDescent="0.35">
      <c r="A1090" t="str">
        <f>"2009-06-16"</f>
        <v>2009-06-16</v>
      </c>
      <c r="B1090" t="str">
        <f>"25.2024"</f>
        <v>25.2024</v>
      </c>
      <c r="C1090">
        <v>1088</v>
      </c>
      <c r="D1090" s="7">
        <v>25.202400000000001</v>
      </c>
      <c r="E1090" s="7">
        <f t="shared" si="32"/>
        <v>27420.211200000002</v>
      </c>
      <c r="F1090" s="7">
        <f t="shared" si="33"/>
        <v>1183744</v>
      </c>
      <c r="G1090" s="7"/>
    </row>
    <row r="1091" spans="1:7" x14ac:dyDescent="0.35">
      <c r="A1091" t="str">
        <f>"2009-06-17"</f>
        <v>2009-06-17</v>
      </c>
      <c r="B1091" t="str">
        <f>"25.1644"</f>
        <v>25.1644</v>
      </c>
      <c r="C1091">
        <v>1089</v>
      </c>
      <c r="D1091" s="7">
        <v>25.164400000000001</v>
      </c>
      <c r="E1091" s="7">
        <f t="shared" si="32"/>
        <v>27404.031600000002</v>
      </c>
      <c r="F1091" s="7">
        <f t="shared" si="33"/>
        <v>1185921</v>
      </c>
      <c r="G1091" s="7"/>
    </row>
    <row r="1092" spans="1:7" x14ac:dyDescent="0.35">
      <c r="A1092" t="str">
        <f>"2009-06-18"</f>
        <v>2009-06-18</v>
      </c>
      <c r="B1092" t="str">
        <f>"25.4552"</f>
        <v>25.4552</v>
      </c>
      <c r="C1092">
        <v>1090</v>
      </c>
      <c r="D1092" s="7">
        <v>25.455200000000001</v>
      </c>
      <c r="E1092" s="7">
        <f t="shared" ref="E1092:E1155" si="34">C1092*D1092</f>
        <v>27746.168000000001</v>
      </c>
      <c r="F1092" s="7">
        <f t="shared" ref="F1092:F1155" si="35">C1092*C1092</f>
        <v>1188100</v>
      </c>
      <c r="G1092" s="7"/>
    </row>
    <row r="1093" spans="1:7" x14ac:dyDescent="0.35">
      <c r="A1093" t="str">
        <f>"2009-06-19"</f>
        <v>2009-06-19</v>
      </c>
      <c r="B1093" t="str">
        <f>"25.7017"</f>
        <v>25.7017</v>
      </c>
      <c r="C1093">
        <v>1091</v>
      </c>
      <c r="D1093" s="7">
        <v>25.701699999999999</v>
      </c>
      <c r="E1093" s="7">
        <f t="shared" si="34"/>
        <v>28040.554700000001</v>
      </c>
      <c r="F1093" s="7">
        <f t="shared" si="35"/>
        <v>1190281</v>
      </c>
      <c r="G1093" s="7"/>
    </row>
    <row r="1094" spans="1:7" x14ac:dyDescent="0.35">
      <c r="A1094" t="str">
        <f>"2009-06-22"</f>
        <v>2009-06-22</v>
      </c>
      <c r="B1094" t="str">
        <f>"26.3458"</f>
        <v>26.3458</v>
      </c>
      <c r="C1094">
        <v>1092</v>
      </c>
      <c r="D1094" s="7">
        <v>26.345800000000001</v>
      </c>
      <c r="E1094" s="7">
        <f t="shared" si="34"/>
        <v>28769.613600000001</v>
      </c>
      <c r="F1094" s="7">
        <f t="shared" si="35"/>
        <v>1192464</v>
      </c>
      <c r="G1094" s="7"/>
    </row>
    <row r="1095" spans="1:7" x14ac:dyDescent="0.35">
      <c r="A1095" t="str">
        <f>"2009-06-23"</f>
        <v>2009-06-23</v>
      </c>
      <c r="B1095" t="str">
        <f>"26.3064"</f>
        <v>26.3064</v>
      </c>
      <c r="C1095">
        <v>1093</v>
      </c>
      <c r="D1095" s="7">
        <v>26.3064</v>
      </c>
      <c r="E1095" s="7">
        <f t="shared" si="34"/>
        <v>28752.895199999999</v>
      </c>
      <c r="F1095" s="7">
        <f t="shared" si="35"/>
        <v>1194649</v>
      </c>
      <c r="G1095" s="7"/>
    </row>
    <row r="1096" spans="1:7" x14ac:dyDescent="0.35">
      <c r="A1096" t="str">
        <f>"2009-06-24"</f>
        <v>2009-06-24</v>
      </c>
      <c r="B1096" t="str">
        <f>"27.979"</f>
        <v>27.979</v>
      </c>
      <c r="C1096">
        <v>1094</v>
      </c>
      <c r="D1096" s="7">
        <v>27.978999999999999</v>
      </c>
      <c r="E1096" s="7">
        <f t="shared" si="34"/>
        <v>30609.025999999998</v>
      </c>
      <c r="F1096" s="7">
        <f t="shared" si="35"/>
        <v>1196836</v>
      </c>
      <c r="G1096" s="7"/>
    </row>
    <row r="1097" spans="1:7" x14ac:dyDescent="0.35">
      <c r="A1097" t="str">
        <f>"2009-06-25"</f>
        <v>2009-06-25</v>
      </c>
      <c r="B1097" t="str">
        <f>"28.3594"</f>
        <v>28.3594</v>
      </c>
      <c r="C1097">
        <v>1095</v>
      </c>
      <c r="D1097" s="7">
        <v>28.359400000000001</v>
      </c>
      <c r="E1097" s="7">
        <f t="shared" si="34"/>
        <v>31053.543000000001</v>
      </c>
      <c r="F1097" s="7">
        <f t="shared" si="35"/>
        <v>1199025</v>
      </c>
      <c r="G1097" s="7"/>
    </row>
    <row r="1098" spans="1:7" x14ac:dyDescent="0.35">
      <c r="A1098" t="str">
        <f>"2009-06-26"</f>
        <v>2009-06-26</v>
      </c>
      <c r="B1098" t="str">
        <f>"28.7307"</f>
        <v>28.7307</v>
      </c>
      <c r="C1098">
        <v>1096</v>
      </c>
      <c r="D1098" s="7">
        <v>28.730699999999999</v>
      </c>
      <c r="E1098" s="7">
        <f t="shared" si="34"/>
        <v>31488.8472</v>
      </c>
      <c r="F1098" s="7">
        <f t="shared" si="35"/>
        <v>1201216</v>
      </c>
      <c r="G1098" s="7"/>
    </row>
    <row r="1099" spans="1:7" x14ac:dyDescent="0.35">
      <c r="A1099" t="str">
        <f>"2009-06-29"</f>
        <v>2009-06-29</v>
      </c>
      <c r="B1099" t="str">
        <f>"28.906"</f>
        <v>28.906</v>
      </c>
      <c r="C1099">
        <v>1097</v>
      </c>
      <c r="D1099" s="7">
        <v>28.905999999999999</v>
      </c>
      <c r="E1099" s="7">
        <f t="shared" si="34"/>
        <v>31709.881999999998</v>
      </c>
      <c r="F1099" s="7">
        <f t="shared" si="35"/>
        <v>1203409</v>
      </c>
      <c r="G1099" s="7"/>
    </row>
    <row r="1100" spans="1:7" x14ac:dyDescent="0.35">
      <c r="A1100" t="str">
        <f>"2009-06-30"</f>
        <v>2009-06-30</v>
      </c>
      <c r="B1100" t="str">
        <f>"31.6513"</f>
        <v>31.6513</v>
      </c>
      <c r="C1100">
        <v>1098</v>
      </c>
      <c r="D1100" s="7">
        <v>31.651299999999999</v>
      </c>
      <c r="E1100" s="7">
        <f t="shared" si="34"/>
        <v>34753.127399999998</v>
      </c>
      <c r="F1100" s="7">
        <f t="shared" si="35"/>
        <v>1205604</v>
      </c>
      <c r="G1100" s="7"/>
    </row>
    <row r="1101" spans="1:7" x14ac:dyDescent="0.35">
      <c r="A1101" t="str">
        <f>"2009-07-01"</f>
        <v>2009-07-01</v>
      </c>
      <c r="B1101" t="str">
        <f>"33.0402"</f>
        <v>33.0402</v>
      </c>
      <c r="C1101">
        <v>1099</v>
      </c>
      <c r="D1101" s="7">
        <v>33.040199999999999</v>
      </c>
      <c r="E1101" s="7">
        <f t="shared" si="34"/>
        <v>36311.179799999998</v>
      </c>
      <c r="F1101" s="7">
        <f t="shared" si="35"/>
        <v>1207801</v>
      </c>
      <c r="G1101" s="7"/>
    </row>
    <row r="1102" spans="1:7" x14ac:dyDescent="0.35">
      <c r="A1102" t="str">
        <f>"2009-07-02"</f>
        <v>2009-07-02</v>
      </c>
      <c r="B1102" t="str">
        <f>"32.9764"</f>
        <v>32.9764</v>
      </c>
      <c r="C1102">
        <v>1100</v>
      </c>
      <c r="D1102" s="7">
        <v>32.976399999999998</v>
      </c>
      <c r="E1102" s="7">
        <f t="shared" si="34"/>
        <v>36274.04</v>
      </c>
      <c r="F1102" s="7">
        <f t="shared" si="35"/>
        <v>1210000</v>
      </c>
      <c r="G1102" s="7"/>
    </row>
    <row r="1103" spans="1:7" x14ac:dyDescent="0.35">
      <c r="A1103" t="str">
        <f>"2009-07-06"</f>
        <v>2009-07-06</v>
      </c>
      <c r="B1103" t="str">
        <f>"31.6711"</f>
        <v>31.6711</v>
      </c>
      <c r="C1103">
        <v>1101</v>
      </c>
      <c r="D1103" s="7">
        <v>31.671099999999999</v>
      </c>
      <c r="E1103" s="7">
        <f t="shared" si="34"/>
        <v>34869.881099999999</v>
      </c>
      <c r="F1103" s="7">
        <f t="shared" si="35"/>
        <v>1212201</v>
      </c>
      <c r="G1103" s="7"/>
    </row>
    <row r="1104" spans="1:7" x14ac:dyDescent="0.35">
      <c r="A1104" t="str">
        <f>"2009-07-07"</f>
        <v>2009-07-07</v>
      </c>
      <c r="B1104" t="str">
        <f>"30.8292"</f>
        <v>30.8292</v>
      </c>
      <c r="C1104">
        <v>1102</v>
      </c>
      <c r="D1104" s="7">
        <v>30.8292</v>
      </c>
      <c r="E1104" s="7">
        <f t="shared" si="34"/>
        <v>33973.778400000003</v>
      </c>
      <c r="F1104" s="7">
        <f t="shared" si="35"/>
        <v>1214404</v>
      </c>
      <c r="G1104" s="7"/>
    </row>
    <row r="1105" spans="1:7" x14ac:dyDescent="0.35">
      <c r="A1105" t="str">
        <f>"2009-07-08"</f>
        <v>2009-07-08</v>
      </c>
      <c r="B1105" t="str">
        <f>"30.9531"</f>
        <v>30.9531</v>
      </c>
      <c r="C1105">
        <v>1103</v>
      </c>
      <c r="D1105" s="7">
        <v>30.953099999999999</v>
      </c>
      <c r="E1105" s="7">
        <f t="shared" si="34"/>
        <v>34141.2693</v>
      </c>
      <c r="F1105" s="7">
        <f t="shared" si="35"/>
        <v>1216609</v>
      </c>
      <c r="G1105" s="7"/>
    </row>
    <row r="1106" spans="1:7" x14ac:dyDescent="0.35">
      <c r="A1106" t="str">
        <f>"2009-07-09"</f>
        <v>2009-07-09</v>
      </c>
      <c r="B1106" t="str">
        <f>"30.1765"</f>
        <v>30.1765</v>
      </c>
      <c r="C1106">
        <v>1104</v>
      </c>
      <c r="D1106" s="7">
        <v>30.176500000000001</v>
      </c>
      <c r="E1106" s="7">
        <f t="shared" si="34"/>
        <v>33314.856</v>
      </c>
      <c r="F1106" s="7">
        <f t="shared" si="35"/>
        <v>1218816</v>
      </c>
      <c r="G1106" s="7"/>
    </row>
    <row r="1107" spans="1:7" x14ac:dyDescent="0.35">
      <c r="A1107" t="str">
        <f>"2009-07-10"</f>
        <v>2009-07-10</v>
      </c>
      <c r="B1107" t="str">
        <f>"30.5768"</f>
        <v>30.5768</v>
      </c>
      <c r="C1107">
        <v>1105</v>
      </c>
      <c r="D1107" s="7">
        <v>30.576799999999999</v>
      </c>
      <c r="E1107" s="7">
        <f t="shared" si="34"/>
        <v>33787.364000000001</v>
      </c>
      <c r="F1107" s="7">
        <f t="shared" si="35"/>
        <v>1221025</v>
      </c>
      <c r="G1107" s="7"/>
    </row>
    <row r="1108" spans="1:7" x14ac:dyDescent="0.35">
      <c r="A1108" t="str">
        <f>"2009-07-13"</f>
        <v>2009-07-13</v>
      </c>
      <c r="B1108" t="str">
        <f>"30.4937"</f>
        <v>30.4937</v>
      </c>
      <c r="C1108">
        <v>1106</v>
      </c>
      <c r="D1108" s="7">
        <v>30.4937</v>
      </c>
      <c r="E1108" s="7">
        <f t="shared" si="34"/>
        <v>33726.032200000001</v>
      </c>
      <c r="F1108" s="7">
        <f t="shared" si="35"/>
        <v>1223236</v>
      </c>
      <c r="G1108" s="7"/>
    </row>
    <row r="1109" spans="1:7" x14ac:dyDescent="0.35">
      <c r="A1109" t="str">
        <f>"2009-07-14"</f>
        <v>2009-07-14</v>
      </c>
      <c r="B1109" t="str">
        <f>"30.3236"</f>
        <v>30.3236</v>
      </c>
      <c r="C1109">
        <v>1107</v>
      </c>
      <c r="D1109" s="7">
        <v>30.323599999999999</v>
      </c>
      <c r="E1109" s="7">
        <f t="shared" si="34"/>
        <v>33568.225200000001</v>
      </c>
      <c r="F1109" s="7">
        <f t="shared" si="35"/>
        <v>1225449</v>
      </c>
      <c r="G1109" s="7"/>
    </row>
    <row r="1110" spans="1:7" x14ac:dyDescent="0.35">
      <c r="A1110" t="str">
        <f>"2009-07-15"</f>
        <v>2009-07-15</v>
      </c>
      <c r="B1110" t="str">
        <f>"30.2667"</f>
        <v>30.2667</v>
      </c>
      <c r="C1110">
        <v>1108</v>
      </c>
      <c r="D1110" s="7">
        <v>30.2667</v>
      </c>
      <c r="E1110" s="7">
        <f t="shared" si="34"/>
        <v>33535.503600000004</v>
      </c>
      <c r="F1110" s="7">
        <f t="shared" si="35"/>
        <v>1227664</v>
      </c>
      <c r="G1110" s="7"/>
    </row>
    <row r="1111" spans="1:7" x14ac:dyDescent="0.35">
      <c r="A1111" t="str">
        <f>"2009-07-16"</f>
        <v>2009-07-16</v>
      </c>
      <c r="B1111" t="str">
        <f>"30.434"</f>
        <v>30.434</v>
      </c>
      <c r="C1111">
        <v>1109</v>
      </c>
      <c r="D1111" s="7">
        <v>30.434000000000001</v>
      </c>
      <c r="E1111" s="7">
        <f t="shared" si="34"/>
        <v>33751.306000000004</v>
      </c>
      <c r="F1111" s="7">
        <f t="shared" si="35"/>
        <v>1229881</v>
      </c>
      <c r="G1111" s="7"/>
    </row>
    <row r="1112" spans="1:7" x14ac:dyDescent="0.35">
      <c r="A1112" t="str">
        <f>"2009-07-17"</f>
        <v>2009-07-17</v>
      </c>
      <c r="B1112" t="str">
        <f>"30.8041"</f>
        <v>30.8041</v>
      </c>
      <c r="C1112">
        <v>1110</v>
      </c>
      <c r="D1112" s="7">
        <v>30.804099999999998</v>
      </c>
      <c r="E1112" s="7">
        <f t="shared" si="34"/>
        <v>34192.550999999999</v>
      </c>
      <c r="F1112" s="7">
        <f t="shared" si="35"/>
        <v>1232100</v>
      </c>
      <c r="G1112" s="7"/>
    </row>
    <row r="1113" spans="1:7" x14ac:dyDescent="0.35">
      <c r="A1113" t="str">
        <f>"2009-07-20"</f>
        <v>2009-07-20</v>
      </c>
      <c r="B1113" t="str">
        <f>"30.6793"</f>
        <v>30.6793</v>
      </c>
      <c r="C1113">
        <v>1111</v>
      </c>
      <c r="D1113" s="7">
        <v>30.679300000000001</v>
      </c>
      <c r="E1113" s="7">
        <f t="shared" si="34"/>
        <v>34084.702300000004</v>
      </c>
      <c r="F1113" s="7">
        <f t="shared" si="35"/>
        <v>1234321</v>
      </c>
      <c r="G1113" s="7"/>
    </row>
    <row r="1114" spans="1:7" x14ac:dyDescent="0.35">
      <c r="A1114" t="str">
        <f>"2009-07-21"</f>
        <v>2009-07-21</v>
      </c>
      <c r="B1114" t="str">
        <f>"30.576"</f>
        <v>30.576</v>
      </c>
      <c r="C1114">
        <v>1112</v>
      </c>
      <c r="D1114" s="7">
        <v>30.576000000000001</v>
      </c>
      <c r="E1114" s="7">
        <f t="shared" si="34"/>
        <v>34000.512000000002</v>
      </c>
      <c r="F1114" s="7">
        <f t="shared" si="35"/>
        <v>1236544</v>
      </c>
      <c r="G1114" s="7"/>
    </row>
    <row r="1115" spans="1:7" x14ac:dyDescent="0.35">
      <c r="A1115" t="str">
        <f>"2009-07-22"</f>
        <v>2009-07-22</v>
      </c>
      <c r="B1115" t="str">
        <f>"30.6906"</f>
        <v>30.6906</v>
      </c>
      <c r="C1115">
        <v>1113</v>
      </c>
      <c r="D1115" s="7">
        <v>30.6906</v>
      </c>
      <c r="E1115" s="7">
        <f t="shared" si="34"/>
        <v>34158.637799999997</v>
      </c>
      <c r="F1115" s="7">
        <f t="shared" si="35"/>
        <v>1238769</v>
      </c>
      <c r="G1115" s="7"/>
    </row>
    <row r="1116" spans="1:7" x14ac:dyDescent="0.35">
      <c r="A1116" t="str">
        <f>"2009-07-23"</f>
        <v>2009-07-23</v>
      </c>
      <c r="B1116" t="str">
        <f>"30.779"</f>
        <v>30.779</v>
      </c>
      <c r="C1116">
        <v>1114</v>
      </c>
      <c r="D1116" s="7">
        <v>30.779</v>
      </c>
      <c r="E1116" s="7">
        <f t="shared" si="34"/>
        <v>34287.805999999997</v>
      </c>
      <c r="F1116" s="7">
        <f t="shared" si="35"/>
        <v>1240996</v>
      </c>
      <c r="G1116" s="7"/>
    </row>
    <row r="1117" spans="1:7" x14ac:dyDescent="0.35">
      <c r="A1117" t="str">
        <f>"2009-07-24"</f>
        <v>2009-07-24</v>
      </c>
      <c r="B1117" t="str">
        <f>"31.4131"</f>
        <v>31.4131</v>
      </c>
      <c r="C1117">
        <v>1115</v>
      </c>
      <c r="D1117" s="7">
        <v>31.4131</v>
      </c>
      <c r="E1117" s="7">
        <f t="shared" si="34"/>
        <v>35025.606500000002</v>
      </c>
      <c r="F1117" s="7">
        <f t="shared" si="35"/>
        <v>1243225</v>
      </c>
      <c r="G1117" s="7"/>
    </row>
    <row r="1118" spans="1:7" x14ac:dyDescent="0.35">
      <c r="A1118" t="str">
        <f>"2009-07-27"</f>
        <v>2009-07-27</v>
      </c>
      <c r="B1118" t="str">
        <f>"31.5882"</f>
        <v>31.5882</v>
      </c>
      <c r="C1118">
        <v>1116</v>
      </c>
      <c r="D1118" s="7">
        <v>31.588200000000001</v>
      </c>
      <c r="E1118" s="7">
        <f t="shared" si="34"/>
        <v>35252.431199999999</v>
      </c>
      <c r="F1118" s="7">
        <f t="shared" si="35"/>
        <v>1245456</v>
      </c>
      <c r="G1118" s="7"/>
    </row>
    <row r="1119" spans="1:7" x14ac:dyDescent="0.35">
      <c r="A1119" t="str">
        <f>"2009-07-28"</f>
        <v>2009-07-28</v>
      </c>
      <c r="B1119" t="str">
        <f>"31.9543"</f>
        <v>31.9543</v>
      </c>
      <c r="C1119">
        <v>1117</v>
      </c>
      <c r="D1119" s="7">
        <v>31.9543</v>
      </c>
      <c r="E1119" s="7">
        <f t="shared" si="34"/>
        <v>35692.953099999999</v>
      </c>
      <c r="F1119" s="7">
        <f t="shared" si="35"/>
        <v>1247689</v>
      </c>
      <c r="G1119" s="7"/>
    </row>
    <row r="1120" spans="1:7" x14ac:dyDescent="0.35">
      <c r="A1120" t="str">
        <f>"2009-07-29"</f>
        <v>2009-07-29</v>
      </c>
      <c r="B1120" t="str">
        <f>"31.4908"</f>
        <v>31.4908</v>
      </c>
      <c r="C1120">
        <v>1118</v>
      </c>
      <c r="D1120" s="7">
        <v>31.4908</v>
      </c>
      <c r="E1120" s="7">
        <f t="shared" si="34"/>
        <v>35206.714399999997</v>
      </c>
      <c r="F1120" s="7">
        <f t="shared" si="35"/>
        <v>1249924</v>
      </c>
      <c r="G1120" s="7"/>
    </row>
    <row r="1121" spans="1:7" x14ac:dyDescent="0.35">
      <c r="A1121" t="str">
        <f>"2009-07-30"</f>
        <v>2009-07-30</v>
      </c>
      <c r="B1121" t="str">
        <f>"32.1597"</f>
        <v>32.1597</v>
      </c>
      <c r="C1121">
        <v>1119</v>
      </c>
      <c r="D1121" s="7">
        <v>32.159700000000001</v>
      </c>
      <c r="E1121" s="7">
        <f t="shared" si="34"/>
        <v>35986.704299999998</v>
      </c>
      <c r="F1121" s="7">
        <f t="shared" si="35"/>
        <v>1252161</v>
      </c>
      <c r="G1121" s="7"/>
    </row>
    <row r="1122" spans="1:7" x14ac:dyDescent="0.35">
      <c r="A1122" t="str">
        <f>"2009-07-31"</f>
        <v>2009-07-31</v>
      </c>
      <c r="B1122" t="str">
        <f>"32.36"</f>
        <v>32.36</v>
      </c>
      <c r="C1122">
        <v>1120</v>
      </c>
      <c r="D1122" s="7">
        <v>32.36</v>
      </c>
      <c r="E1122" s="7">
        <f t="shared" si="34"/>
        <v>36243.199999999997</v>
      </c>
      <c r="F1122" s="7">
        <f t="shared" si="35"/>
        <v>1254400</v>
      </c>
      <c r="G1122" s="7"/>
    </row>
    <row r="1123" spans="1:7" x14ac:dyDescent="0.35">
      <c r="A1123" t="str">
        <f>"2009-08-03"</f>
        <v>2009-08-03</v>
      </c>
      <c r="B1123" t="str">
        <f>"33.1866"</f>
        <v>33.1866</v>
      </c>
      <c r="C1123">
        <v>1121</v>
      </c>
      <c r="D1123" s="7">
        <v>33.186599999999999</v>
      </c>
      <c r="E1123" s="7">
        <f t="shared" si="34"/>
        <v>37202.178599999999</v>
      </c>
      <c r="F1123" s="7">
        <f t="shared" si="35"/>
        <v>1256641</v>
      </c>
      <c r="G1123" s="7"/>
    </row>
    <row r="1124" spans="1:7" x14ac:dyDescent="0.35">
      <c r="A1124" t="str">
        <f>"2009-08-04"</f>
        <v>2009-08-04</v>
      </c>
      <c r="B1124" t="str">
        <f>"33.099"</f>
        <v>33.099</v>
      </c>
      <c r="C1124">
        <v>1122</v>
      </c>
      <c r="D1124" s="7">
        <v>33.098999999999997</v>
      </c>
      <c r="E1124" s="7">
        <f t="shared" si="34"/>
        <v>37137.077999999994</v>
      </c>
      <c r="F1124" s="7">
        <f t="shared" si="35"/>
        <v>1258884</v>
      </c>
      <c r="G1124" s="7"/>
    </row>
    <row r="1125" spans="1:7" x14ac:dyDescent="0.35">
      <c r="A1125" t="str">
        <f>"2009-08-05"</f>
        <v>2009-08-05</v>
      </c>
      <c r="B1125" t="str">
        <f>"36.0588"</f>
        <v>36.0588</v>
      </c>
      <c r="C1125">
        <v>1123</v>
      </c>
      <c r="D1125" s="7">
        <v>36.058799999999998</v>
      </c>
      <c r="E1125" s="7">
        <f t="shared" si="34"/>
        <v>40494.032399999996</v>
      </c>
      <c r="F1125" s="7">
        <f t="shared" si="35"/>
        <v>1261129</v>
      </c>
      <c r="G1125" s="7"/>
    </row>
    <row r="1126" spans="1:7" x14ac:dyDescent="0.35">
      <c r="A1126" t="str">
        <f>"2009-08-06"</f>
        <v>2009-08-06</v>
      </c>
      <c r="B1126" t="str">
        <f>"37.8129"</f>
        <v>37.8129</v>
      </c>
      <c r="C1126">
        <v>1124</v>
      </c>
      <c r="D1126" s="7">
        <v>37.812899999999999</v>
      </c>
      <c r="E1126" s="7">
        <f t="shared" si="34"/>
        <v>42501.6996</v>
      </c>
      <c r="F1126" s="7">
        <f t="shared" si="35"/>
        <v>1263376</v>
      </c>
      <c r="G1126" s="7"/>
    </row>
    <row r="1127" spans="1:7" x14ac:dyDescent="0.35">
      <c r="A1127" t="str">
        <f>"2009-08-07"</f>
        <v>2009-08-07</v>
      </c>
      <c r="B1127" t="str">
        <f>"37.473"</f>
        <v>37.473</v>
      </c>
      <c r="C1127">
        <v>1125</v>
      </c>
      <c r="D1127" s="7">
        <v>37.472999999999999</v>
      </c>
      <c r="E1127" s="7">
        <f t="shared" si="34"/>
        <v>42157.125</v>
      </c>
      <c r="F1127" s="7">
        <f t="shared" si="35"/>
        <v>1265625</v>
      </c>
      <c r="G1127" s="7"/>
    </row>
    <row r="1128" spans="1:7" x14ac:dyDescent="0.35">
      <c r="A1128" t="str">
        <f>"2009-08-10"</f>
        <v>2009-08-10</v>
      </c>
      <c r="B1128" t="str">
        <f>"38.0554"</f>
        <v>38.0554</v>
      </c>
      <c r="C1128">
        <v>1126</v>
      </c>
      <c r="D1128" s="7">
        <v>38.055399999999999</v>
      </c>
      <c r="E1128" s="7">
        <f t="shared" si="34"/>
        <v>42850.380400000002</v>
      </c>
      <c r="F1128" s="7">
        <f t="shared" si="35"/>
        <v>1267876</v>
      </c>
      <c r="G1128" s="7"/>
    </row>
    <row r="1129" spans="1:7" x14ac:dyDescent="0.35">
      <c r="A1129" t="str">
        <f>"2009-08-11"</f>
        <v>2009-08-11</v>
      </c>
      <c r="B1129" t="str">
        <f>"35.8466"</f>
        <v>35.8466</v>
      </c>
      <c r="C1129">
        <v>1127</v>
      </c>
      <c r="D1129" s="7">
        <v>35.846600000000002</v>
      </c>
      <c r="E1129" s="7">
        <f t="shared" si="34"/>
        <v>40399.118200000004</v>
      </c>
      <c r="F1129" s="7">
        <f t="shared" si="35"/>
        <v>1270129</v>
      </c>
      <c r="G1129" s="7"/>
    </row>
    <row r="1130" spans="1:7" x14ac:dyDescent="0.35">
      <c r="A1130" t="str">
        <f>"2009-08-12"</f>
        <v>2009-08-12</v>
      </c>
      <c r="B1130" t="str">
        <f>"35.877"</f>
        <v>35.877</v>
      </c>
      <c r="C1130">
        <v>1128</v>
      </c>
      <c r="D1130" s="7">
        <v>35.877000000000002</v>
      </c>
      <c r="E1130" s="7">
        <f t="shared" si="34"/>
        <v>40469.256000000001</v>
      </c>
      <c r="F1130" s="7">
        <f t="shared" si="35"/>
        <v>1272384</v>
      </c>
      <c r="G1130" s="7"/>
    </row>
    <row r="1131" spans="1:7" x14ac:dyDescent="0.35">
      <c r="A1131" t="str">
        <f>"2009-08-13"</f>
        <v>2009-08-13</v>
      </c>
      <c r="B1131" t="str">
        <f>"37.1885"</f>
        <v>37.1885</v>
      </c>
      <c r="C1131">
        <v>1129</v>
      </c>
      <c r="D1131" s="7">
        <v>37.188499999999998</v>
      </c>
      <c r="E1131" s="7">
        <f t="shared" si="34"/>
        <v>41985.816500000001</v>
      </c>
      <c r="F1131" s="7">
        <f t="shared" si="35"/>
        <v>1274641</v>
      </c>
      <c r="G1131" s="7"/>
    </row>
    <row r="1132" spans="1:7" x14ac:dyDescent="0.35">
      <c r="A1132" t="str">
        <f>"2009-08-14"</f>
        <v>2009-08-14</v>
      </c>
      <c r="B1132" t="str">
        <f>"36.9068"</f>
        <v>36.9068</v>
      </c>
      <c r="C1132">
        <v>1130</v>
      </c>
      <c r="D1132" s="7">
        <v>36.906799999999997</v>
      </c>
      <c r="E1132" s="7">
        <f t="shared" si="34"/>
        <v>41704.683999999994</v>
      </c>
      <c r="F1132" s="7">
        <f t="shared" si="35"/>
        <v>1276900</v>
      </c>
      <c r="G1132" s="7"/>
    </row>
    <row r="1133" spans="1:7" x14ac:dyDescent="0.35">
      <c r="A1133" t="str">
        <f>"2009-08-17"</f>
        <v>2009-08-17</v>
      </c>
      <c r="B1133" t="str">
        <f>"37.6489"</f>
        <v>37.6489</v>
      </c>
      <c r="C1133">
        <v>1131</v>
      </c>
      <c r="D1133" s="7">
        <v>37.648899999999998</v>
      </c>
      <c r="E1133" s="7">
        <f t="shared" si="34"/>
        <v>42580.905899999998</v>
      </c>
      <c r="F1133" s="7">
        <f t="shared" si="35"/>
        <v>1279161</v>
      </c>
      <c r="G1133" s="7"/>
    </row>
    <row r="1134" spans="1:7" x14ac:dyDescent="0.35">
      <c r="A1134" t="str">
        <f>"2009-08-18"</f>
        <v>2009-08-18</v>
      </c>
      <c r="B1134" t="str">
        <f>"38.2638"</f>
        <v>38.2638</v>
      </c>
      <c r="C1134">
        <v>1132</v>
      </c>
      <c r="D1134" s="7">
        <v>38.263800000000003</v>
      </c>
      <c r="E1134" s="7">
        <f t="shared" si="34"/>
        <v>43314.621600000006</v>
      </c>
      <c r="F1134" s="7">
        <f t="shared" si="35"/>
        <v>1281424</v>
      </c>
      <c r="G1134" s="7"/>
    </row>
    <row r="1135" spans="1:7" x14ac:dyDescent="0.35">
      <c r="A1135" t="str">
        <f>"2009-08-19"</f>
        <v>2009-08-19</v>
      </c>
      <c r="B1135" t="str">
        <f>"39.1159"</f>
        <v>39.1159</v>
      </c>
      <c r="C1135">
        <v>1133</v>
      </c>
      <c r="D1135" s="7">
        <v>39.115900000000003</v>
      </c>
      <c r="E1135" s="7">
        <f t="shared" si="34"/>
        <v>44318.314700000003</v>
      </c>
      <c r="F1135" s="7">
        <f t="shared" si="35"/>
        <v>1283689</v>
      </c>
      <c r="G1135" s="7"/>
    </row>
    <row r="1136" spans="1:7" x14ac:dyDescent="0.35">
      <c r="A1136" t="str">
        <f>"2009-08-20"</f>
        <v>2009-08-20</v>
      </c>
      <c r="B1136" t="str">
        <f>"39.4908"</f>
        <v>39.4908</v>
      </c>
      <c r="C1136">
        <v>1134</v>
      </c>
      <c r="D1136" s="7">
        <v>39.4908</v>
      </c>
      <c r="E1136" s="7">
        <f t="shared" si="34"/>
        <v>44782.567199999998</v>
      </c>
      <c r="F1136" s="7">
        <f t="shared" si="35"/>
        <v>1285956</v>
      </c>
      <c r="G1136" s="7"/>
    </row>
    <row r="1137" spans="1:7" x14ac:dyDescent="0.35">
      <c r="A1137" t="str">
        <f>"2009-08-21"</f>
        <v>2009-08-21</v>
      </c>
      <c r="B1137" t="str">
        <f>"39.3887"</f>
        <v>39.3887</v>
      </c>
      <c r="C1137">
        <v>1135</v>
      </c>
      <c r="D1137" s="7">
        <v>39.3887</v>
      </c>
      <c r="E1137" s="7">
        <f t="shared" si="34"/>
        <v>44706.174500000001</v>
      </c>
      <c r="F1137" s="7">
        <f t="shared" si="35"/>
        <v>1288225</v>
      </c>
      <c r="G1137" s="7"/>
    </row>
    <row r="1138" spans="1:7" x14ac:dyDescent="0.35">
      <c r="A1138" t="str">
        <f>"2009-08-24"</f>
        <v>2009-08-24</v>
      </c>
      <c r="B1138" t="str">
        <f>"41.4112"</f>
        <v>41.4112</v>
      </c>
      <c r="C1138">
        <v>1136</v>
      </c>
      <c r="D1138" s="7">
        <v>41.411200000000001</v>
      </c>
      <c r="E1138" s="7">
        <f t="shared" si="34"/>
        <v>47043.123200000002</v>
      </c>
      <c r="F1138" s="7">
        <f t="shared" si="35"/>
        <v>1290496</v>
      </c>
      <c r="G1138" s="7"/>
    </row>
    <row r="1139" spans="1:7" x14ac:dyDescent="0.35">
      <c r="A1139" t="str">
        <f>"2009-08-25"</f>
        <v>2009-08-25</v>
      </c>
      <c r="B1139" t="str">
        <f>"40.4795"</f>
        <v>40.4795</v>
      </c>
      <c r="C1139">
        <v>1137</v>
      </c>
      <c r="D1139" s="7">
        <v>40.479500000000002</v>
      </c>
      <c r="E1139" s="7">
        <f t="shared" si="34"/>
        <v>46025.191500000001</v>
      </c>
      <c r="F1139" s="7">
        <f t="shared" si="35"/>
        <v>1292769</v>
      </c>
      <c r="G1139" s="7"/>
    </row>
    <row r="1140" spans="1:7" x14ac:dyDescent="0.35">
      <c r="A1140" t="str">
        <f>"2009-08-26"</f>
        <v>2009-08-26</v>
      </c>
      <c r="B1140" t="str">
        <f>"39.1704"</f>
        <v>39.1704</v>
      </c>
      <c r="C1140">
        <v>1138</v>
      </c>
      <c r="D1140" s="7">
        <v>39.170400000000001</v>
      </c>
      <c r="E1140" s="7">
        <f t="shared" si="34"/>
        <v>44575.915200000003</v>
      </c>
      <c r="F1140" s="7">
        <f t="shared" si="35"/>
        <v>1295044</v>
      </c>
      <c r="G1140" s="7"/>
    </row>
    <row r="1141" spans="1:7" x14ac:dyDescent="0.35">
      <c r="A1141" t="str">
        <f>"2009-08-27"</f>
        <v>2009-08-27</v>
      </c>
      <c r="B1141" t="str">
        <f>"40.0915"</f>
        <v>40.0915</v>
      </c>
      <c r="C1141">
        <v>1139</v>
      </c>
      <c r="D1141" s="7">
        <v>40.091500000000003</v>
      </c>
      <c r="E1141" s="7">
        <f t="shared" si="34"/>
        <v>45664.218500000003</v>
      </c>
      <c r="F1141" s="7">
        <f t="shared" si="35"/>
        <v>1297321</v>
      </c>
      <c r="G1141" s="7"/>
    </row>
    <row r="1142" spans="1:7" x14ac:dyDescent="0.35">
      <c r="A1142" t="str">
        <f>"2009-08-28"</f>
        <v>2009-08-28</v>
      </c>
      <c r="B1142" t="str">
        <f>"40.291"</f>
        <v>40.291</v>
      </c>
      <c r="C1142">
        <v>1140</v>
      </c>
      <c r="D1142" s="7">
        <v>40.290999999999997</v>
      </c>
      <c r="E1142" s="7">
        <f t="shared" si="34"/>
        <v>45931.74</v>
      </c>
      <c r="F1142" s="7">
        <f t="shared" si="35"/>
        <v>1299600</v>
      </c>
      <c r="G1142" s="7"/>
    </row>
    <row r="1143" spans="1:7" x14ac:dyDescent="0.35">
      <c r="A1143" t="str">
        <f>"2009-08-31"</f>
        <v>2009-08-31</v>
      </c>
      <c r="B1143" t="str">
        <f>"40.3513"</f>
        <v>40.3513</v>
      </c>
      <c r="C1143">
        <v>1141</v>
      </c>
      <c r="D1143" s="7">
        <v>40.351300000000002</v>
      </c>
      <c r="E1143" s="7">
        <f t="shared" si="34"/>
        <v>46040.833300000006</v>
      </c>
      <c r="F1143" s="7">
        <f t="shared" si="35"/>
        <v>1301881</v>
      </c>
      <c r="G1143" s="7"/>
    </row>
    <row r="1144" spans="1:7" x14ac:dyDescent="0.35">
      <c r="A1144" t="str">
        <f>"2009-09-01"</f>
        <v>2009-09-01</v>
      </c>
      <c r="B1144" t="str">
        <f>"38.9307"</f>
        <v>38.9307</v>
      </c>
      <c r="C1144">
        <v>1142</v>
      </c>
      <c r="D1144" s="7">
        <v>38.930700000000002</v>
      </c>
      <c r="E1144" s="7">
        <f t="shared" si="34"/>
        <v>44458.859400000001</v>
      </c>
      <c r="F1144" s="7">
        <f t="shared" si="35"/>
        <v>1304164</v>
      </c>
      <c r="G1144" s="7"/>
    </row>
    <row r="1145" spans="1:7" x14ac:dyDescent="0.35">
      <c r="A1145" t="str">
        <f>"2009-09-02"</f>
        <v>2009-09-02</v>
      </c>
      <c r="B1145" t="str">
        <f>"37.6819"</f>
        <v>37.6819</v>
      </c>
      <c r="C1145">
        <v>1143</v>
      </c>
      <c r="D1145" s="7">
        <v>37.681899999999999</v>
      </c>
      <c r="E1145" s="7">
        <f t="shared" si="34"/>
        <v>43070.411699999997</v>
      </c>
      <c r="F1145" s="7">
        <f t="shared" si="35"/>
        <v>1306449</v>
      </c>
      <c r="G1145" s="7"/>
    </row>
    <row r="1146" spans="1:7" x14ac:dyDescent="0.35">
      <c r="A1146" t="str">
        <f>"2009-09-03"</f>
        <v>2009-09-03</v>
      </c>
      <c r="B1146" t="str">
        <f>"36.5885"</f>
        <v>36.5885</v>
      </c>
      <c r="C1146">
        <v>1144</v>
      </c>
      <c r="D1146" s="7">
        <v>36.588500000000003</v>
      </c>
      <c r="E1146" s="7">
        <f t="shared" si="34"/>
        <v>41857.244000000006</v>
      </c>
      <c r="F1146" s="7">
        <f t="shared" si="35"/>
        <v>1308736</v>
      </c>
      <c r="G1146" s="7"/>
    </row>
    <row r="1147" spans="1:7" x14ac:dyDescent="0.35">
      <c r="A1147" t="str">
        <f>"2009-09-04"</f>
        <v>2009-09-04</v>
      </c>
      <c r="B1147" t="str">
        <f>"37.2565"</f>
        <v>37.2565</v>
      </c>
      <c r="C1147">
        <v>1145</v>
      </c>
      <c r="D1147" s="7">
        <v>37.256500000000003</v>
      </c>
      <c r="E1147" s="7">
        <f t="shared" si="34"/>
        <v>42658.692500000005</v>
      </c>
      <c r="F1147" s="7">
        <f t="shared" si="35"/>
        <v>1311025</v>
      </c>
      <c r="G1147" s="7"/>
    </row>
    <row r="1148" spans="1:7" x14ac:dyDescent="0.35">
      <c r="A1148" t="str">
        <f>"2009-09-08"</f>
        <v>2009-09-08</v>
      </c>
      <c r="B1148" t="str">
        <f>"37.2645"</f>
        <v>37.2645</v>
      </c>
      <c r="C1148">
        <v>1146</v>
      </c>
      <c r="D1148" s="7">
        <v>37.264499999999998</v>
      </c>
      <c r="E1148" s="7">
        <f t="shared" si="34"/>
        <v>42705.116999999998</v>
      </c>
      <c r="F1148" s="7">
        <f t="shared" si="35"/>
        <v>1313316</v>
      </c>
      <c r="G1148" s="7"/>
    </row>
    <row r="1149" spans="1:7" x14ac:dyDescent="0.35">
      <c r="A1149" t="str">
        <f>"2009-09-09"</f>
        <v>2009-09-09</v>
      </c>
      <c r="B1149" t="str">
        <f>"39.1253"</f>
        <v>39.1253</v>
      </c>
      <c r="C1149">
        <v>1147</v>
      </c>
      <c r="D1149" s="7">
        <v>39.125300000000003</v>
      </c>
      <c r="E1149" s="7">
        <f t="shared" si="34"/>
        <v>44876.719100000002</v>
      </c>
      <c r="F1149" s="7">
        <f t="shared" si="35"/>
        <v>1315609</v>
      </c>
      <c r="G1149" s="7"/>
    </row>
    <row r="1150" spans="1:7" x14ac:dyDescent="0.35">
      <c r="A1150" t="str">
        <f>"2009-09-10"</f>
        <v>2009-09-10</v>
      </c>
      <c r="B1150" t="str">
        <f>"41.3077"</f>
        <v>41.3077</v>
      </c>
      <c r="C1150">
        <v>1148</v>
      </c>
      <c r="D1150" s="7">
        <v>41.307699999999997</v>
      </c>
      <c r="E1150" s="7">
        <f t="shared" si="34"/>
        <v>47421.239599999994</v>
      </c>
      <c r="F1150" s="7">
        <f t="shared" si="35"/>
        <v>1317904</v>
      </c>
      <c r="G1150" s="7"/>
    </row>
    <row r="1151" spans="1:7" x14ac:dyDescent="0.35">
      <c r="A1151" t="str">
        <f>"2009-09-11"</f>
        <v>2009-09-11</v>
      </c>
      <c r="B1151" t="str">
        <f>"42.8736"</f>
        <v>42.8736</v>
      </c>
      <c r="C1151">
        <v>1149</v>
      </c>
      <c r="D1151" s="7">
        <v>42.873600000000003</v>
      </c>
      <c r="E1151" s="7">
        <f t="shared" si="34"/>
        <v>49261.7664</v>
      </c>
      <c r="F1151" s="7">
        <f t="shared" si="35"/>
        <v>1320201</v>
      </c>
      <c r="G1151" s="7"/>
    </row>
    <row r="1152" spans="1:7" x14ac:dyDescent="0.35">
      <c r="A1152" t="str">
        <f>"2009-09-14"</f>
        <v>2009-09-14</v>
      </c>
      <c r="B1152" t="str">
        <f>"44.8722"</f>
        <v>44.8722</v>
      </c>
      <c r="C1152">
        <v>1150</v>
      </c>
      <c r="D1152" s="7">
        <v>44.872199999999999</v>
      </c>
      <c r="E1152" s="7">
        <f t="shared" si="34"/>
        <v>51603.03</v>
      </c>
      <c r="F1152" s="7">
        <f t="shared" si="35"/>
        <v>1322500</v>
      </c>
      <c r="G1152" s="7"/>
    </row>
    <row r="1153" spans="1:7" x14ac:dyDescent="0.35">
      <c r="A1153" t="str">
        <f>"2009-09-15"</f>
        <v>2009-09-15</v>
      </c>
      <c r="B1153" t="str">
        <f>"44.9717"</f>
        <v>44.9717</v>
      </c>
      <c r="C1153">
        <v>1151</v>
      </c>
      <c r="D1153" s="7">
        <v>44.971699999999998</v>
      </c>
      <c r="E1153" s="7">
        <f t="shared" si="34"/>
        <v>51762.426699999996</v>
      </c>
      <c r="F1153" s="7">
        <f t="shared" si="35"/>
        <v>1324801</v>
      </c>
      <c r="G1153" s="7"/>
    </row>
    <row r="1154" spans="1:7" x14ac:dyDescent="0.35">
      <c r="A1154" t="str">
        <f>"2009-09-16"</f>
        <v>2009-09-16</v>
      </c>
      <c r="B1154" t="str">
        <f>"47.689"</f>
        <v>47.689</v>
      </c>
      <c r="C1154">
        <v>1152</v>
      </c>
      <c r="D1154" s="7">
        <v>47.689</v>
      </c>
      <c r="E1154" s="7">
        <f t="shared" si="34"/>
        <v>54937.728000000003</v>
      </c>
      <c r="F1154" s="7">
        <f t="shared" si="35"/>
        <v>1327104</v>
      </c>
      <c r="G1154" s="7"/>
    </row>
    <row r="1155" spans="1:7" x14ac:dyDescent="0.35">
      <c r="A1155" t="str">
        <f>"2009-09-17"</f>
        <v>2009-09-17</v>
      </c>
      <c r="B1155" t="str">
        <f>"47.7737"</f>
        <v>47.7737</v>
      </c>
      <c r="C1155">
        <v>1153</v>
      </c>
      <c r="D1155" s="7">
        <v>47.773699999999998</v>
      </c>
      <c r="E1155" s="7">
        <f t="shared" si="34"/>
        <v>55083.076099999998</v>
      </c>
      <c r="F1155" s="7">
        <f t="shared" si="35"/>
        <v>1329409</v>
      </c>
      <c r="G1155" s="7"/>
    </row>
    <row r="1156" spans="1:7" x14ac:dyDescent="0.35">
      <c r="A1156" t="str">
        <f>"2009-09-18"</f>
        <v>2009-09-18</v>
      </c>
      <c r="B1156" t="str">
        <f>"49.9456"</f>
        <v>49.9456</v>
      </c>
      <c r="C1156">
        <v>1154</v>
      </c>
      <c r="D1156" s="7">
        <v>49.945599999999999</v>
      </c>
      <c r="E1156" s="7">
        <f t="shared" ref="E1156:E1219" si="36">C1156*D1156</f>
        <v>57637.222399999999</v>
      </c>
      <c r="F1156" s="7">
        <f t="shared" ref="F1156:F1219" si="37">C1156*C1156</f>
        <v>1331716</v>
      </c>
      <c r="G1156" s="7"/>
    </row>
    <row r="1157" spans="1:7" x14ac:dyDescent="0.35">
      <c r="A1157" t="str">
        <f>"2009-09-23"</f>
        <v>2009-09-23</v>
      </c>
      <c r="B1157" t="str">
        <f>"52.2955"</f>
        <v>52.2955</v>
      </c>
      <c r="C1157">
        <v>1155</v>
      </c>
      <c r="D1157" s="7">
        <v>52.295499999999997</v>
      </c>
      <c r="E1157" s="7">
        <f t="shared" si="36"/>
        <v>60401.302499999998</v>
      </c>
      <c r="F1157" s="7">
        <f t="shared" si="37"/>
        <v>1334025</v>
      </c>
      <c r="G1157" s="7"/>
    </row>
    <row r="1158" spans="1:7" x14ac:dyDescent="0.35">
      <c r="A1158" t="str">
        <f>"2009-09-24"</f>
        <v>2009-09-24</v>
      </c>
      <c r="B1158" t="str">
        <f>"51.8656"</f>
        <v>51.8656</v>
      </c>
      <c r="C1158">
        <v>1156</v>
      </c>
      <c r="D1158" s="7">
        <v>51.865600000000001</v>
      </c>
      <c r="E1158" s="7">
        <f t="shared" si="36"/>
        <v>59956.633600000001</v>
      </c>
      <c r="F1158" s="7">
        <f t="shared" si="37"/>
        <v>1336336</v>
      </c>
      <c r="G1158" s="7"/>
    </row>
    <row r="1159" spans="1:7" x14ac:dyDescent="0.35">
      <c r="A1159" t="str">
        <f>"2009-09-25"</f>
        <v>2009-09-25</v>
      </c>
      <c r="B1159" t="str">
        <f>"51.5934"</f>
        <v>51.5934</v>
      </c>
      <c r="C1159">
        <v>1157</v>
      </c>
      <c r="D1159" s="7">
        <v>51.593400000000003</v>
      </c>
      <c r="E1159" s="7">
        <f t="shared" si="36"/>
        <v>59693.563800000004</v>
      </c>
      <c r="F1159" s="7">
        <f t="shared" si="37"/>
        <v>1338649</v>
      </c>
      <c r="G1159" s="7"/>
    </row>
    <row r="1160" spans="1:7" x14ac:dyDescent="0.35">
      <c r="A1160" t="str">
        <f>"2009-09-28"</f>
        <v>2009-09-28</v>
      </c>
      <c r="B1160" t="str">
        <f>"49.8275"</f>
        <v>49.8275</v>
      </c>
      <c r="C1160">
        <v>1158</v>
      </c>
      <c r="D1160" s="7">
        <v>49.827500000000001</v>
      </c>
      <c r="E1160" s="7">
        <f t="shared" si="36"/>
        <v>57700.245000000003</v>
      </c>
      <c r="F1160" s="7">
        <f t="shared" si="37"/>
        <v>1340964</v>
      </c>
      <c r="G1160" s="7"/>
    </row>
    <row r="1161" spans="1:7" x14ac:dyDescent="0.35">
      <c r="A1161" t="str">
        <f>"2009-09-29"</f>
        <v>2009-09-29</v>
      </c>
      <c r="B1161" t="str">
        <f>"51.4055"</f>
        <v>51.4055</v>
      </c>
      <c r="C1161">
        <v>1159</v>
      </c>
      <c r="D1161" s="7">
        <v>51.405500000000004</v>
      </c>
      <c r="E1161" s="7">
        <f t="shared" si="36"/>
        <v>59578.974500000004</v>
      </c>
      <c r="F1161" s="7">
        <f t="shared" si="37"/>
        <v>1343281</v>
      </c>
      <c r="G1161" s="7"/>
    </row>
    <row r="1162" spans="1:7" x14ac:dyDescent="0.35">
      <c r="A1162" t="str">
        <f>"2009-09-30"</f>
        <v>2009-09-30</v>
      </c>
      <c r="B1162" t="str">
        <f>"51.1826"</f>
        <v>51.1826</v>
      </c>
      <c r="C1162">
        <v>1160</v>
      </c>
      <c r="D1162" s="7">
        <v>51.182600000000001</v>
      </c>
      <c r="E1162" s="7">
        <f t="shared" si="36"/>
        <v>59371.815999999999</v>
      </c>
      <c r="F1162" s="7">
        <f t="shared" si="37"/>
        <v>1345600</v>
      </c>
      <c r="G1162" s="7"/>
    </row>
    <row r="1163" spans="1:7" x14ac:dyDescent="0.35">
      <c r="A1163" t="str">
        <f>"2009-10-01"</f>
        <v>2009-10-01</v>
      </c>
      <c r="B1163" t="str">
        <f>"49.9807"</f>
        <v>49.9807</v>
      </c>
      <c r="C1163">
        <v>1161</v>
      </c>
      <c r="D1163" s="7">
        <v>49.980699999999999</v>
      </c>
      <c r="E1163" s="7">
        <f t="shared" si="36"/>
        <v>58027.592700000001</v>
      </c>
      <c r="F1163" s="7">
        <f t="shared" si="37"/>
        <v>1347921</v>
      </c>
      <c r="G1163" s="7"/>
    </row>
    <row r="1164" spans="1:7" x14ac:dyDescent="0.35">
      <c r="A1164" t="str">
        <f>"2009-10-02"</f>
        <v>2009-10-02</v>
      </c>
      <c r="B1164" t="str">
        <f>"48.7524"</f>
        <v>48.7524</v>
      </c>
      <c r="C1164">
        <v>1162</v>
      </c>
      <c r="D1164" s="7">
        <v>48.752400000000002</v>
      </c>
      <c r="E1164" s="7">
        <f t="shared" si="36"/>
        <v>56650.288800000002</v>
      </c>
      <c r="F1164" s="7">
        <f t="shared" si="37"/>
        <v>1350244</v>
      </c>
      <c r="G1164" s="7"/>
    </row>
    <row r="1165" spans="1:7" x14ac:dyDescent="0.35">
      <c r="A1165" t="str">
        <f>"2009-10-05"</f>
        <v>2009-10-05</v>
      </c>
      <c r="B1165" t="str">
        <f>"49.5303"</f>
        <v>49.5303</v>
      </c>
      <c r="C1165">
        <v>1163</v>
      </c>
      <c r="D1165" s="7">
        <v>49.530299999999997</v>
      </c>
      <c r="E1165" s="7">
        <f t="shared" si="36"/>
        <v>57603.738899999997</v>
      </c>
      <c r="F1165" s="7">
        <f t="shared" si="37"/>
        <v>1352569</v>
      </c>
      <c r="G1165" s="7"/>
    </row>
    <row r="1166" spans="1:7" x14ac:dyDescent="0.35">
      <c r="A1166" t="str">
        <f>"2009-10-06"</f>
        <v>2009-10-06</v>
      </c>
      <c r="B1166" t="str">
        <f>"50.52"</f>
        <v>50.52</v>
      </c>
      <c r="C1166">
        <v>1164</v>
      </c>
      <c r="D1166" s="7">
        <v>50.52</v>
      </c>
      <c r="E1166" s="7">
        <f t="shared" si="36"/>
        <v>58805.280000000006</v>
      </c>
      <c r="F1166" s="7">
        <f t="shared" si="37"/>
        <v>1354896</v>
      </c>
      <c r="G1166" s="7"/>
    </row>
    <row r="1167" spans="1:7" x14ac:dyDescent="0.35">
      <c r="A1167" t="str">
        <f>"2009-10-07"</f>
        <v>2009-10-07</v>
      </c>
      <c r="B1167" t="str">
        <f>"50.4368"</f>
        <v>50.4368</v>
      </c>
      <c r="C1167">
        <v>1165</v>
      </c>
      <c r="D1167" s="7">
        <v>50.436799999999998</v>
      </c>
      <c r="E1167" s="7">
        <f t="shared" si="36"/>
        <v>58758.871999999996</v>
      </c>
      <c r="F1167" s="7">
        <f t="shared" si="37"/>
        <v>1357225</v>
      </c>
      <c r="G1167" s="7"/>
    </row>
    <row r="1168" spans="1:7" x14ac:dyDescent="0.35">
      <c r="A1168" t="str">
        <f>"2009-10-08"</f>
        <v>2009-10-08</v>
      </c>
      <c r="B1168" t="str">
        <f>"50.214"</f>
        <v>50.214</v>
      </c>
      <c r="C1168">
        <v>1166</v>
      </c>
      <c r="D1168" s="7">
        <v>50.213999999999999</v>
      </c>
      <c r="E1168" s="7">
        <f t="shared" si="36"/>
        <v>58549.523999999998</v>
      </c>
      <c r="F1168" s="7">
        <f t="shared" si="37"/>
        <v>1359556</v>
      </c>
      <c r="G1168" s="7"/>
    </row>
    <row r="1169" spans="1:7" x14ac:dyDescent="0.35">
      <c r="A1169" t="str">
        <f>"2009-10-09"</f>
        <v>2009-10-09</v>
      </c>
      <c r="B1169" t="str">
        <f>"50.628"</f>
        <v>50.628</v>
      </c>
      <c r="C1169">
        <v>1167</v>
      </c>
      <c r="D1169" s="7">
        <v>50.628</v>
      </c>
      <c r="E1169" s="7">
        <f t="shared" si="36"/>
        <v>59082.875999999997</v>
      </c>
      <c r="F1169" s="7">
        <f t="shared" si="37"/>
        <v>1361889</v>
      </c>
      <c r="G1169" s="7"/>
    </row>
    <row r="1170" spans="1:7" x14ac:dyDescent="0.35">
      <c r="A1170" t="str">
        <f>"2009-10-12"</f>
        <v>2009-10-12</v>
      </c>
      <c r="B1170" t="str">
        <f>"49.7291"</f>
        <v>49.7291</v>
      </c>
      <c r="C1170">
        <v>1168</v>
      </c>
      <c r="D1170" s="7">
        <v>49.729100000000003</v>
      </c>
      <c r="E1170" s="7">
        <f t="shared" si="36"/>
        <v>58083.588800000005</v>
      </c>
      <c r="F1170" s="7">
        <f t="shared" si="37"/>
        <v>1364224</v>
      </c>
      <c r="G1170" s="7"/>
    </row>
    <row r="1171" spans="1:7" x14ac:dyDescent="0.35">
      <c r="A1171" t="str">
        <f>"2009-10-13"</f>
        <v>2009-10-13</v>
      </c>
      <c r="B1171" t="str">
        <f>"49.6605"</f>
        <v>49.6605</v>
      </c>
      <c r="C1171">
        <v>1169</v>
      </c>
      <c r="D1171" s="7">
        <v>49.660499999999999</v>
      </c>
      <c r="E1171" s="7">
        <f t="shared" si="36"/>
        <v>58053.124499999998</v>
      </c>
      <c r="F1171" s="7">
        <f t="shared" si="37"/>
        <v>1366561</v>
      </c>
      <c r="G1171" s="7"/>
    </row>
    <row r="1172" spans="1:7" x14ac:dyDescent="0.35">
      <c r="A1172" t="str">
        <f>"2009-10-14"</f>
        <v>2009-10-14</v>
      </c>
      <c r="B1172" t="str">
        <f>"51.9107"</f>
        <v>51.9107</v>
      </c>
      <c r="C1172">
        <v>1170</v>
      </c>
      <c r="D1172" s="7">
        <v>51.910699999999999</v>
      </c>
      <c r="E1172" s="7">
        <f t="shared" si="36"/>
        <v>60735.519</v>
      </c>
      <c r="F1172" s="7">
        <f t="shared" si="37"/>
        <v>1368900</v>
      </c>
      <c r="G1172" s="7"/>
    </row>
    <row r="1173" spans="1:7" x14ac:dyDescent="0.35">
      <c r="A1173" t="str">
        <f>"2009-10-15"</f>
        <v>2009-10-15</v>
      </c>
      <c r="B1173" t="str">
        <f>"52.8317"</f>
        <v>52.8317</v>
      </c>
      <c r="C1173">
        <v>1171</v>
      </c>
      <c r="D1173" s="7">
        <v>52.831699999999998</v>
      </c>
      <c r="E1173" s="7">
        <f t="shared" si="36"/>
        <v>61865.920699999995</v>
      </c>
      <c r="F1173" s="7">
        <f t="shared" si="37"/>
        <v>1371241</v>
      </c>
      <c r="G1173" s="7"/>
    </row>
    <row r="1174" spans="1:7" x14ac:dyDescent="0.35">
      <c r="A1174" t="str">
        <f>"2009-10-16"</f>
        <v>2009-10-16</v>
      </c>
      <c r="B1174" t="str">
        <f>"51.4081"</f>
        <v>51.4081</v>
      </c>
      <c r="C1174">
        <v>1172</v>
      </c>
      <c r="D1174" s="7">
        <v>51.408099999999997</v>
      </c>
      <c r="E1174" s="7">
        <f t="shared" si="36"/>
        <v>60250.2932</v>
      </c>
      <c r="F1174" s="7">
        <f t="shared" si="37"/>
        <v>1373584</v>
      </c>
      <c r="G1174" s="7"/>
    </row>
    <row r="1175" spans="1:7" x14ac:dyDescent="0.35">
      <c r="A1175" t="str">
        <f>"2009-10-19"</f>
        <v>2009-10-19</v>
      </c>
      <c r="B1175" t="str">
        <f>"52.3887"</f>
        <v>52.3887</v>
      </c>
      <c r="C1175">
        <v>1173</v>
      </c>
      <c r="D1175" s="7">
        <v>52.3887</v>
      </c>
      <c r="E1175" s="7">
        <f t="shared" si="36"/>
        <v>61451.945099999997</v>
      </c>
      <c r="F1175" s="7">
        <f t="shared" si="37"/>
        <v>1375929</v>
      </c>
      <c r="G1175" s="7"/>
    </row>
    <row r="1176" spans="1:7" x14ac:dyDescent="0.35">
      <c r="A1176" t="str">
        <f>"2009-10-20"</f>
        <v>2009-10-20</v>
      </c>
      <c r="B1176" t="str">
        <f>"57.3046"</f>
        <v>57.3046</v>
      </c>
      <c r="C1176">
        <v>1174</v>
      </c>
      <c r="D1176" s="7">
        <v>57.304600000000001</v>
      </c>
      <c r="E1176" s="7">
        <f t="shared" si="36"/>
        <v>67275.600399999996</v>
      </c>
      <c r="F1176" s="7">
        <f t="shared" si="37"/>
        <v>1378276</v>
      </c>
      <c r="G1176" s="7"/>
    </row>
    <row r="1177" spans="1:7" x14ac:dyDescent="0.35">
      <c r="A1177" t="str">
        <f>"2009-10-21"</f>
        <v>2009-10-21</v>
      </c>
      <c r="B1177" t="str">
        <f>"57.7032"</f>
        <v>57.7032</v>
      </c>
      <c r="C1177">
        <v>1175</v>
      </c>
      <c r="D1177" s="7">
        <v>57.703200000000002</v>
      </c>
      <c r="E1177" s="7">
        <f t="shared" si="36"/>
        <v>67801.260000000009</v>
      </c>
      <c r="F1177" s="7">
        <f t="shared" si="37"/>
        <v>1380625</v>
      </c>
      <c r="G1177" s="7"/>
    </row>
    <row r="1178" spans="1:7" x14ac:dyDescent="0.35">
      <c r="A1178" t="str">
        <f>"2009-10-22"</f>
        <v>2009-10-22</v>
      </c>
      <c r="B1178" t="str">
        <f>"57.0499"</f>
        <v>57.0499</v>
      </c>
      <c r="C1178">
        <v>1176</v>
      </c>
      <c r="D1178" s="7">
        <v>57.049900000000001</v>
      </c>
      <c r="E1178" s="7">
        <f t="shared" si="36"/>
        <v>67090.682400000005</v>
      </c>
      <c r="F1178" s="7">
        <f t="shared" si="37"/>
        <v>1382976</v>
      </c>
      <c r="G1178" s="7"/>
    </row>
    <row r="1179" spans="1:7" x14ac:dyDescent="0.35">
      <c r="A1179" t="str">
        <f>"2009-10-23"</f>
        <v>2009-10-23</v>
      </c>
      <c r="B1179" t="str">
        <f>"57.1314"</f>
        <v>57.1314</v>
      </c>
      <c r="C1179">
        <v>1177</v>
      </c>
      <c r="D1179" s="7">
        <v>57.131399999999999</v>
      </c>
      <c r="E1179" s="7">
        <f t="shared" si="36"/>
        <v>67243.657800000001</v>
      </c>
      <c r="F1179" s="7">
        <f t="shared" si="37"/>
        <v>1385329</v>
      </c>
      <c r="G1179" s="7"/>
    </row>
    <row r="1180" spans="1:7" x14ac:dyDescent="0.35">
      <c r="A1180" t="str">
        <f>"2009-10-26"</f>
        <v>2009-10-26</v>
      </c>
      <c r="B1180" t="str">
        <f>"56.6868"</f>
        <v>56.6868</v>
      </c>
      <c r="C1180">
        <v>1178</v>
      </c>
      <c r="D1180" s="7">
        <v>56.686799999999998</v>
      </c>
      <c r="E1180" s="7">
        <f t="shared" si="36"/>
        <v>66777.050399999993</v>
      </c>
      <c r="F1180" s="7">
        <f t="shared" si="37"/>
        <v>1387684</v>
      </c>
      <c r="G1180" s="7"/>
    </row>
    <row r="1181" spans="1:7" x14ac:dyDescent="0.35">
      <c r="A1181" t="str">
        <f>"2009-10-27"</f>
        <v>2009-10-27</v>
      </c>
      <c r="B1181" t="str">
        <f>"56.9392"</f>
        <v>56.9392</v>
      </c>
      <c r="C1181">
        <v>1179</v>
      </c>
      <c r="D1181" s="7">
        <v>56.9392</v>
      </c>
      <c r="E1181" s="7">
        <f t="shared" si="36"/>
        <v>67131.316800000001</v>
      </c>
      <c r="F1181" s="7">
        <f t="shared" si="37"/>
        <v>1390041</v>
      </c>
      <c r="G1181" s="7"/>
    </row>
    <row r="1182" spans="1:7" x14ac:dyDescent="0.35">
      <c r="A1182" t="str">
        <f>"2009-10-28"</f>
        <v>2009-10-28</v>
      </c>
      <c r="B1182" t="str">
        <f>"55.3767"</f>
        <v>55.3767</v>
      </c>
      <c r="C1182">
        <v>1180</v>
      </c>
      <c r="D1182" s="7">
        <v>55.3767</v>
      </c>
      <c r="E1182" s="7">
        <f t="shared" si="36"/>
        <v>65344.506000000001</v>
      </c>
      <c r="F1182" s="7">
        <f t="shared" si="37"/>
        <v>1392400</v>
      </c>
      <c r="G1182" s="7"/>
    </row>
    <row r="1183" spans="1:7" x14ac:dyDescent="0.35">
      <c r="A1183" t="str">
        <f>"2009-10-30"</f>
        <v>2009-10-30</v>
      </c>
      <c r="B1183" t="str">
        <f>"53.6618"</f>
        <v>53.6618</v>
      </c>
      <c r="C1183">
        <v>1181</v>
      </c>
      <c r="D1183" s="7">
        <v>53.661799999999999</v>
      </c>
      <c r="E1183" s="7">
        <f t="shared" si="36"/>
        <v>63374.585800000001</v>
      </c>
      <c r="F1183" s="7">
        <f t="shared" si="37"/>
        <v>1394761</v>
      </c>
      <c r="G1183" s="7"/>
    </row>
    <row r="1184" spans="1:7" x14ac:dyDescent="0.35">
      <c r="A1184" t="str">
        <f>"2009-11-02"</f>
        <v>2009-11-02</v>
      </c>
      <c r="B1184" t="str">
        <f>"51.1094"</f>
        <v>51.1094</v>
      </c>
      <c r="C1184">
        <v>1182</v>
      </c>
      <c r="D1184" s="7">
        <v>51.109400000000001</v>
      </c>
      <c r="E1184" s="7">
        <f t="shared" si="36"/>
        <v>60411.310799999999</v>
      </c>
      <c r="F1184" s="7">
        <f t="shared" si="37"/>
        <v>1397124</v>
      </c>
      <c r="G1184" s="7"/>
    </row>
    <row r="1185" spans="1:7" x14ac:dyDescent="0.35">
      <c r="A1185" t="str">
        <f>"2009-11-03"</f>
        <v>2009-11-03</v>
      </c>
      <c r="B1185" t="str">
        <f>"49.1553"</f>
        <v>49.1553</v>
      </c>
      <c r="C1185">
        <v>1183</v>
      </c>
      <c r="D1185" s="7">
        <v>49.155299999999997</v>
      </c>
      <c r="E1185" s="7">
        <f t="shared" si="36"/>
        <v>58150.719899999996</v>
      </c>
      <c r="F1185" s="7">
        <f t="shared" si="37"/>
        <v>1399489</v>
      </c>
      <c r="G1185" s="7"/>
    </row>
    <row r="1186" spans="1:7" x14ac:dyDescent="0.35">
      <c r="A1186" t="str">
        <f>"2009-11-04"</f>
        <v>2009-11-04</v>
      </c>
      <c r="B1186" t="str">
        <f>"51.3764"</f>
        <v>51.3764</v>
      </c>
      <c r="C1186">
        <v>1184</v>
      </c>
      <c r="D1186" s="7">
        <v>51.376399999999997</v>
      </c>
      <c r="E1186" s="7">
        <f t="shared" si="36"/>
        <v>60829.657599999999</v>
      </c>
      <c r="F1186" s="7">
        <f t="shared" si="37"/>
        <v>1401856</v>
      </c>
      <c r="G1186" s="7"/>
    </row>
    <row r="1187" spans="1:7" x14ac:dyDescent="0.35">
      <c r="A1187" t="str">
        <f>"2009-11-05"</f>
        <v>2009-11-05</v>
      </c>
      <c r="B1187" t="str">
        <f>"53.4379"</f>
        <v>53.4379</v>
      </c>
      <c r="C1187">
        <v>1185</v>
      </c>
      <c r="D1187" s="7">
        <v>53.437899999999999</v>
      </c>
      <c r="E1187" s="7">
        <f t="shared" si="36"/>
        <v>63323.911500000002</v>
      </c>
      <c r="F1187" s="7">
        <f t="shared" si="37"/>
        <v>1404225</v>
      </c>
      <c r="G1187" s="7"/>
    </row>
    <row r="1188" spans="1:7" x14ac:dyDescent="0.35">
      <c r="A1188" t="str">
        <f>"2009-11-06"</f>
        <v>2009-11-06</v>
      </c>
      <c r="B1188" t="str">
        <f>"53.9078"</f>
        <v>53.9078</v>
      </c>
      <c r="C1188">
        <v>1186</v>
      </c>
      <c r="D1188" s="7">
        <v>53.907800000000002</v>
      </c>
      <c r="E1188" s="7">
        <f t="shared" si="36"/>
        <v>63934.650800000003</v>
      </c>
      <c r="F1188" s="7">
        <f t="shared" si="37"/>
        <v>1406596</v>
      </c>
      <c r="G1188" s="7"/>
    </row>
    <row r="1189" spans="1:7" x14ac:dyDescent="0.35">
      <c r="A1189" t="str">
        <f>"2009-11-09"</f>
        <v>2009-11-09</v>
      </c>
      <c r="B1189" t="str">
        <f>"54.3502"</f>
        <v>54.3502</v>
      </c>
      <c r="C1189">
        <v>1187</v>
      </c>
      <c r="D1189" s="7">
        <v>54.350200000000001</v>
      </c>
      <c r="E1189" s="7">
        <f t="shared" si="36"/>
        <v>64513.687400000003</v>
      </c>
      <c r="F1189" s="7">
        <f t="shared" si="37"/>
        <v>1408969</v>
      </c>
      <c r="G1189" s="7"/>
    </row>
    <row r="1190" spans="1:7" x14ac:dyDescent="0.35">
      <c r="A1190" t="str">
        <f>"2009-11-10"</f>
        <v>2009-11-10</v>
      </c>
      <c r="B1190" t="str">
        <f>"54.9629"</f>
        <v>54.9629</v>
      </c>
      <c r="C1190">
        <v>1188</v>
      </c>
      <c r="D1190" s="7">
        <v>54.962899999999998</v>
      </c>
      <c r="E1190" s="7">
        <f t="shared" si="36"/>
        <v>65295.925199999998</v>
      </c>
      <c r="F1190" s="7">
        <f t="shared" si="37"/>
        <v>1411344</v>
      </c>
      <c r="G1190" s="7"/>
    </row>
    <row r="1191" spans="1:7" x14ac:dyDescent="0.35">
      <c r="A1191" t="str">
        <f>"2009-11-11"</f>
        <v>2009-11-11</v>
      </c>
      <c r="B1191" t="str">
        <f>"54.2958"</f>
        <v>54.2958</v>
      </c>
      <c r="C1191">
        <v>1189</v>
      </c>
      <c r="D1191" s="7">
        <v>54.2958</v>
      </c>
      <c r="E1191" s="7">
        <f t="shared" si="36"/>
        <v>64557.706200000001</v>
      </c>
      <c r="F1191" s="7">
        <f t="shared" si="37"/>
        <v>1413721</v>
      </c>
      <c r="G1191" s="7"/>
    </row>
    <row r="1192" spans="1:7" x14ac:dyDescent="0.35">
      <c r="A1192" t="str">
        <f>"2009-11-12"</f>
        <v>2009-11-12</v>
      </c>
      <c r="B1192" t="str">
        <f>"56.4945"</f>
        <v>56.4945</v>
      </c>
      <c r="C1192">
        <v>1190</v>
      </c>
      <c r="D1192" s="7">
        <v>56.494500000000002</v>
      </c>
      <c r="E1192" s="7">
        <f t="shared" si="36"/>
        <v>67228.455000000002</v>
      </c>
      <c r="F1192" s="7">
        <f t="shared" si="37"/>
        <v>1416100</v>
      </c>
      <c r="G1192" s="7"/>
    </row>
    <row r="1193" spans="1:7" x14ac:dyDescent="0.35">
      <c r="A1193" t="str">
        <f>"2009-11-13"</f>
        <v>2009-11-13</v>
      </c>
      <c r="B1193" t="str">
        <f>"56.2907"</f>
        <v>56.2907</v>
      </c>
      <c r="C1193">
        <v>1191</v>
      </c>
      <c r="D1193" s="7">
        <v>56.290700000000001</v>
      </c>
      <c r="E1193" s="7">
        <f t="shared" si="36"/>
        <v>67042.223700000002</v>
      </c>
      <c r="F1193" s="7">
        <f t="shared" si="37"/>
        <v>1418481</v>
      </c>
      <c r="G1193" s="7"/>
    </row>
    <row r="1194" spans="1:7" x14ac:dyDescent="0.35">
      <c r="A1194" t="str">
        <f>"2009-11-16"</f>
        <v>2009-11-16</v>
      </c>
      <c r="B1194" t="str">
        <f>"57.0113"</f>
        <v>57.0113</v>
      </c>
      <c r="C1194">
        <v>1192</v>
      </c>
      <c r="D1194" s="7">
        <v>57.011299999999999</v>
      </c>
      <c r="E1194" s="7">
        <f t="shared" si="36"/>
        <v>67957.469599999997</v>
      </c>
      <c r="F1194" s="7">
        <f t="shared" si="37"/>
        <v>1420864</v>
      </c>
      <c r="G1194" s="7"/>
    </row>
    <row r="1195" spans="1:7" x14ac:dyDescent="0.35">
      <c r="A1195" t="str">
        <f>"2009-11-17"</f>
        <v>2009-11-17</v>
      </c>
      <c r="B1195" t="str">
        <f>"56.6775"</f>
        <v>56.6775</v>
      </c>
      <c r="C1195">
        <v>1193</v>
      </c>
      <c r="D1195" s="7">
        <v>56.677500000000002</v>
      </c>
      <c r="E1195" s="7">
        <f t="shared" si="36"/>
        <v>67616.257500000007</v>
      </c>
      <c r="F1195" s="7">
        <f t="shared" si="37"/>
        <v>1423249</v>
      </c>
      <c r="G1195" s="7"/>
    </row>
    <row r="1196" spans="1:7" x14ac:dyDescent="0.35">
      <c r="A1196" t="str">
        <f>"2009-11-18"</f>
        <v>2009-11-18</v>
      </c>
      <c r="B1196" t="str">
        <f>"53.9965"</f>
        <v>53.9965</v>
      </c>
      <c r="C1196">
        <v>1194</v>
      </c>
      <c r="D1196" s="7">
        <v>53.996499999999997</v>
      </c>
      <c r="E1196" s="7">
        <f t="shared" si="36"/>
        <v>64471.820999999996</v>
      </c>
      <c r="F1196" s="7">
        <f t="shared" si="37"/>
        <v>1425636</v>
      </c>
      <c r="G1196" s="7"/>
    </row>
    <row r="1197" spans="1:7" x14ac:dyDescent="0.35">
      <c r="A1197" t="str">
        <f>"2009-11-19"</f>
        <v>2009-11-19</v>
      </c>
      <c r="B1197" t="str">
        <f>"54.6951"</f>
        <v>54.6951</v>
      </c>
      <c r="C1197">
        <v>1195</v>
      </c>
      <c r="D1197" s="7">
        <v>54.695099999999996</v>
      </c>
      <c r="E1197" s="7">
        <f t="shared" si="36"/>
        <v>65360.644499999995</v>
      </c>
      <c r="F1197" s="7">
        <f t="shared" si="37"/>
        <v>1428025</v>
      </c>
      <c r="G1197" s="7"/>
    </row>
    <row r="1198" spans="1:7" x14ac:dyDescent="0.35">
      <c r="A1198" t="str">
        <f>"2009-11-20"</f>
        <v>2009-11-20</v>
      </c>
      <c r="B1198" t="str">
        <f>"52.1734"</f>
        <v>52.1734</v>
      </c>
      <c r="C1198">
        <v>1196</v>
      </c>
      <c r="D1198" s="7">
        <v>52.173400000000001</v>
      </c>
      <c r="E1198" s="7">
        <f t="shared" si="36"/>
        <v>62399.386400000003</v>
      </c>
      <c r="F1198" s="7">
        <f t="shared" si="37"/>
        <v>1430416</v>
      </c>
      <c r="G1198" s="7"/>
    </row>
    <row r="1199" spans="1:7" x14ac:dyDescent="0.35">
      <c r="A1199" t="str">
        <f>"2009-11-23"</f>
        <v>2009-11-23</v>
      </c>
      <c r="B1199" t="str">
        <f>"51.3747"</f>
        <v>51.3747</v>
      </c>
      <c r="C1199">
        <v>1197</v>
      </c>
      <c r="D1199" s="7">
        <v>51.374699999999997</v>
      </c>
      <c r="E1199" s="7">
        <f t="shared" si="36"/>
        <v>61495.515899999999</v>
      </c>
      <c r="F1199" s="7">
        <f t="shared" si="37"/>
        <v>1432809</v>
      </c>
      <c r="G1199" s="7"/>
    </row>
    <row r="1200" spans="1:7" x14ac:dyDescent="0.35">
      <c r="A1200" t="str">
        <f>"2009-11-24"</f>
        <v>2009-11-24</v>
      </c>
      <c r="B1200" t="str">
        <f>"52.4767"</f>
        <v>52.4767</v>
      </c>
      <c r="C1200">
        <v>1198</v>
      </c>
      <c r="D1200" s="7">
        <v>52.476700000000001</v>
      </c>
      <c r="E1200" s="7">
        <f t="shared" si="36"/>
        <v>62867.086600000002</v>
      </c>
      <c r="F1200" s="7">
        <f t="shared" si="37"/>
        <v>1435204</v>
      </c>
      <c r="G1200" s="7"/>
    </row>
    <row r="1201" spans="1:7" x14ac:dyDescent="0.35">
      <c r="A1201" t="str">
        <f>"2009-11-25"</f>
        <v>2009-11-25</v>
      </c>
      <c r="B1201" t="str">
        <f>"52.9064"</f>
        <v>52.9064</v>
      </c>
      <c r="C1201">
        <v>1199</v>
      </c>
      <c r="D1201" s="7">
        <v>52.906399999999998</v>
      </c>
      <c r="E1201" s="7">
        <f t="shared" si="36"/>
        <v>63434.7736</v>
      </c>
      <c r="F1201" s="7">
        <f t="shared" si="37"/>
        <v>1437601</v>
      </c>
      <c r="G1201" s="7"/>
    </row>
    <row r="1202" spans="1:7" x14ac:dyDescent="0.35">
      <c r="A1202" t="str">
        <f>"2009-12-01"</f>
        <v>2009-12-01</v>
      </c>
      <c r="B1202" t="str">
        <f>"53.9149"</f>
        <v>53.9149</v>
      </c>
      <c r="C1202">
        <v>1200</v>
      </c>
      <c r="D1202" s="7">
        <v>53.914900000000003</v>
      </c>
      <c r="E1202" s="7">
        <f t="shared" si="36"/>
        <v>64697.880000000005</v>
      </c>
      <c r="F1202" s="7">
        <f t="shared" si="37"/>
        <v>1440000</v>
      </c>
      <c r="G1202" s="7"/>
    </row>
    <row r="1203" spans="1:7" x14ac:dyDescent="0.35">
      <c r="A1203" t="str">
        <f>"2009-12-02"</f>
        <v>2009-12-02</v>
      </c>
      <c r="B1203" t="str">
        <f>"54.5124"</f>
        <v>54.5124</v>
      </c>
      <c r="C1203">
        <v>1201</v>
      </c>
      <c r="D1203" s="7">
        <v>54.5124</v>
      </c>
      <c r="E1203" s="7">
        <f t="shared" si="36"/>
        <v>65469.392399999997</v>
      </c>
      <c r="F1203" s="7">
        <f t="shared" si="37"/>
        <v>1442401</v>
      </c>
      <c r="G1203" s="7"/>
    </row>
    <row r="1204" spans="1:7" x14ac:dyDescent="0.35">
      <c r="A1204" t="str">
        <f>"2009-12-03"</f>
        <v>2009-12-03</v>
      </c>
      <c r="B1204" t="str">
        <f>"57.8731"</f>
        <v>57.8731</v>
      </c>
      <c r="C1204">
        <v>1202</v>
      </c>
      <c r="D1204" s="7">
        <v>57.873100000000001</v>
      </c>
      <c r="E1204" s="7">
        <f t="shared" si="36"/>
        <v>69563.466199999995</v>
      </c>
      <c r="F1204" s="7">
        <f t="shared" si="37"/>
        <v>1444804</v>
      </c>
      <c r="G1204" s="7"/>
    </row>
    <row r="1205" spans="1:7" x14ac:dyDescent="0.35">
      <c r="A1205" t="str">
        <f>"2009-12-04"</f>
        <v>2009-12-04</v>
      </c>
      <c r="B1205" t="str">
        <f>"62.8729"</f>
        <v>62.8729</v>
      </c>
      <c r="C1205">
        <v>1203</v>
      </c>
      <c r="D1205" s="7">
        <v>62.872900000000001</v>
      </c>
      <c r="E1205" s="7">
        <f t="shared" si="36"/>
        <v>75636.098700000002</v>
      </c>
      <c r="F1205" s="7">
        <f t="shared" si="37"/>
        <v>1447209</v>
      </c>
      <c r="G1205" s="7"/>
    </row>
    <row r="1206" spans="1:7" x14ac:dyDescent="0.35">
      <c r="A1206" t="str">
        <f>"2009-12-07"</f>
        <v>2009-12-07</v>
      </c>
      <c r="B1206" t="str">
        <f>"66.1343"</f>
        <v>66.1343</v>
      </c>
      <c r="C1206">
        <v>1204</v>
      </c>
      <c r="D1206" s="7">
        <v>66.134299999999996</v>
      </c>
      <c r="E1206" s="7">
        <f t="shared" si="36"/>
        <v>79625.697199999995</v>
      </c>
      <c r="F1206" s="7">
        <f t="shared" si="37"/>
        <v>1449616</v>
      </c>
      <c r="G1206" s="7"/>
    </row>
    <row r="1207" spans="1:7" x14ac:dyDescent="0.35">
      <c r="A1207" t="str">
        <f>"2009-12-08"</f>
        <v>2009-12-08</v>
      </c>
      <c r="B1207" t="str">
        <f>"64.0951"</f>
        <v>64.0951</v>
      </c>
      <c r="C1207">
        <v>1205</v>
      </c>
      <c r="D1207" s="7">
        <v>64.095100000000002</v>
      </c>
      <c r="E1207" s="7">
        <f t="shared" si="36"/>
        <v>77234.595499999996</v>
      </c>
      <c r="F1207" s="7">
        <f t="shared" si="37"/>
        <v>1452025</v>
      </c>
      <c r="G1207" s="7"/>
    </row>
    <row r="1208" spans="1:7" x14ac:dyDescent="0.35">
      <c r="A1208" t="str">
        <f>"2009-12-09"</f>
        <v>2009-12-09</v>
      </c>
      <c r="B1208" t="str">
        <f>"65.5374"</f>
        <v>65.5374</v>
      </c>
      <c r="C1208">
        <v>1206</v>
      </c>
      <c r="D1208" s="7">
        <v>65.537400000000005</v>
      </c>
      <c r="E1208" s="7">
        <f t="shared" si="36"/>
        <v>79038.104400000011</v>
      </c>
      <c r="F1208" s="7">
        <f t="shared" si="37"/>
        <v>1454436</v>
      </c>
      <c r="G1208" s="7"/>
    </row>
    <row r="1209" spans="1:7" x14ac:dyDescent="0.35">
      <c r="A1209" t="str">
        <f>"2009-12-10"</f>
        <v>2009-12-10</v>
      </c>
      <c r="B1209" t="str">
        <f>"65.477"</f>
        <v>65.477</v>
      </c>
      <c r="C1209">
        <v>1207</v>
      </c>
      <c r="D1209" s="7">
        <v>65.477000000000004</v>
      </c>
      <c r="E1209" s="7">
        <f t="shared" si="36"/>
        <v>79030.739000000001</v>
      </c>
      <c r="F1209" s="7">
        <f t="shared" si="37"/>
        <v>1456849</v>
      </c>
      <c r="G1209" s="7"/>
    </row>
    <row r="1210" spans="1:7" x14ac:dyDescent="0.35">
      <c r="A1210" t="str">
        <f>"2009-12-11"</f>
        <v>2009-12-11</v>
      </c>
      <c r="B1210" t="str">
        <f>"64.8507"</f>
        <v>64.8507</v>
      </c>
      <c r="C1210">
        <v>1208</v>
      </c>
      <c r="D1210" s="7">
        <v>64.850700000000003</v>
      </c>
      <c r="E1210" s="7">
        <f t="shared" si="36"/>
        <v>78339.645600000003</v>
      </c>
      <c r="F1210" s="7">
        <f t="shared" si="37"/>
        <v>1459264</v>
      </c>
      <c r="G1210" s="7"/>
    </row>
    <row r="1211" spans="1:7" x14ac:dyDescent="0.35">
      <c r="A1211" t="str">
        <f>"2009-12-14"</f>
        <v>2009-12-14</v>
      </c>
      <c r="B1211" t="str">
        <f>"64.4021"</f>
        <v>64.4021</v>
      </c>
      <c r="C1211">
        <v>1209</v>
      </c>
      <c r="D1211" s="7">
        <v>64.402100000000004</v>
      </c>
      <c r="E1211" s="7">
        <f t="shared" si="36"/>
        <v>77862.138900000005</v>
      </c>
      <c r="F1211" s="7">
        <f t="shared" si="37"/>
        <v>1461681</v>
      </c>
      <c r="G1211" s="7"/>
    </row>
    <row r="1212" spans="1:7" x14ac:dyDescent="0.35">
      <c r="A1212" t="str">
        <f>"2009-12-15"</f>
        <v>2009-12-15</v>
      </c>
      <c r="B1212" t="str">
        <f>"65.1046"</f>
        <v>65.1046</v>
      </c>
      <c r="C1212">
        <v>1210</v>
      </c>
      <c r="D1212" s="7">
        <v>65.104600000000005</v>
      </c>
      <c r="E1212" s="7">
        <f t="shared" si="36"/>
        <v>78776.566000000006</v>
      </c>
      <c r="F1212" s="7">
        <f t="shared" si="37"/>
        <v>1464100</v>
      </c>
      <c r="G1212" s="7"/>
    </row>
    <row r="1213" spans="1:7" x14ac:dyDescent="0.35">
      <c r="A1213" t="str">
        <f>"2009-12-16"</f>
        <v>2009-12-16</v>
      </c>
      <c r="B1213" t="str">
        <f>"64.58"</f>
        <v>64.58</v>
      </c>
      <c r="C1213">
        <v>1211</v>
      </c>
      <c r="D1213" s="7">
        <v>64.58</v>
      </c>
      <c r="E1213" s="7">
        <f t="shared" si="36"/>
        <v>78206.38</v>
      </c>
      <c r="F1213" s="7">
        <f t="shared" si="37"/>
        <v>1466521</v>
      </c>
      <c r="G1213" s="7"/>
    </row>
    <row r="1214" spans="1:7" x14ac:dyDescent="0.35">
      <c r="A1214" t="str">
        <f>"2009-12-17"</f>
        <v>2009-12-17</v>
      </c>
      <c r="B1214" t="str">
        <f>"63.8524"</f>
        <v>63.8524</v>
      </c>
      <c r="C1214">
        <v>1212</v>
      </c>
      <c r="D1214" s="7">
        <v>63.852400000000003</v>
      </c>
      <c r="E1214" s="7">
        <f t="shared" si="36"/>
        <v>77389.108800000002</v>
      </c>
      <c r="F1214" s="7">
        <f t="shared" si="37"/>
        <v>1468944</v>
      </c>
      <c r="G1214" s="7"/>
    </row>
    <row r="1215" spans="1:7" x14ac:dyDescent="0.35">
      <c r="A1215" t="str">
        <f>"2009-12-18"</f>
        <v>2009-12-18</v>
      </c>
      <c r="B1215" t="str">
        <f>"64.2442"</f>
        <v>64.2442</v>
      </c>
      <c r="C1215">
        <v>1213</v>
      </c>
      <c r="D1215" s="7">
        <v>64.244200000000006</v>
      </c>
      <c r="E1215" s="7">
        <f t="shared" si="36"/>
        <v>77928.214600000007</v>
      </c>
      <c r="F1215" s="7">
        <f t="shared" si="37"/>
        <v>1471369</v>
      </c>
      <c r="G1215" s="7"/>
    </row>
    <row r="1216" spans="1:7" x14ac:dyDescent="0.35">
      <c r="A1216" t="str">
        <f>"2009-12-21"</f>
        <v>2009-12-21</v>
      </c>
      <c r="B1216" t="str">
        <f>"64.8827"</f>
        <v>64.8827</v>
      </c>
      <c r="C1216">
        <v>1214</v>
      </c>
      <c r="D1216" s="7">
        <v>64.8827</v>
      </c>
      <c r="E1216" s="7">
        <f t="shared" si="36"/>
        <v>78767.597800000003</v>
      </c>
      <c r="F1216" s="7">
        <f t="shared" si="37"/>
        <v>1473796</v>
      </c>
      <c r="G1216" s="7"/>
    </row>
    <row r="1217" spans="1:7" x14ac:dyDescent="0.35">
      <c r="A1217" t="str">
        <f>"2009-12-22"</f>
        <v>2009-12-22</v>
      </c>
      <c r="B1217" t="str">
        <f>"66.6954"</f>
        <v>66.6954</v>
      </c>
      <c r="C1217">
        <v>1215</v>
      </c>
      <c r="D1217" s="7">
        <v>66.695400000000006</v>
      </c>
      <c r="E1217" s="7">
        <f t="shared" si="36"/>
        <v>81034.911000000007</v>
      </c>
      <c r="F1217" s="7">
        <f t="shared" si="37"/>
        <v>1476225</v>
      </c>
      <c r="G1217" s="7"/>
    </row>
    <row r="1218" spans="1:7" x14ac:dyDescent="0.35">
      <c r="A1218" t="str">
        <f>"2009-12-23"</f>
        <v>2009-12-23</v>
      </c>
      <c r="B1218" t="str">
        <f>"66.4768"</f>
        <v>66.4768</v>
      </c>
      <c r="C1218">
        <v>1216</v>
      </c>
      <c r="D1218" s="7">
        <v>66.476799999999997</v>
      </c>
      <c r="E1218" s="7">
        <f t="shared" si="36"/>
        <v>80835.788799999995</v>
      </c>
      <c r="F1218" s="7">
        <f t="shared" si="37"/>
        <v>1478656</v>
      </c>
      <c r="G1218" s="7"/>
    </row>
    <row r="1219" spans="1:7" x14ac:dyDescent="0.35">
      <c r="A1219" t="str">
        <f>"2009-12-24"</f>
        <v>2009-12-24</v>
      </c>
      <c r="B1219" t="str">
        <f>"66.0787"</f>
        <v>66.0787</v>
      </c>
      <c r="C1219">
        <v>1217</v>
      </c>
      <c r="D1219" s="7">
        <v>66.078699999999998</v>
      </c>
      <c r="E1219" s="7">
        <f t="shared" si="36"/>
        <v>80417.777900000001</v>
      </c>
      <c r="F1219" s="7">
        <f t="shared" si="37"/>
        <v>1481089</v>
      </c>
      <c r="G1219" s="7"/>
    </row>
    <row r="1220" spans="1:7" x14ac:dyDescent="0.35">
      <c r="A1220" t="str">
        <f>"2009-12-28"</f>
        <v>2009-12-28</v>
      </c>
      <c r="B1220" t="str">
        <f>"65.4307"</f>
        <v>65.4307</v>
      </c>
      <c r="C1220">
        <v>1218</v>
      </c>
      <c r="D1220" s="7">
        <v>65.430700000000002</v>
      </c>
      <c r="E1220" s="7">
        <f t="shared" ref="E1220:E1283" si="38">C1220*D1220</f>
        <v>79694.592600000004</v>
      </c>
      <c r="F1220" s="7">
        <f t="shared" ref="F1220:F1283" si="39">C1220*C1220</f>
        <v>1483524</v>
      </c>
      <c r="G1220" s="7"/>
    </row>
    <row r="1221" spans="1:7" x14ac:dyDescent="0.35">
      <c r="A1221" t="str">
        <f>"2009-12-29"</f>
        <v>2009-12-29</v>
      </c>
      <c r="B1221" t="str">
        <f>"66.6959"</f>
        <v>66.6959</v>
      </c>
      <c r="C1221">
        <v>1219</v>
      </c>
      <c r="D1221" s="7">
        <v>66.695899999999995</v>
      </c>
      <c r="E1221" s="7">
        <f t="shared" si="38"/>
        <v>81302.302099999986</v>
      </c>
      <c r="F1221" s="7">
        <f t="shared" si="39"/>
        <v>1485961</v>
      </c>
      <c r="G1221" s="7"/>
    </row>
    <row r="1222" spans="1:7" x14ac:dyDescent="0.35">
      <c r="A1222" t="str">
        <f>"2009-12-30"</f>
        <v>2009-12-30</v>
      </c>
      <c r="B1222" t="str">
        <f>"67.063"</f>
        <v>67.063</v>
      </c>
      <c r="C1222">
        <v>1220</v>
      </c>
      <c r="D1222" s="7">
        <v>67.063000000000002</v>
      </c>
      <c r="E1222" s="7">
        <f t="shared" si="38"/>
        <v>81816.86</v>
      </c>
      <c r="F1222" s="7">
        <f t="shared" si="39"/>
        <v>1488400</v>
      </c>
      <c r="G1222" s="7"/>
    </row>
    <row r="1223" spans="1:7" x14ac:dyDescent="0.35">
      <c r="A1223" t="str">
        <f>"2009-12-31"</f>
        <v>2009-12-31</v>
      </c>
      <c r="B1223" t="str">
        <f>"67.9013"</f>
        <v>67.9013</v>
      </c>
      <c r="C1223">
        <v>1221</v>
      </c>
      <c r="D1223" s="7">
        <v>67.901300000000006</v>
      </c>
      <c r="E1223" s="7">
        <f t="shared" si="38"/>
        <v>82907.487300000008</v>
      </c>
      <c r="F1223" s="7">
        <f t="shared" si="39"/>
        <v>1490841</v>
      </c>
      <c r="G1223" s="7"/>
    </row>
    <row r="1224" spans="1:7" x14ac:dyDescent="0.35">
      <c r="A1224" t="str">
        <f>"2010-01-04"</f>
        <v>2010-01-04</v>
      </c>
      <c r="B1224" t="str">
        <f>"68.8703"</f>
        <v>68.8703</v>
      </c>
      <c r="C1224">
        <v>1222</v>
      </c>
      <c r="D1224" s="7">
        <v>68.8703</v>
      </c>
      <c r="E1224" s="7">
        <f t="shared" si="38"/>
        <v>84159.506599999993</v>
      </c>
      <c r="F1224" s="7">
        <f t="shared" si="39"/>
        <v>1493284</v>
      </c>
      <c r="G1224" s="7"/>
    </row>
    <row r="1225" spans="1:7" x14ac:dyDescent="0.35">
      <c r="A1225" t="str">
        <f>"2010-01-05"</f>
        <v>2010-01-05</v>
      </c>
      <c r="B1225" t="str">
        <f>"68.8644"</f>
        <v>68.8644</v>
      </c>
      <c r="C1225">
        <v>1223</v>
      </c>
      <c r="D1225" s="7">
        <v>68.864400000000003</v>
      </c>
      <c r="E1225" s="7">
        <f t="shared" si="38"/>
        <v>84221.161200000002</v>
      </c>
      <c r="F1225" s="7">
        <f t="shared" si="39"/>
        <v>1495729</v>
      </c>
      <c r="G1225" s="7"/>
    </row>
    <row r="1226" spans="1:7" x14ac:dyDescent="0.35">
      <c r="A1226" t="str">
        <f>"2010-01-06"</f>
        <v>2010-01-06</v>
      </c>
      <c r="B1226" t="str">
        <f>"67.2552"</f>
        <v>67.2552</v>
      </c>
      <c r="C1226">
        <v>1224</v>
      </c>
      <c r="D1226" s="7">
        <v>67.255200000000002</v>
      </c>
      <c r="E1226" s="7">
        <f t="shared" si="38"/>
        <v>82320.364799999996</v>
      </c>
      <c r="F1226" s="7">
        <f t="shared" si="39"/>
        <v>1498176</v>
      </c>
      <c r="G1226" s="7"/>
    </row>
    <row r="1227" spans="1:7" x14ac:dyDescent="0.35">
      <c r="A1227" t="str">
        <f>"2010-01-07"</f>
        <v>2010-01-07</v>
      </c>
      <c r="B1227" t="str">
        <f>"66.2341"</f>
        <v>66.2341</v>
      </c>
      <c r="C1227">
        <v>1225</v>
      </c>
      <c r="D1227" s="7">
        <v>66.234099999999998</v>
      </c>
      <c r="E1227" s="7">
        <f t="shared" si="38"/>
        <v>81136.772499999992</v>
      </c>
      <c r="F1227" s="7">
        <f t="shared" si="39"/>
        <v>1500625</v>
      </c>
      <c r="G1227" s="7"/>
    </row>
    <row r="1228" spans="1:7" x14ac:dyDescent="0.35">
      <c r="A1228" t="str">
        <f>"2010-01-08"</f>
        <v>2010-01-08</v>
      </c>
      <c r="B1228" t="str">
        <f>"65.3595"</f>
        <v>65.3595</v>
      </c>
      <c r="C1228">
        <v>1226</v>
      </c>
      <c r="D1228" s="7">
        <v>65.359499999999997</v>
      </c>
      <c r="E1228" s="7">
        <f t="shared" si="38"/>
        <v>80130.747000000003</v>
      </c>
      <c r="F1228" s="7">
        <f t="shared" si="39"/>
        <v>1503076</v>
      </c>
      <c r="G1228" s="7"/>
    </row>
    <row r="1229" spans="1:7" x14ac:dyDescent="0.35">
      <c r="A1229" t="str">
        <f>"2010-01-11"</f>
        <v>2010-01-11</v>
      </c>
      <c r="B1229" t="str">
        <f>"64.9972"</f>
        <v>64.9972</v>
      </c>
      <c r="C1229">
        <v>1227</v>
      </c>
      <c r="D1229" s="7">
        <v>64.997200000000007</v>
      </c>
      <c r="E1229" s="7">
        <f t="shared" si="38"/>
        <v>79751.564400000003</v>
      </c>
      <c r="F1229" s="7">
        <f t="shared" si="39"/>
        <v>1505529</v>
      </c>
      <c r="G1229" s="7"/>
    </row>
    <row r="1230" spans="1:7" x14ac:dyDescent="0.35">
      <c r="A1230" t="str">
        <f>"2010-01-12"</f>
        <v>2010-01-12</v>
      </c>
      <c r="B1230" t="str">
        <f>"64.9001"</f>
        <v>64.9001</v>
      </c>
      <c r="C1230">
        <v>1228</v>
      </c>
      <c r="D1230" s="7">
        <v>64.900099999999995</v>
      </c>
      <c r="E1230" s="7">
        <f t="shared" si="38"/>
        <v>79697.322799999994</v>
      </c>
      <c r="F1230" s="7">
        <f t="shared" si="39"/>
        <v>1507984</v>
      </c>
      <c r="G1230" s="7"/>
    </row>
    <row r="1231" spans="1:7" x14ac:dyDescent="0.35">
      <c r="A1231" t="str">
        <f>"2010-01-13"</f>
        <v>2010-01-13</v>
      </c>
      <c r="B1231" t="str">
        <f>"66.9471"</f>
        <v>66.9471</v>
      </c>
      <c r="C1231">
        <v>1229</v>
      </c>
      <c r="D1231" s="7">
        <v>66.947100000000006</v>
      </c>
      <c r="E1231" s="7">
        <f t="shared" si="38"/>
        <v>82277.985900000014</v>
      </c>
      <c r="F1231" s="7">
        <f t="shared" si="39"/>
        <v>1510441</v>
      </c>
      <c r="G1231" s="7"/>
    </row>
    <row r="1232" spans="1:7" x14ac:dyDescent="0.35">
      <c r="A1232" t="str">
        <f>"2010-01-14"</f>
        <v>2010-01-14</v>
      </c>
      <c r="B1232" t="str">
        <f>"67.6191"</f>
        <v>67.6191</v>
      </c>
      <c r="C1232">
        <v>1230</v>
      </c>
      <c r="D1232" s="7">
        <v>67.619100000000003</v>
      </c>
      <c r="E1232" s="7">
        <f t="shared" si="38"/>
        <v>83171.493000000002</v>
      </c>
      <c r="F1232" s="7">
        <f t="shared" si="39"/>
        <v>1512900</v>
      </c>
      <c r="G1232" s="7"/>
    </row>
    <row r="1233" spans="1:7" x14ac:dyDescent="0.35">
      <c r="A1233" t="str">
        <f>"2010-01-15"</f>
        <v>2010-01-15</v>
      </c>
      <c r="B1233" t="str">
        <f>"67.1169"</f>
        <v>67.1169</v>
      </c>
      <c r="C1233">
        <v>1231</v>
      </c>
      <c r="D1233" s="7">
        <v>67.116900000000001</v>
      </c>
      <c r="E1233" s="7">
        <f t="shared" si="38"/>
        <v>82620.903900000005</v>
      </c>
      <c r="F1233" s="7">
        <f t="shared" si="39"/>
        <v>1515361</v>
      </c>
      <c r="G1233" s="7"/>
    </row>
    <row r="1234" spans="1:7" x14ac:dyDescent="0.35">
      <c r="A1234" t="str">
        <f>"2010-01-19"</f>
        <v>2010-01-19</v>
      </c>
      <c r="B1234" t="str">
        <f>"66.5744"</f>
        <v>66.5744</v>
      </c>
      <c r="C1234">
        <v>1232</v>
      </c>
      <c r="D1234" s="7">
        <v>66.574399999999997</v>
      </c>
      <c r="E1234" s="7">
        <f t="shared" si="38"/>
        <v>82019.660799999998</v>
      </c>
      <c r="F1234" s="7">
        <f t="shared" si="39"/>
        <v>1517824</v>
      </c>
      <c r="G1234" s="7"/>
    </row>
    <row r="1235" spans="1:7" x14ac:dyDescent="0.35">
      <c r="A1235" t="str">
        <f>"2010-01-20"</f>
        <v>2010-01-20</v>
      </c>
      <c r="B1235" t="str">
        <f>"67.4314"</f>
        <v>67.4314</v>
      </c>
      <c r="C1235">
        <v>1233</v>
      </c>
      <c r="D1235" s="7">
        <v>67.431399999999996</v>
      </c>
      <c r="E1235" s="7">
        <f t="shared" si="38"/>
        <v>83142.916199999992</v>
      </c>
      <c r="F1235" s="7">
        <f t="shared" si="39"/>
        <v>1520289</v>
      </c>
      <c r="G1235" s="7"/>
    </row>
    <row r="1236" spans="1:7" x14ac:dyDescent="0.35">
      <c r="A1236" t="str">
        <f>"2010-01-21"</f>
        <v>2010-01-21</v>
      </c>
      <c r="B1236" t="str">
        <f>"66.1969"</f>
        <v>66.1969</v>
      </c>
      <c r="C1236">
        <v>1234</v>
      </c>
      <c r="D1236" s="7">
        <v>66.196899999999999</v>
      </c>
      <c r="E1236" s="7">
        <f t="shared" si="38"/>
        <v>81686.974600000001</v>
      </c>
      <c r="F1236" s="7">
        <f t="shared" si="39"/>
        <v>1522756</v>
      </c>
      <c r="G1236" s="7"/>
    </row>
    <row r="1237" spans="1:7" x14ac:dyDescent="0.35">
      <c r="A1237" t="str">
        <f>"2010-01-22"</f>
        <v>2010-01-22</v>
      </c>
      <c r="B1237" t="str">
        <f>"65.6839"</f>
        <v>65.6839</v>
      </c>
      <c r="C1237">
        <v>1235</v>
      </c>
      <c r="D1237" s="7">
        <v>65.683899999999994</v>
      </c>
      <c r="E1237" s="7">
        <f t="shared" si="38"/>
        <v>81119.616499999989</v>
      </c>
      <c r="F1237" s="7">
        <f t="shared" si="39"/>
        <v>1525225</v>
      </c>
      <c r="G1237" s="7"/>
    </row>
    <row r="1238" spans="1:7" x14ac:dyDescent="0.35">
      <c r="A1238" t="str">
        <f>"2010-01-25"</f>
        <v>2010-01-25</v>
      </c>
      <c r="B1238" t="str">
        <f>"65.4296"</f>
        <v>65.4296</v>
      </c>
      <c r="C1238">
        <v>1236</v>
      </c>
      <c r="D1238" s="7">
        <v>65.429599999999994</v>
      </c>
      <c r="E1238" s="7">
        <f t="shared" si="38"/>
        <v>80870.985599999985</v>
      </c>
      <c r="F1238" s="7">
        <f t="shared" si="39"/>
        <v>1527696</v>
      </c>
      <c r="G1238" s="7"/>
    </row>
    <row r="1239" spans="1:7" x14ac:dyDescent="0.35">
      <c r="A1239" t="str">
        <f>"2010-01-26"</f>
        <v>2010-01-26</v>
      </c>
      <c r="B1239" t="str">
        <f>"66.8971"</f>
        <v>66.8971</v>
      </c>
      <c r="C1239">
        <v>1237</v>
      </c>
      <c r="D1239" s="7">
        <v>66.897099999999995</v>
      </c>
      <c r="E1239" s="7">
        <f t="shared" si="38"/>
        <v>82751.712699999989</v>
      </c>
      <c r="F1239" s="7">
        <f t="shared" si="39"/>
        <v>1530169</v>
      </c>
      <c r="G1239" s="7"/>
    </row>
    <row r="1240" spans="1:7" x14ac:dyDescent="0.35">
      <c r="A1240" t="str">
        <f>"2010-01-27"</f>
        <v>2010-01-27</v>
      </c>
      <c r="B1240" t="str">
        <f>"66.7436"</f>
        <v>66.7436</v>
      </c>
      <c r="C1240">
        <v>1238</v>
      </c>
      <c r="D1240" s="7">
        <v>66.743600000000001</v>
      </c>
      <c r="E1240" s="7">
        <f t="shared" si="38"/>
        <v>82628.576799999995</v>
      </c>
      <c r="F1240" s="7">
        <f t="shared" si="39"/>
        <v>1532644</v>
      </c>
      <c r="G1240" s="7"/>
    </row>
    <row r="1241" spans="1:7" x14ac:dyDescent="0.35">
      <c r="A1241" t="str">
        <f>"2010-01-28"</f>
        <v>2010-01-28</v>
      </c>
      <c r="B1241" t="str">
        <f>"66.8687"</f>
        <v>66.8687</v>
      </c>
      <c r="C1241">
        <v>1239</v>
      </c>
      <c r="D1241" s="7">
        <v>66.868700000000004</v>
      </c>
      <c r="E1241" s="7">
        <f t="shared" si="38"/>
        <v>82850.319300000003</v>
      </c>
      <c r="F1241" s="7">
        <f t="shared" si="39"/>
        <v>1535121</v>
      </c>
      <c r="G1241" s="7"/>
    </row>
    <row r="1242" spans="1:7" x14ac:dyDescent="0.35">
      <c r="A1242" t="str">
        <f>"2010-01-29"</f>
        <v>2010-01-29</v>
      </c>
      <c r="B1242" t="str">
        <f>"66.3285"</f>
        <v>66.3285</v>
      </c>
      <c r="C1242">
        <v>1240</v>
      </c>
      <c r="D1242" s="7">
        <v>66.328500000000005</v>
      </c>
      <c r="E1242" s="7">
        <f t="shared" si="38"/>
        <v>82247.340000000011</v>
      </c>
      <c r="F1242" s="7">
        <f t="shared" si="39"/>
        <v>1537600</v>
      </c>
      <c r="G1242" s="7"/>
    </row>
    <row r="1243" spans="1:7" x14ac:dyDescent="0.35">
      <c r="A1243" t="str">
        <f>"2010-02-01"</f>
        <v>2010-02-01</v>
      </c>
      <c r="B1243" t="str">
        <f>"67.4663"</f>
        <v>67.4663</v>
      </c>
      <c r="C1243">
        <v>1241</v>
      </c>
      <c r="D1243" s="7">
        <v>67.466300000000004</v>
      </c>
      <c r="E1243" s="7">
        <f t="shared" si="38"/>
        <v>83725.6783</v>
      </c>
      <c r="F1243" s="7">
        <f t="shared" si="39"/>
        <v>1540081</v>
      </c>
      <c r="G1243" s="7"/>
    </row>
    <row r="1244" spans="1:7" x14ac:dyDescent="0.35">
      <c r="A1244" t="str">
        <f>"2010-02-02"</f>
        <v>2010-02-02</v>
      </c>
      <c r="B1244" t="str">
        <f>"65.2953"</f>
        <v>65.2953</v>
      </c>
      <c r="C1244">
        <v>1242</v>
      </c>
      <c r="D1244" s="7">
        <v>65.295299999999997</v>
      </c>
      <c r="E1244" s="7">
        <f t="shared" si="38"/>
        <v>81096.762600000002</v>
      </c>
      <c r="F1244" s="7">
        <f t="shared" si="39"/>
        <v>1542564</v>
      </c>
      <c r="G1244" s="7"/>
    </row>
    <row r="1245" spans="1:7" x14ac:dyDescent="0.35">
      <c r="A1245" t="str">
        <f>"2010-02-03"</f>
        <v>2010-02-03</v>
      </c>
      <c r="B1245" t="str">
        <f>"66.0092"</f>
        <v>66.0092</v>
      </c>
      <c r="C1245">
        <v>1243</v>
      </c>
      <c r="D1245" s="7">
        <v>66.009200000000007</v>
      </c>
      <c r="E1245" s="7">
        <f t="shared" si="38"/>
        <v>82049.435600000012</v>
      </c>
      <c r="F1245" s="7">
        <f t="shared" si="39"/>
        <v>1545049</v>
      </c>
      <c r="G1245" s="7"/>
    </row>
    <row r="1246" spans="1:7" x14ac:dyDescent="0.35">
      <c r="A1246" t="str">
        <f>"2010-02-04"</f>
        <v>2010-02-04</v>
      </c>
      <c r="B1246" t="str">
        <f>"67.737"</f>
        <v>67.737</v>
      </c>
      <c r="C1246">
        <v>1244</v>
      </c>
      <c r="D1246" s="7">
        <v>67.736999999999995</v>
      </c>
      <c r="E1246" s="7">
        <f t="shared" si="38"/>
        <v>84264.827999999994</v>
      </c>
      <c r="F1246" s="7">
        <f t="shared" si="39"/>
        <v>1547536</v>
      </c>
      <c r="G1246" s="7"/>
    </row>
    <row r="1247" spans="1:7" x14ac:dyDescent="0.35">
      <c r="A1247" t="str">
        <f>"2010-02-05"</f>
        <v>2010-02-05</v>
      </c>
      <c r="B1247" t="str">
        <f>"64.4087"</f>
        <v>64.4087</v>
      </c>
      <c r="C1247">
        <v>1245</v>
      </c>
      <c r="D1247" s="7">
        <v>64.408699999999996</v>
      </c>
      <c r="E1247" s="7">
        <f t="shared" si="38"/>
        <v>80188.8315</v>
      </c>
      <c r="F1247" s="7">
        <f t="shared" si="39"/>
        <v>1550025</v>
      </c>
      <c r="G1247" s="7"/>
    </row>
    <row r="1248" spans="1:7" x14ac:dyDescent="0.35">
      <c r="A1248" t="str">
        <f>"2010-02-08"</f>
        <v>2010-02-08</v>
      </c>
      <c r="B1248" t="str">
        <f>"60.7834"</f>
        <v>60.7834</v>
      </c>
      <c r="C1248">
        <v>1246</v>
      </c>
      <c r="D1248" s="7">
        <v>60.7834</v>
      </c>
      <c r="E1248" s="7">
        <f t="shared" si="38"/>
        <v>75736.116399999999</v>
      </c>
      <c r="F1248" s="7">
        <f t="shared" si="39"/>
        <v>1552516</v>
      </c>
      <c r="G1248" s="7"/>
    </row>
    <row r="1249" spans="1:7" x14ac:dyDescent="0.35">
      <c r="A1249" t="str">
        <f>"2010-02-09"</f>
        <v>2010-02-09</v>
      </c>
      <c r="B1249" t="str">
        <f>"61.9846"</f>
        <v>61.9846</v>
      </c>
      <c r="C1249">
        <v>1247</v>
      </c>
      <c r="D1249" s="7">
        <v>61.9846</v>
      </c>
      <c r="E1249" s="7">
        <f t="shared" si="38"/>
        <v>77294.796199999997</v>
      </c>
      <c r="F1249" s="7">
        <f t="shared" si="39"/>
        <v>1555009</v>
      </c>
      <c r="G1249" s="7"/>
    </row>
    <row r="1250" spans="1:7" x14ac:dyDescent="0.35">
      <c r="A1250" t="str">
        <f>"2010-02-10"</f>
        <v>2010-02-10</v>
      </c>
      <c r="B1250" t="str">
        <f>"61.7008"</f>
        <v>61.7008</v>
      </c>
      <c r="C1250">
        <v>1248</v>
      </c>
      <c r="D1250" s="7">
        <v>61.700800000000001</v>
      </c>
      <c r="E1250" s="7">
        <f t="shared" si="38"/>
        <v>77002.598400000003</v>
      </c>
      <c r="F1250" s="7">
        <f t="shared" si="39"/>
        <v>1557504</v>
      </c>
      <c r="G1250" s="7"/>
    </row>
    <row r="1251" spans="1:7" x14ac:dyDescent="0.35">
      <c r="A1251" t="str">
        <f>"2010-02-11"</f>
        <v>2010-02-11</v>
      </c>
      <c r="B1251" t="str">
        <f>"62.0246"</f>
        <v>62.0246</v>
      </c>
      <c r="C1251">
        <v>1249</v>
      </c>
      <c r="D1251" s="7">
        <v>62.0246</v>
      </c>
      <c r="E1251" s="7">
        <f t="shared" si="38"/>
        <v>77468.725399999996</v>
      </c>
      <c r="F1251" s="7">
        <f t="shared" si="39"/>
        <v>1560001</v>
      </c>
      <c r="G1251" s="7"/>
    </row>
    <row r="1252" spans="1:7" x14ac:dyDescent="0.35">
      <c r="A1252" t="str">
        <f>"2010-02-12"</f>
        <v>2010-02-12</v>
      </c>
      <c r="B1252" t="str">
        <f>"60.9651"</f>
        <v>60.9651</v>
      </c>
      <c r="C1252">
        <v>1250</v>
      </c>
      <c r="D1252" s="7">
        <v>60.9651</v>
      </c>
      <c r="E1252" s="7">
        <f t="shared" si="38"/>
        <v>76206.375</v>
      </c>
      <c r="F1252" s="7">
        <f t="shared" si="39"/>
        <v>1562500</v>
      </c>
      <c r="G1252" s="7"/>
    </row>
    <row r="1253" spans="1:7" x14ac:dyDescent="0.35">
      <c r="A1253" t="str">
        <f>"2010-02-16"</f>
        <v>2010-02-16</v>
      </c>
      <c r="B1253" t="str">
        <f>"63.2042"</f>
        <v>63.2042</v>
      </c>
      <c r="C1253">
        <v>1251</v>
      </c>
      <c r="D1253" s="7">
        <v>63.2042</v>
      </c>
      <c r="E1253" s="7">
        <f t="shared" si="38"/>
        <v>79068.454200000007</v>
      </c>
      <c r="F1253" s="7">
        <f t="shared" si="39"/>
        <v>1565001</v>
      </c>
      <c r="G1253" s="7"/>
    </row>
    <row r="1254" spans="1:7" x14ac:dyDescent="0.35">
      <c r="A1254" t="str">
        <f>"2010-02-17"</f>
        <v>2010-02-17</v>
      </c>
      <c r="B1254" t="str">
        <f>"62.9379"</f>
        <v>62.9379</v>
      </c>
      <c r="C1254">
        <v>1252</v>
      </c>
      <c r="D1254" s="7">
        <v>62.937899999999999</v>
      </c>
      <c r="E1254" s="7">
        <f t="shared" si="38"/>
        <v>78798.250799999994</v>
      </c>
      <c r="F1254" s="7">
        <f t="shared" si="39"/>
        <v>1567504</v>
      </c>
      <c r="G1254" s="7"/>
    </row>
    <row r="1255" spans="1:7" x14ac:dyDescent="0.35">
      <c r="A1255" t="str">
        <f>"2010-02-18"</f>
        <v>2010-02-18</v>
      </c>
      <c r="B1255" t="str">
        <f>"61.2875"</f>
        <v>61.2875</v>
      </c>
      <c r="C1255">
        <v>1253</v>
      </c>
      <c r="D1255" s="7">
        <v>61.287500000000001</v>
      </c>
      <c r="E1255" s="7">
        <f t="shared" si="38"/>
        <v>76793.237500000003</v>
      </c>
      <c r="F1255" s="7">
        <f t="shared" si="39"/>
        <v>1570009</v>
      </c>
      <c r="G1255" s="7"/>
    </row>
    <row r="1256" spans="1:7" x14ac:dyDescent="0.35">
      <c r="A1256" t="str">
        <f>"2010-02-19"</f>
        <v>2010-02-19</v>
      </c>
      <c r="B1256" t="str">
        <f>"64.009"</f>
        <v>64.009</v>
      </c>
      <c r="C1256">
        <v>1254</v>
      </c>
      <c r="D1256" s="7">
        <v>64.009</v>
      </c>
      <c r="E1256" s="7">
        <f t="shared" si="38"/>
        <v>80267.286000000007</v>
      </c>
      <c r="F1256" s="7">
        <f t="shared" si="39"/>
        <v>1572516</v>
      </c>
      <c r="G1256" s="7"/>
    </row>
    <row r="1257" spans="1:7" x14ac:dyDescent="0.35">
      <c r="A1257" t="str">
        <f>"2010-02-22"</f>
        <v>2010-02-22</v>
      </c>
      <c r="B1257" t="str">
        <f>"62.6033"</f>
        <v>62.6033</v>
      </c>
      <c r="C1257">
        <v>1255</v>
      </c>
      <c r="D1257" s="7">
        <v>62.603299999999997</v>
      </c>
      <c r="E1257" s="7">
        <f t="shared" si="38"/>
        <v>78567.141499999998</v>
      </c>
      <c r="F1257" s="7">
        <f t="shared" si="39"/>
        <v>1575025</v>
      </c>
      <c r="G1257" s="7"/>
    </row>
    <row r="1258" spans="1:7" x14ac:dyDescent="0.35">
      <c r="A1258" t="str">
        <f>"2010-02-23"</f>
        <v>2010-02-23</v>
      </c>
      <c r="B1258" t="str">
        <f>"61.1281"</f>
        <v>61.1281</v>
      </c>
      <c r="C1258">
        <v>1256</v>
      </c>
      <c r="D1258" s="7">
        <v>61.128100000000003</v>
      </c>
      <c r="E1258" s="7">
        <f t="shared" si="38"/>
        <v>76776.89360000001</v>
      </c>
      <c r="F1258" s="7">
        <f t="shared" si="39"/>
        <v>1577536</v>
      </c>
      <c r="G1258" s="7"/>
    </row>
    <row r="1259" spans="1:7" x14ac:dyDescent="0.35">
      <c r="A1259" t="str">
        <f>"2010-02-24"</f>
        <v>2010-02-24</v>
      </c>
      <c r="B1259" t="str">
        <f>"58.129"</f>
        <v>58.129</v>
      </c>
      <c r="C1259">
        <v>1257</v>
      </c>
      <c r="D1259" s="7">
        <v>58.128999999999998</v>
      </c>
      <c r="E1259" s="7">
        <f t="shared" si="38"/>
        <v>73068.152999999991</v>
      </c>
      <c r="F1259" s="7">
        <f t="shared" si="39"/>
        <v>1580049</v>
      </c>
      <c r="G1259" s="7"/>
    </row>
    <row r="1260" spans="1:7" x14ac:dyDescent="0.35">
      <c r="A1260" t="str">
        <f>"2010-02-25"</f>
        <v>2010-02-25</v>
      </c>
      <c r="B1260" t="str">
        <f>"55.2561"</f>
        <v>55.2561</v>
      </c>
      <c r="C1260">
        <v>1258</v>
      </c>
      <c r="D1260" s="7">
        <v>55.256100000000004</v>
      </c>
      <c r="E1260" s="7">
        <f t="shared" si="38"/>
        <v>69512.173800000004</v>
      </c>
      <c r="F1260" s="7">
        <f t="shared" si="39"/>
        <v>1582564</v>
      </c>
      <c r="G1260" s="7"/>
    </row>
    <row r="1261" spans="1:7" x14ac:dyDescent="0.35">
      <c r="A1261" t="str">
        <f>"2010-02-26"</f>
        <v>2010-02-26</v>
      </c>
      <c r="B1261" t="str">
        <f>"55.2005"</f>
        <v>55.2005</v>
      </c>
      <c r="C1261">
        <v>1259</v>
      </c>
      <c r="D1261" s="7">
        <v>55.200499999999998</v>
      </c>
      <c r="E1261" s="7">
        <f t="shared" si="38"/>
        <v>69497.429499999998</v>
      </c>
      <c r="F1261" s="7">
        <f t="shared" si="39"/>
        <v>1585081</v>
      </c>
      <c r="G1261" s="7"/>
    </row>
    <row r="1262" spans="1:7" x14ac:dyDescent="0.35">
      <c r="A1262" t="str">
        <f>"2010-03-01"</f>
        <v>2010-03-01</v>
      </c>
      <c r="B1262" t="str">
        <f>"58.1302"</f>
        <v>58.1302</v>
      </c>
      <c r="C1262">
        <v>1260</v>
      </c>
      <c r="D1262" s="7">
        <v>58.130200000000002</v>
      </c>
      <c r="E1262" s="7">
        <f t="shared" si="38"/>
        <v>73244.051999999996</v>
      </c>
      <c r="F1262" s="7">
        <f t="shared" si="39"/>
        <v>1587600</v>
      </c>
      <c r="G1262" s="7"/>
    </row>
    <row r="1263" spans="1:7" x14ac:dyDescent="0.35">
      <c r="A1263" t="str">
        <f>"2010-03-02"</f>
        <v>2010-03-02</v>
      </c>
      <c r="B1263" t="str">
        <f>"58.2385"</f>
        <v>58.2385</v>
      </c>
      <c r="C1263">
        <v>1261</v>
      </c>
      <c r="D1263" s="7">
        <v>58.238500000000002</v>
      </c>
      <c r="E1263" s="7">
        <f t="shared" si="38"/>
        <v>73438.748500000002</v>
      </c>
      <c r="F1263" s="7">
        <f t="shared" si="39"/>
        <v>1590121</v>
      </c>
      <c r="G1263" s="7"/>
    </row>
    <row r="1264" spans="1:7" x14ac:dyDescent="0.35">
      <c r="A1264" t="str">
        <f>"2010-03-03"</f>
        <v>2010-03-03</v>
      </c>
      <c r="B1264" t="str">
        <f>"58.3912"</f>
        <v>58.3912</v>
      </c>
      <c r="C1264">
        <v>1262</v>
      </c>
      <c r="D1264" s="7">
        <v>58.391199999999998</v>
      </c>
      <c r="E1264" s="7">
        <f t="shared" si="38"/>
        <v>73689.694399999993</v>
      </c>
      <c r="F1264" s="7">
        <f t="shared" si="39"/>
        <v>1592644</v>
      </c>
      <c r="G1264" s="7"/>
    </row>
    <row r="1265" spans="1:7" x14ac:dyDescent="0.35">
      <c r="A1265" t="str">
        <f>"2010-03-04"</f>
        <v>2010-03-04</v>
      </c>
      <c r="B1265" t="str">
        <f>"58.9453"</f>
        <v>58.9453</v>
      </c>
      <c r="C1265">
        <v>1263</v>
      </c>
      <c r="D1265" s="7">
        <v>58.945300000000003</v>
      </c>
      <c r="E1265" s="7">
        <f t="shared" si="38"/>
        <v>74447.9139</v>
      </c>
      <c r="F1265" s="7">
        <f t="shared" si="39"/>
        <v>1595169</v>
      </c>
      <c r="G1265" s="7"/>
    </row>
    <row r="1266" spans="1:7" x14ac:dyDescent="0.35">
      <c r="A1266" t="str">
        <f>"2010-03-05"</f>
        <v>2010-03-05</v>
      </c>
      <c r="B1266" t="str">
        <f>"60.5016"</f>
        <v>60.5016</v>
      </c>
      <c r="C1266">
        <v>1264</v>
      </c>
      <c r="D1266" s="7">
        <v>60.501600000000003</v>
      </c>
      <c r="E1266" s="7">
        <f t="shared" si="38"/>
        <v>76474.022400000002</v>
      </c>
      <c r="F1266" s="7">
        <f t="shared" si="39"/>
        <v>1597696</v>
      </c>
      <c r="G1266" s="7"/>
    </row>
    <row r="1267" spans="1:7" x14ac:dyDescent="0.35">
      <c r="A1267" t="str">
        <f>"2010-03-08"</f>
        <v>2010-03-08</v>
      </c>
      <c r="B1267" t="str">
        <f>"61.9176"</f>
        <v>61.9176</v>
      </c>
      <c r="C1267">
        <v>1265</v>
      </c>
      <c r="D1267" s="7">
        <v>61.9176</v>
      </c>
      <c r="E1267" s="7">
        <f t="shared" si="38"/>
        <v>78325.763999999996</v>
      </c>
      <c r="F1267" s="7">
        <f t="shared" si="39"/>
        <v>1600225</v>
      </c>
      <c r="G1267" s="7"/>
    </row>
    <row r="1268" spans="1:7" x14ac:dyDescent="0.35">
      <c r="A1268" t="str">
        <f>"2010-03-09"</f>
        <v>2010-03-09</v>
      </c>
      <c r="B1268" t="str">
        <f>"61.3476"</f>
        <v>61.3476</v>
      </c>
      <c r="C1268">
        <v>1266</v>
      </c>
      <c r="D1268" s="7">
        <v>61.3476</v>
      </c>
      <c r="E1268" s="7">
        <f t="shared" si="38"/>
        <v>77666.061600000001</v>
      </c>
      <c r="F1268" s="7">
        <f t="shared" si="39"/>
        <v>1602756</v>
      </c>
      <c r="G1268" s="7"/>
    </row>
    <row r="1269" spans="1:7" x14ac:dyDescent="0.35">
      <c r="A1269" t="str">
        <f>"2010-03-10"</f>
        <v>2010-03-10</v>
      </c>
      <c r="B1269" t="str">
        <f>"61.5934"</f>
        <v>61.5934</v>
      </c>
      <c r="C1269">
        <v>1267</v>
      </c>
      <c r="D1269" s="7">
        <v>61.593400000000003</v>
      </c>
      <c r="E1269" s="7">
        <f t="shared" si="38"/>
        <v>78038.837800000008</v>
      </c>
      <c r="F1269" s="7">
        <f t="shared" si="39"/>
        <v>1605289</v>
      </c>
      <c r="G1269" s="7"/>
    </row>
    <row r="1270" spans="1:7" x14ac:dyDescent="0.35">
      <c r="A1270" t="str">
        <f>"2010-03-11"</f>
        <v>2010-03-11</v>
      </c>
      <c r="B1270" t="str">
        <f>"61.6145"</f>
        <v>61.6145</v>
      </c>
      <c r="C1270">
        <v>1268</v>
      </c>
      <c r="D1270" s="7">
        <v>61.6145</v>
      </c>
      <c r="E1270" s="7">
        <f t="shared" si="38"/>
        <v>78127.186000000002</v>
      </c>
      <c r="F1270" s="7">
        <f t="shared" si="39"/>
        <v>1607824</v>
      </c>
      <c r="G1270" s="7"/>
    </row>
    <row r="1271" spans="1:7" x14ac:dyDescent="0.35">
      <c r="A1271" t="str">
        <f>"2010-03-12"</f>
        <v>2010-03-12</v>
      </c>
      <c r="B1271" t="str">
        <f>"62.7266"</f>
        <v>62.7266</v>
      </c>
      <c r="C1271">
        <v>1269</v>
      </c>
      <c r="D1271" s="7">
        <v>62.726599999999998</v>
      </c>
      <c r="E1271" s="7">
        <f t="shared" si="38"/>
        <v>79600.055399999997</v>
      </c>
      <c r="F1271" s="7">
        <f t="shared" si="39"/>
        <v>1610361</v>
      </c>
      <c r="G1271" s="7"/>
    </row>
    <row r="1272" spans="1:7" x14ac:dyDescent="0.35">
      <c r="A1272" t="str">
        <f>"2010-03-15"</f>
        <v>2010-03-15</v>
      </c>
      <c r="B1272" t="str">
        <f>"61.3818"</f>
        <v>61.3818</v>
      </c>
      <c r="C1272">
        <v>1270</v>
      </c>
      <c r="D1272" s="7">
        <v>61.381799999999998</v>
      </c>
      <c r="E1272" s="7">
        <f t="shared" si="38"/>
        <v>77954.885999999999</v>
      </c>
      <c r="F1272" s="7">
        <f t="shared" si="39"/>
        <v>1612900</v>
      </c>
      <c r="G1272" s="7"/>
    </row>
    <row r="1273" spans="1:7" x14ac:dyDescent="0.35">
      <c r="A1273" t="str">
        <f>"2010-03-16"</f>
        <v>2010-03-16</v>
      </c>
      <c r="B1273" t="str">
        <f>"61.267"</f>
        <v>61.267</v>
      </c>
      <c r="C1273">
        <v>1271</v>
      </c>
      <c r="D1273" s="7">
        <v>61.267000000000003</v>
      </c>
      <c r="E1273" s="7">
        <f t="shared" si="38"/>
        <v>77870.357000000004</v>
      </c>
      <c r="F1273" s="7">
        <f t="shared" si="39"/>
        <v>1615441</v>
      </c>
      <c r="G1273" s="7"/>
    </row>
    <row r="1274" spans="1:7" x14ac:dyDescent="0.35">
      <c r="A1274" t="str">
        <f>"2010-03-17"</f>
        <v>2010-03-17</v>
      </c>
      <c r="B1274" t="str">
        <f>"62.1219"</f>
        <v>62.1219</v>
      </c>
      <c r="C1274">
        <v>1272</v>
      </c>
      <c r="D1274" s="7">
        <v>62.121899999999997</v>
      </c>
      <c r="E1274" s="7">
        <f t="shared" si="38"/>
        <v>79019.056799999991</v>
      </c>
      <c r="F1274" s="7">
        <f t="shared" si="39"/>
        <v>1617984</v>
      </c>
      <c r="G1274" s="7"/>
    </row>
    <row r="1275" spans="1:7" x14ac:dyDescent="0.35">
      <c r="A1275" t="str">
        <f>"2010-03-18"</f>
        <v>2010-03-18</v>
      </c>
      <c r="B1275" t="str">
        <f>"60.1874"</f>
        <v>60.1874</v>
      </c>
      <c r="C1275">
        <v>1273</v>
      </c>
      <c r="D1275" s="7">
        <v>60.187399999999997</v>
      </c>
      <c r="E1275" s="7">
        <f t="shared" si="38"/>
        <v>76618.560199999993</v>
      </c>
      <c r="F1275" s="7">
        <f t="shared" si="39"/>
        <v>1620529</v>
      </c>
      <c r="G1275" s="7"/>
    </row>
    <row r="1276" spans="1:7" x14ac:dyDescent="0.35">
      <c r="A1276" t="str">
        <f>"2010-03-19"</f>
        <v>2010-03-19</v>
      </c>
      <c r="B1276" t="str">
        <f>"60.931"</f>
        <v>60.931</v>
      </c>
      <c r="C1276">
        <v>1274</v>
      </c>
      <c r="D1276" s="7">
        <v>60.930999999999997</v>
      </c>
      <c r="E1276" s="7">
        <f t="shared" si="38"/>
        <v>77626.093999999997</v>
      </c>
      <c r="F1276" s="7">
        <f t="shared" si="39"/>
        <v>1623076</v>
      </c>
      <c r="G1276" s="7"/>
    </row>
    <row r="1277" spans="1:7" x14ac:dyDescent="0.35">
      <c r="A1277" t="str">
        <f>"2010-03-22"</f>
        <v>2010-03-22</v>
      </c>
      <c r="B1277" t="str">
        <f>"60.7083"</f>
        <v>60.7083</v>
      </c>
      <c r="C1277">
        <v>1275</v>
      </c>
      <c r="D1277" s="7">
        <v>60.708300000000001</v>
      </c>
      <c r="E1277" s="7">
        <f t="shared" si="38"/>
        <v>77403.082500000004</v>
      </c>
      <c r="F1277" s="7">
        <f t="shared" si="39"/>
        <v>1625625</v>
      </c>
      <c r="G1277" s="7"/>
    </row>
    <row r="1278" spans="1:7" x14ac:dyDescent="0.35">
      <c r="A1278" t="str">
        <f>"2010-03-23"</f>
        <v>2010-03-23</v>
      </c>
      <c r="B1278" t="str">
        <f>"59.8802"</f>
        <v>59.8802</v>
      </c>
      <c r="C1278">
        <v>1276</v>
      </c>
      <c r="D1278" s="7">
        <v>59.880200000000002</v>
      </c>
      <c r="E1278" s="7">
        <f t="shared" si="38"/>
        <v>76407.135200000004</v>
      </c>
      <c r="F1278" s="7">
        <f t="shared" si="39"/>
        <v>1628176</v>
      </c>
      <c r="G1278" s="7"/>
    </row>
    <row r="1279" spans="1:7" x14ac:dyDescent="0.35">
      <c r="A1279" t="str">
        <f>"2010-03-24"</f>
        <v>2010-03-24</v>
      </c>
      <c r="B1279" t="str">
        <f>"60.1829"</f>
        <v>60.1829</v>
      </c>
      <c r="C1279">
        <v>1277</v>
      </c>
      <c r="D1279" s="7">
        <v>60.182899999999997</v>
      </c>
      <c r="E1279" s="7">
        <f t="shared" si="38"/>
        <v>76853.563299999994</v>
      </c>
      <c r="F1279" s="7">
        <f t="shared" si="39"/>
        <v>1630729</v>
      </c>
      <c r="G1279" s="7"/>
    </row>
    <row r="1280" spans="1:7" x14ac:dyDescent="0.35">
      <c r="A1280" t="str">
        <f>"2010-03-25"</f>
        <v>2010-03-25</v>
      </c>
      <c r="B1280" t="str">
        <f>"61.9953"</f>
        <v>61.9953</v>
      </c>
      <c r="C1280">
        <v>1278</v>
      </c>
      <c r="D1280" s="7">
        <v>61.9953</v>
      </c>
      <c r="E1280" s="7">
        <f t="shared" si="38"/>
        <v>79229.993400000007</v>
      </c>
      <c r="F1280" s="7">
        <f t="shared" si="39"/>
        <v>1633284</v>
      </c>
      <c r="G1280" s="7"/>
    </row>
    <row r="1281" spans="1:7" x14ac:dyDescent="0.35">
      <c r="A1281" t="str">
        <f>"2010-03-26"</f>
        <v>2010-03-26</v>
      </c>
      <c r="B1281" t="str">
        <f>"59.9241"</f>
        <v>59.9241</v>
      </c>
      <c r="C1281">
        <v>1279</v>
      </c>
      <c r="D1281" s="7">
        <v>59.924100000000003</v>
      </c>
      <c r="E1281" s="7">
        <f t="shared" si="38"/>
        <v>76642.923900000009</v>
      </c>
      <c r="F1281" s="7">
        <f t="shared" si="39"/>
        <v>1635841</v>
      </c>
      <c r="G1281" s="7"/>
    </row>
    <row r="1282" spans="1:7" x14ac:dyDescent="0.35">
      <c r="A1282" t="str">
        <f>"2010-03-29"</f>
        <v>2010-03-29</v>
      </c>
      <c r="B1282" t="str">
        <f>"60.4808"</f>
        <v>60.4808</v>
      </c>
      <c r="C1282">
        <v>1280</v>
      </c>
      <c r="D1282" s="7">
        <v>60.480800000000002</v>
      </c>
      <c r="E1282" s="7">
        <f t="shared" si="38"/>
        <v>77415.423999999999</v>
      </c>
      <c r="F1282" s="7">
        <f t="shared" si="39"/>
        <v>1638400</v>
      </c>
      <c r="G1282" s="7"/>
    </row>
    <row r="1283" spans="1:7" x14ac:dyDescent="0.35">
      <c r="A1283" t="str">
        <f>"2010-03-30"</f>
        <v>2010-03-30</v>
      </c>
      <c r="B1283" t="str">
        <f>"60.7586"</f>
        <v>60.7586</v>
      </c>
      <c r="C1283">
        <v>1281</v>
      </c>
      <c r="D1283" s="7">
        <v>60.758600000000001</v>
      </c>
      <c r="E1283" s="7">
        <f t="shared" si="38"/>
        <v>77831.766600000003</v>
      </c>
      <c r="F1283" s="7">
        <f t="shared" si="39"/>
        <v>1640961</v>
      </c>
      <c r="G1283" s="7"/>
    </row>
    <row r="1284" spans="1:7" x14ac:dyDescent="0.35">
      <c r="A1284" t="str">
        <f>"2010-03-31"</f>
        <v>2010-03-31</v>
      </c>
      <c r="B1284" t="str">
        <f>"60.7755"</f>
        <v>60.7755</v>
      </c>
      <c r="C1284">
        <v>1282</v>
      </c>
      <c r="D1284" s="7">
        <v>60.775500000000001</v>
      </c>
      <c r="E1284" s="7">
        <f t="shared" ref="E1284:E1347" si="40">C1284*D1284</f>
        <v>77914.191000000006</v>
      </c>
      <c r="F1284" s="7">
        <f t="shared" ref="F1284:F1347" si="41">C1284*C1284</f>
        <v>1643524</v>
      </c>
      <c r="G1284" s="7"/>
    </row>
    <row r="1285" spans="1:7" x14ac:dyDescent="0.35">
      <c r="A1285" t="str">
        <f>"2010-04-01"</f>
        <v>2010-04-01</v>
      </c>
      <c r="B1285" t="str">
        <f>"60.1817"</f>
        <v>60.1817</v>
      </c>
      <c r="C1285">
        <v>1283</v>
      </c>
      <c r="D1285" s="7">
        <v>60.181699999999999</v>
      </c>
      <c r="E1285" s="7">
        <f t="shared" si="40"/>
        <v>77213.121100000004</v>
      </c>
      <c r="F1285" s="7">
        <f t="shared" si="41"/>
        <v>1646089</v>
      </c>
      <c r="G1285" s="7"/>
    </row>
    <row r="1286" spans="1:7" x14ac:dyDescent="0.35">
      <c r="A1286" t="str">
        <f>"2010-04-05"</f>
        <v>2010-04-05</v>
      </c>
      <c r="B1286" t="str">
        <f>"61.8344"</f>
        <v>61.8344</v>
      </c>
      <c r="C1286">
        <v>1284</v>
      </c>
      <c r="D1286" s="7">
        <v>61.834400000000002</v>
      </c>
      <c r="E1286" s="7">
        <f t="shared" si="40"/>
        <v>79395.369600000005</v>
      </c>
      <c r="F1286" s="7">
        <f t="shared" si="41"/>
        <v>1648656</v>
      </c>
      <c r="G1286" s="7"/>
    </row>
    <row r="1287" spans="1:7" x14ac:dyDescent="0.35">
      <c r="A1287" t="str">
        <f>"2010-04-06"</f>
        <v>2010-04-06</v>
      </c>
      <c r="B1287" t="str">
        <f>"60.6658"</f>
        <v>60.6658</v>
      </c>
      <c r="C1287">
        <v>1285</v>
      </c>
      <c r="D1287" s="7">
        <v>60.665799999999997</v>
      </c>
      <c r="E1287" s="7">
        <f t="shared" si="40"/>
        <v>77955.553</v>
      </c>
      <c r="F1287" s="7">
        <f t="shared" si="41"/>
        <v>1651225</v>
      </c>
      <c r="G1287" s="7"/>
    </row>
    <row r="1288" spans="1:7" x14ac:dyDescent="0.35">
      <c r="A1288" t="str">
        <f>"2010-04-07"</f>
        <v>2010-04-07</v>
      </c>
      <c r="B1288" t="str">
        <f>"58.8372"</f>
        <v>58.8372</v>
      </c>
      <c r="C1288">
        <v>1286</v>
      </c>
      <c r="D1288" s="7">
        <v>58.837200000000003</v>
      </c>
      <c r="E1288" s="7">
        <f t="shared" si="40"/>
        <v>75664.639200000005</v>
      </c>
      <c r="F1288" s="7">
        <f t="shared" si="41"/>
        <v>1653796</v>
      </c>
      <c r="G1288" s="7"/>
    </row>
    <row r="1289" spans="1:7" x14ac:dyDescent="0.35">
      <c r="A1289" t="str">
        <f>"2010-04-08"</f>
        <v>2010-04-08</v>
      </c>
      <c r="B1289" t="str">
        <f>"57.8426"</f>
        <v>57.8426</v>
      </c>
      <c r="C1289">
        <v>1287</v>
      </c>
      <c r="D1289" s="7">
        <v>57.842599999999997</v>
      </c>
      <c r="E1289" s="7">
        <f t="shared" si="40"/>
        <v>74443.426200000002</v>
      </c>
      <c r="F1289" s="7">
        <f t="shared" si="41"/>
        <v>1656369</v>
      </c>
      <c r="G1289" s="7"/>
    </row>
    <row r="1290" spans="1:7" x14ac:dyDescent="0.35">
      <c r="A1290" t="str">
        <f>"2010-04-09"</f>
        <v>2010-04-09</v>
      </c>
      <c r="B1290" t="str">
        <f>"57.6616"</f>
        <v>57.6616</v>
      </c>
      <c r="C1290">
        <v>1288</v>
      </c>
      <c r="D1290" s="7">
        <v>57.6616</v>
      </c>
      <c r="E1290" s="7">
        <f t="shared" si="40"/>
        <v>74268.140799999994</v>
      </c>
      <c r="F1290" s="7">
        <f t="shared" si="41"/>
        <v>1658944</v>
      </c>
      <c r="G1290" s="7"/>
    </row>
    <row r="1291" spans="1:7" x14ac:dyDescent="0.35">
      <c r="A1291" t="str">
        <f>"2010-04-12"</f>
        <v>2010-04-12</v>
      </c>
      <c r="B1291" t="str">
        <f>"56.5411"</f>
        <v>56.5411</v>
      </c>
      <c r="C1291">
        <v>1289</v>
      </c>
      <c r="D1291" s="7">
        <v>56.5411</v>
      </c>
      <c r="E1291" s="7">
        <f t="shared" si="40"/>
        <v>72881.477899999998</v>
      </c>
      <c r="F1291" s="7">
        <f t="shared" si="41"/>
        <v>1661521</v>
      </c>
      <c r="G1291" s="7"/>
    </row>
    <row r="1292" spans="1:7" x14ac:dyDescent="0.35">
      <c r="A1292" t="str">
        <f>"2010-04-13"</f>
        <v>2010-04-13</v>
      </c>
      <c r="B1292" t="str">
        <f>"57.1339"</f>
        <v>57.1339</v>
      </c>
      <c r="C1292">
        <v>1290</v>
      </c>
      <c r="D1292" s="7">
        <v>57.133899999999997</v>
      </c>
      <c r="E1292" s="7">
        <f t="shared" si="40"/>
        <v>73702.731</v>
      </c>
      <c r="F1292" s="7">
        <f t="shared" si="41"/>
        <v>1664100</v>
      </c>
      <c r="G1292" s="7"/>
    </row>
    <row r="1293" spans="1:7" x14ac:dyDescent="0.35">
      <c r="A1293" t="str">
        <f>"2010-04-14"</f>
        <v>2010-04-14</v>
      </c>
      <c r="B1293" t="str">
        <f>"57.2484"</f>
        <v>57.2484</v>
      </c>
      <c r="C1293">
        <v>1291</v>
      </c>
      <c r="D1293" s="7">
        <v>57.248399999999997</v>
      </c>
      <c r="E1293" s="7">
        <f t="shared" si="40"/>
        <v>73907.684399999998</v>
      </c>
      <c r="F1293" s="7">
        <f t="shared" si="41"/>
        <v>1666681</v>
      </c>
      <c r="G1293" s="7"/>
    </row>
    <row r="1294" spans="1:7" x14ac:dyDescent="0.35">
      <c r="A1294" t="str">
        <f>"2010-04-15"</f>
        <v>2010-04-15</v>
      </c>
      <c r="B1294" t="str">
        <f>"58.3431"</f>
        <v>58.3431</v>
      </c>
      <c r="C1294">
        <v>1292</v>
      </c>
      <c r="D1294" s="7">
        <v>58.3431</v>
      </c>
      <c r="E1294" s="7">
        <f t="shared" si="40"/>
        <v>75379.285199999998</v>
      </c>
      <c r="F1294" s="7">
        <f t="shared" si="41"/>
        <v>1669264</v>
      </c>
      <c r="G1294" s="7"/>
    </row>
    <row r="1295" spans="1:7" x14ac:dyDescent="0.35">
      <c r="A1295" t="str">
        <f>"2010-04-16"</f>
        <v>2010-04-16</v>
      </c>
      <c r="B1295" t="str">
        <f>"59.7606"</f>
        <v>59.7606</v>
      </c>
      <c r="C1295">
        <v>1293</v>
      </c>
      <c r="D1295" s="7">
        <v>59.760599999999997</v>
      </c>
      <c r="E1295" s="7">
        <f t="shared" si="40"/>
        <v>77270.455799999996</v>
      </c>
      <c r="F1295" s="7">
        <f t="shared" si="41"/>
        <v>1671849</v>
      </c>
      <c r="G1295" s="7"/>
    </row>
    <row r="1296" spans="1:7" x14ac:dyDescent="0.35">
      <c r="A1296" t="str">
        <f>"2010-04-19"</f>
        <v>2010-04-19</v>
      </c>
      <c r="B1296" t="str">
        <f>"58.5245"</f>
        <v>58.5245</v>
      </c>
      <c r="C1296">
        <v>1294</v>
      </c>
      <c r="D1296" s="7">
        <v>58.524500000000003</v>
      </c>
      <c r="E1296" s="7">
        <f t="shared" si="40"/>
        <v>75730.703000000009</v>
      </c>
      <c r="F1296" s="7">
        <f t="shared" si="41"/>
        <v>1674436</v>
      </c>
      <c r="G1296" s="7"/>
    </row>
    <row r="1297" spans="1:7" x14ac:dyDescent="0.35">
      <c r="A1297" t="str">
        <f>"2010-04-20"</f>
        <v>2010-04-20</v>
      </c>
      <c r="B1297" t="str">
        <f>"57.7026"</f>
        <v>57.7026</v>
      </c>
      <c r="C1297">
        <v>1295</v>
      </c>
      <c r="D1297" s="7">
        <v>57.702599999999997</v>
      </c>
      <c r="E1297" s="7">
        <f t="shared" si="40"/>
        <v>74724.866999999998</v>
      </c>
      <c r="F1297" s="7">
        <f t="shared" si="41"/>
        <v>1677025</v>
      </c>
      <c r="G1297" s="7"/>
    </row>
    <row r="1298" spans="1:7" x14ac:dyDescent="0.35">
      <c r="A1298" t="str">
        <f>"2010-04-21"</f>
        <v>2010-04-21</v>
      </c>
      <c r="B1298" t="str">
        <f>"57.2897"</f>
        <v>57.2897</v>
      </c>
      <c r="C1298">
        <v>1296</v>
      </c>
      <c r="D1298" s="7">
        <v>57.289700000000003</v>
      </c>
      <c r="E1298" s="7">
        <f t="shared" si="40"/>
        <v>74247.45120000001</v>
      </c>
      <c r="F1298" s="7">
        <f t="shared" si="41"/>
        <v>1679616</v>
      </c>
      <c r="G1298" s="7"/>
    </row>
    <row r="1299" spans="1:7" x14ac:dyDescent="0.35">
      <c r="A1299" t="str">
        <f>"2010-04-22"</f>
        <v>2010-04-22</v>
      </c>
      <c r="B1299" t="str">
        <f>"57.3763"</f>
        <v>57.3763</v>
      </c>
      <c r="C1299">
        <v>1297</v>
      </c>
      <c r="D1299" s="7">
        <v>57.376300000000001</v>
      </c>
      <c r="E1299" s="7">
        <f t="shared" si="40"/>
        <v>74417.061100000006</v>
      </c>
      <c r="F1299" s="7">
        <f t="shared" si="41"/>
        <v>1682209</v>
      </c>
      <c r="G1299" s="7"/>
    </row>
    <row r="1300" spans="1:7" x14ac:dyDescent="0.35">
      <c r="A1300" t="str">
        <f>"2010-04-23"</f>
        <v>2010-04-23</v>
      </c>
      <c r="B1300" t="str">
        <f>"56.8268"</f>
        <v>56.8268</v>
      </c>
      <c r="C1300">
        <v>1298</v>
      </c>
      <c r="D1300" s="7">
        <v>56.826799999999999</v>
      </c>
      <c r="E1300" s="7">
        <f t="shared" si="40"/>
        <v>73761.186399999991</v>
      </c>
      <c r="F1300" s="7">
        <f t="shared" si="41"/>
        <v>1684804</v>
      </c>
      <c r="G1300" s="7"/>
    </row>
    <row r="1301" spans="1:7" x14ac:dyDescent="0.35">
      <c r="A1301" t="str">
        <f>"2010-04-26"</f>
        <v>2010-04-26</v>
      </c>
      <c r="B1301" t="str">
        <f>"57.5996"</f>
        <v>57.5996</v>
      </c>
      <c r="C1301">
        <v>1299</v>
      </c>
      <c r="D1301" s="7">
        <v>57.599600000000002</v>
      </c>
      <c r="E1301" s="7">
        <f t="shared" si="40"/>
        <v>74821.880400000009</v>
      </c>
      <c r="F1301" s="7">
        <f t="shared" si="41"/>
        <v>1687401</v>
      </c>
      <c r="G1301" s="7"/>
    </row>
    <row r="1302" spans="1:7" x14ac:dyDescent="0.35">
      <c r="A1302" t="str">
        <f>"2010-04-27"</f>
        <v>2010-04-27</v>
      </c>
      <c r="B1302" t="str">
        <f>"55.5766"</f>
        <v>55.5766</v>
      </c>
      <c r="C1302">
        <v>1300</v>
      </c>
      <c r="D1302" s="7">
        <v>55.576599999999999</v>
      </c>
      <c r="E1302" s="7">
        <f t="shared" si="40"/>
        <v>72249.58</v>
      </c>
      <c r="F1302" s="7">
        <f t="shared" si="41"/>
        <v>1690000</v>
      </c>
      <c r="G1302" s="7"/>
    </row>
    <row r="1303" spans="1:7" x14ac:dyDescent="0.35">
      <c r="A1303" t="str">
        <f>"2010-04-28"</f>
        <v>2010-04-28</v>
      </c>
      <c r="B1303" t="str">
        <f>"55.6079"</f>
        <v>55.6079</v>
      </c>
      <c r="C1303">
        <v>1301</v>
      </c>
      <c r="D1303" s="7">
        <v>55.607900000000001</v>
      </c>
      <c r="E1303" s="7">
        <f t="shared" si="40"/>
        <v>72345.877900000007</v>
      </c>
      <c r="F1303" s="7">
        <f t="shared" si="41"/>
        <v>1692601</v>
      </c>
      <c r="G1303" s="7"/>
    </row>
    <row r="1304" spans="1:7" x14ac:dyDescent="0.35">
      <c r="A1304" t="str">
        <f>"2010-04-29"</f>
        <v>2010-04-29</v>
      </c>
      <c r="B1304" t="str">
        <f>"56.0637"</f>
        <v>56.0637</v>
      </c>
      <c r="C1304">
        <v>1302</v>
      </c>
      <c r="D1304" s="7">
        <v>56.063699999999997</v>
      </c>
      <c r="E1304" s="7">
        <f t="shared" si="40"/>
        <v>72994.937399999995</v>
      </c>
      <c r="F1304" s="7">
        <f t="shared" si="41"/>
        <v>1695204</v>
      </c>
      <c r="G1304" s="7"/>
    </row>
    <row r="1305" spans="1:7" x14ac:dyDescent="0.35">
      <c r="A1305" t="str">
        <f>"2010-04-30"</f>
        <v>2010-04-30</v>
      </c>
      <c r="B1305" t="str">
        <f>"55.2542"</f>
        <v>55.2542</v>
      </c>
      <c r="C1305">
        <v>1303</v>
      </c>
      <c r="D1305" s="7">
        <v>55.254199999999997</v>
      </c>
      <c r="E1305" s="7">
        <f t="shared" si="40"/>
        <v>71996.222599999994</v>
      </c>
      <c r="F1305" s="7">
        <f t="shared" si="41"/>
        <v>1697809</v>
      </c>
      <c r="G1305" s="7"/>
    </row>
    <row r="1306" spans="1:7" x14ac:dyDescent="0.35">
      <c r="A1306" t="str">
        <f>"2010-05-03"</f>
        <v>2010-05-03</v>
      </c>
      <c r="B1306" t="str">
        <f>"54.6184"</f>
        <v>54.6184</v>
      </c>
      <c r="C1306">
        <v>1304</v>
      </c>
      <c r="D1306" s="7">
        <v>54.618400000000001</v>
      </c>
      <c r="E1306" s="7">
        <f t="shared" si="40"/>
        <v>71222.393599999996</v>
      </c>
      <c r="F1306" s="7">
        <f t="shared" si="41"/>
        <v>1700416</v>
      </c>
      <c r="G1306" s="7"/>
    </row>
    <row r="1307" spans="1:7" x14ac:dyDescent="0.35">
      <c r="A1307" t="str">
        <f>"2010-05-04"</f>
        <v>2010-05-04</v>
      </c>
      <c r="B1307" t="str">
        <f>"53.728"</f>
        <v>53.728</v>
      </c>
      <c r="C1307">
        <v>1305</v>
      </c>
      <c r="D1307" s="7">
        <v>53.728000000000002</v>
      </c>
      <c r="E1307" s="7">
        <f t="shared" si="40"/>
        <v>70115.040000000008</v>
      </c>
      <c r="F1307" s="7">
        <f t="shared" si="41"/>
        <v>1703025</v>
      </c>
      <c r="G1307" s="7"/>
    </row>
    <row r="1308" spans="1:7" x14ac:dyDescent="0.35">
      <c r="A1308" t="str">
        <f>"2010-05-05"</f>
        <v>2010-05-05</v>
      </c>
      <c r="B1308" t="str">
        <f>"51.8444"</f>
        <v>51.8444</v>
      </c>
      <c r="C1308">
        <v>1306</v>
      </c>
      <c r="D1308" s="7">
        <v>51.8444</v>
      </c>
      <c r="E1308" s="7">
        <f t="shared" si="40"/>
        <v>67708.786399999997</v>
      </c>
      <c r="F1308" s="7">
        <f t="shared" si="41"/>
        <v>1705636</v>
      </c>
      <c r="G1308" s="7"/>
    </row>
    <row r="1309" spans="1:7" x14ac:dyDescent="0.35">
      <c r="A1309" t="str">
        <f>"2010-05-06"</f>
        <v>2010-05-06</v>
      </c>
      <c r="B1309" t="str">
        <f>"47.8901"</f>
        <v>47.8901</v>
      </c>
      <c r="C1309">
        <v>1307</v>
      </c>
      <c r="D1309" s="7">
        <v>47.890099999999997</v>
      </c>
      <c r="E1309" s="7">
        <f t="shared" si="40"/>
        <v>62592.360699999997</v>
      </c>
      <c r="F1309" s="7">
        <f t="shared" si="41"/>
        <v>1708249</v>
      </c>
      <c r="G1309" s="7"/>
    </row>
    <row r="1310" spans="1:7" x14ac:dyDescent="0.35">
      <c r="A1310" t="str">
        <f>"2010-05-07"</f>
        <v>2010-05-07</v>
      </c>
      <c r="B1310" t="str">
        <f>"45.2985"</f>
        <v>45.2985</v>
      </c>
      <c r="C1310">
        <v>1308</v>
      </c>
      <c r="D1310" s="7">
        <v>45.298499999999997</v>
      </c>
      <c r="E1310" s="7">
        <f t="shared" si="40"/>
        <v>59250.437999999995</v>
      </c>
      <c r="F1310" s="7">
        <f t="shared" si="41"/>
        <v>1710864</v>
      </c>
      <c r="G1310" s="7"/>
    </row>
    <row r="1311" spans="1:7" x14ac:dyDescent="0.35">
      <c r="A1311" t="str">
        <f>"2010-05-10"</f>
        <v>2010-05-10</v>
      </c>
      <c r="B1311" t="str">
        <f>"49.9855"</f>
        <v>49.9855</v>
      </c>
      <c r="C1311">
        <v>1309</v>
      </c>
      <c r="D1311" s="7">
        <v>49.985500000000002</v>
      </c>
      <c r="E1311" s="7">
        <f t="shared" si="40"/>
        <v>65431.019500000002</v>
      </c>
      <c r="F1311" s="7">
        <f t="shared" si="41"/>
        <v>1713481</v>
      </c>
      <c r="G1311" s="7"/>
    </row>
    <row r="1312" spans="1:7" x14ac:dyDescent="0.35">
      <c r="A1312" t="str">
        <f>"2010-05-11"</f>
        <v>2010-05-11</v>
      </c>
      <c r="B1312" t="str">
        <f>"49.5916"</f>
        <v>49.5916</v>
      </c>
      <c r="C1312">
        <v>1310</v>
      </c>
      <c r="D1312" s="7">
        <v>49.5916</v>
      </c>
      <c r="E1312" s="7">
        <f t="shared" si="40"/>
        <v>64964.995999999999</v>
      </c>
      <c r="F1312" s="7">
        <f t="shared" si="41"/>
        <v>1716100</v>
      </c>
      <c r="G1312" s="7"/>
    </row>
    <row r="1313" spans="1:7" x14ac:dyDescent="0.35">
      <c r="A1313" t="str">
        <f>"2010-05-12"</f>
        <v>2010-05-12</v>
      </c>
      <c r="B1313" t="str">
        <f>"50.6465"</f>
        <v>50.6465</v>
      </c>
      <c r="C1313">
        <v>1311</v>
      </c>
      <c r="D1313" s="7">
        <v>50.646500000000003</v>
      </c>
      <c r="E1313" s="7">
        <f t="shared" si="40"/>
        <v>66397.561500000011</v>
      </c>
      <c r="F1313" s="7">
        <f t="shared" si="41"/>
        <v>1718721</v>
      </c>
      <c r="G1313" s="7"/>
    </row>
    <row r="1314" spans="1:7" x14ac:dyDescent="0.35">
      <c r="A1314" t="str">
        <f>"2010-05-13"</f>
        <v>2010-05-13</v>
      </c>
      <c r="B1314" t="str">
        <f>"50.4193"</f>
        <v>50.4193</v>
      </c>
      <c r="C1314">
        <v>1312</v>
      </c>
      <c r="D1314" s="7">
        <v>50.4193</v>
      </c>
      <c r="E1314" s="7">
        <f t="shared" si="40"/>
        <v>66150.121599999999</v>
      </c>
      <c r="F1314" s="7">
        <f t="shared" si="41"/>
        <v>1721344</v>
      </c>
      <c r="G1314" s="7"/>
    </row>
    <row r="1315" spans="1:7" x14ac:dyDescent="0.35">
      <c r="A1315" t="str">
        <f>"2010-05-14"</f>
        <v>2010-05-14</v>
      </c>
      <c r="B1315" t="str">
        <f>"48.3313"</f>
        <v>48.3313</v>
      </c>
      <c r="C1315">
        <v>1313</v>
      </c>
      <c r="D1315" s="7">
        <v>48.331299999999999</v>
      </c>
      <c r="E1315" s="7">
        <f t="shared" si="40"/>
        <v>63458.996899999998</v>
      </c>
      <c r="F1315" s="7">
        <f t="shared" si="41"/>
        <v>1723969</v>
      </c>
      <c r="G1315" s="7"/>
    </row>
    <row r="1316" spans="1:7" x14ac:dyDescent="0.35">
      <c r="A1316" t="str">
        <f>"2010-05-17"</f>
        <v>2010-05-17</v>
      </c>
      <c r="B1316" t="str">
        <f>"46.6775"</f>
        <v>46.6775</v>
      </c>
      <c r="C1316">
        <v>1314</v>
      </c>
      <c r="D1316" s="7">
        <v>46.677500000000002</v>
      </c>
      <c r="E1316" s="7">
        <f t="shared" si="40"/>
        <v>61334.235000000001</v>
      </c>
      <c r="F1316" s="7">
        <f t="shared" si="41"/>
        <v>1726596</v>
      </c>
      <c r="G1316" s="7"/>
    </row>
    <row r="1317" spans="1:7" x14ac:dyDescent="0.35">
      <c r="A1317" t="str">
        <f>"2010-05-18"</f>
        <v>2010-05-18</v>
      </c>
      <c r="B1317" t="str">
        <f>"45.5629"</f>
        <v>45.5629</v>
      </c>
      <c r="C1317">
        <v>1315</v>
      </c>
      <c r="D1317" s="7">
        <v>45.562899999999999</v>
      </c>
      <c r="E1317" s="7">
        <f t="shared" si="40"/>
        <v>59915.213499999998</v>
      </c>
      <c r="F1317" s="7">
        <f t="shared" si="41"/>
        <v>1729225</v>
      </c>
      <c r="G1317" s="7"/>
    </row>
    <row r="1318" spans="1:7" x14ac:dyDescent="0.35">
      <c r="A1318" t="str">
        <f>"2010-05-19"</f>
        <v>2010-05-19</v>
      </c>
      <c r="B1318" t="str">
        <f>"46.216"</f>
        <v>46.216</v>
      </c>
      <c r="C1318">
        <v>1316</v>
      </c>
      <c r="D1318" s="7">
        <v>46.216000000000001</v>
      </c>
      <c r="E1318" s="7">
        <f t="shared" si="40"/>
        <v>60820.256000000001</v>
      </c>
      <c r="F1318" s="7">
        <f t="shared" si="41"/>
        <v>1731856</v>
      </c>
      <c r="G1318" s="7"/>
    </row>
    <row r="1319" spans="1:7" x14ac:dyDescent="0.35">
      <c r="A1319" t="str">
        <f>"2010-05-20"</f>
        <v>2010-05-20</v>
      </c>
      <c r="B1319" t="str">
        <f>"43.2725"</f>
        <v>43.2725</v>
      </c>
      <c r="C1319">
        <v>1317</v>
      </c>
      <c r="D1319" s="7">
        <v>43.272500000000001</v>
      </c>
      <c r="E1319" s="7">
        <f t="shared" si="40"/>
        <v>56989.8825</v>
      </c>
      <c r="F1319" s="7">
        <f t="shared" si="41"/>
        <v>1734489</v>
      </c>
      <c r="G1319" s="7"/>
    </row>
    <row r="1320" spans="1:7" x14ac:dyDescent="0.35">
      <c r="A1320" t="str">
        <f>"2010-05-21"</f>
        <v>2010-05-21</v>
      </c>
      <c r="B1320" t="str">
        <f>"43.2248"</f>
        <v>43.2248</v>
      </c>
      <c r="C1320">
        <v>1318</v>
      </c>
      <c r="D1320" s="7">
        <v>43.224800000000002</v>
      </c>
      <c r="E1320" s="7">
        <f t="shared" si="40"/>
        <v>56970.286400000005</v>
      </c>
      <c r="F1320" s="7">
        <f t="shared" si="41"/>
        <v>1737124</v>
      </c>
      <c r="G1320" s="7"/>
    </row>
    <row r="1321" spans="1:7" x14ac:dyDescent="0.35">
      <c r="A1321" t="str">
        <f>"2010-05-24"</f>
        <v>2010-05-24</v>
      </c>
      <c r="B1321" t="str">
        <f>"43.6263"</f>
        <v>43.6263</v>
      </c>
      <c r="C1321">
        <v>1319</v>
      </c>
      <c r="D1321" s="7">
        <v>43.626300000000001</v>
      </c>
      <c r="E1321" s="7">
        <f t="shared" si="40"/>
        <v>57543.089700000004</v>
      </c>
      <c r="F1321" s="7">
        <f t="shared" si="41"/>
        <v>1739761</v>
      </c>
      <c r="G1321" s="7"/>
    </row>
    <row r="1322" spans="1:7" x14ac:dyDescent="0.35">
      <c r="A1322" t="str">
        <f>"2010-05-25"</f>
        <v>2010-05-25</v>
      </c>
      <c r="B1322" t="str">
        <f>"42.1327"</f>
        <v>42.1327</v>
      </c>
      <c r="C1322">
        <v>1320</v>
      </c>
      <c r="D1322" s="7">
        <v>42.1327</v>
      </c>
      <c r="E1322" s="7">
        <f t="shared" si="40"/>
        <v>55615.163999999997</v>
      </c>
      <c r="F1322" s="7">
        <f t="shared" si="41"/>
        <v>1742400</v>
      </c>
      <c r="G1322" s="7"/>
    </row>
    <row r="1323" spans="1:7" x14ac:dyDescent="0.35">
      <c r="A1323" t="str">
        <f>"2010-05-26"</f>
        <v>2010-05-26</v>
      </c>
      <c r="B1323" t="str">
        <f>"43.0563"</f>
        <v>43.0563</v>
      </c>
      <c r="C1323">
        <v>1321</v>
      </c>
      <c r="D1323" s="7">
        <v>43.0563</v>
      </c>
      <c r="E1323" s="7">
        <f t="shared" si="40"/>
        <v>56877.372300000003</v>
      </c>
      <c r="F1323" s="7">
        <f t="shared" si="41"/>
        <v>1745041</v>
      </c>
      <c r="G1323" s="7"/>
    </row>
    <row r="1324" spans="1:7" x14ac:dyDescent="0.35">
      <c r="A1324" t="str">
        <f>"2010-05-27"</f>
        <v>2010-05-27</v>
      </c>
      <c r="B1324" t="str">
        <f>"44.9344"</f>
        <v>44.9344</v>
      </c>
      <c r="C1324">
        <v>1322</v>
      </c>
      <c r="D1324" s="7">
        <v>44.934399999999997</v>
      </c>
      <c r="E1324" s="7">
        <f t="shared" si="40"/>
        <v>59403.276799999992</v>
      </c>
      <c r="F1324" s="7">
        <f t="shared" si="41"/>
        <v>1747684</v>
      </c>
      <c r="G1324" s="7"/>
    </row>
    <row r="1325" spans="1:7" x14ac:dyDescent="0.35">
      <c r="A1325" t="str">
        <f>"2010-05-28"</f>
        <v>2010-05-28</v>
      </c>
      <c r="B1325" t="str">
        <f>"45.7302"</f>
        <v>45.7302</v>
      </c>
      <c r="C1325">
        <v>1323</v>
      </c>
      <c r="D1325" s="7">
        <v>45.730200000000004</v>
      </c>
      <c r="E1325" s="7">
        <f t="shared" si="40"/>
        <v>60501.054600000003</v>
      </c>
      <c r="F1325" s="7">
        <f t="shared" si="41"/>
        <v>1750329</v>
      </c>
      <c r="G1325" s="7"/>
    </row>
    <row r="1326" spans="1:7" x14ac:dyDescent="0.35">
      <c r="A1326" t="str">
        <f>"2010-06-01"</f>
        <v>2010-06-01</v>
      </c>
      <c r="B1326" t="str">
        <f>"44.3804"</f>
        <v>44.3804</v>
      </c>
      <c r="C1326">
        <v>1324</v>
      </c>
      <c r="D1326" s="7">
        <v>44.380400000000002</v>
      </c>
      <c r="E1326" s="7">
        <f t="shared" si="40"/>
        <v>58759.649600000004</v>
      </c>
      <c r="F1326" s="7">
        <f t="shared" si="41"/>
        <v>1752976</v>
      </c>
      <c r="G1326" s="7"/>
    </row>
    <row r="1327" spans="1:7" x14ac:dyDescent="0.35">
      <c r="A1327" t="str">
        <f>"2010-06-02"</f>
        <v>2010-06-02</v>
      </c>
      <c r="B1327" t="str">
        <f>"45.0728"</f>
        <v>45.0728</v>
      </c>
      <c r="C1327">
        <v>1325</v>
      </c>
      <c r="D1327" s="7">
        <v>45.072800000000001</v>
      </c>
      <c r="E1327" s="7">
        <f t="shared" si="40"/>
        <v>59721.46</v>
      </c>
      <c r="F1327" s="7">
        <f t="shared" si="41"/>
        <v>1755625</v>
      </c>
      <c r="G1327" s="7"/>
    </row>
    <row r="1328" spans="1:7" x14ac:dyDescent="0.35">
      <c r="A1328" t="str">
        <f>"2010-06-03"</f>
        <v>2010-06-03</v>
      </c>
      <c r="B1328" t="str">
        <f>"46.5608"</f>
        <v>46.5608</v>
      </c>
      <c r="C1328">
        <v>1326</v>
      </c>
      <c r="D1328" s="7">
        <v>46.5608</v>
      </c>
      <c r="E1328" s="7">
        <f t="shared" si="40"/>
        <v>61739.620799999997</v>
      </c>
      <c r="F1328" s="7">
        <f t="shared" si="41"/>
        <v>1758276</v>
      </c>
      <c r="G1328" s="7"/>
    </row>
    <row r="1329" spans="1:7" x14ac:dyDescent="0.35">
      <c r="A1329" t="str">
        <f>"2010-06-04"</f>
        <v>2010-06-04</v>
      </c>
      <c r="B1329" t="str">
        <f>"43.3905"</f>
        <v>43.3905</v>
      </c>
      <c r="C1329">
        <v>1327</v>
      </c>
      <c r="D1329" s="7">
        <v>43.390500000000003</v>
      </c>
      <c r="E1329" s="7">
        <f t="shared" si="40"/>
        <v>57579.193500000001</v>
      </c>
      <c r="F1329" s="7">
        <f t="shared" si="41"/>
        <v>1760929</v>
      </c>
      <c r="G1329" s="7"/>
    </row>
    <row r="1330" spans="1:7" x14ac:dyDescent="0.35">
      <c r="A1330" t="str">
        <f>"2010-06-07"</f>
        <v>2010-06-07</v>
      </c>
      <c r="B1330" t="str">
        <f>"42.4337"</f>
        <v>42.4337</v>
      </c>
      <c r="C1330">
        <v>1328</v>
      </c>
      <c r="D1330" s="7">
        <v>42.433700000000002</v>
      </c>
      <c r="E1330" s="7">
        <f t="shared" si="40"/>
        <v>56351.953600000001</v>
      </c>
      <c r="F1330" s="7">
        <f t="shared" si="41"/>
        <v>1763584</v>
      </c>
      <c r="G1330" s="7"/>
    </row>
    <row r="1331" spans="1:7" x14ac:dyDescent="0.35">
      <c r="A1331" t="str">
        <f>"2010-06-08"</f>
        <v>2010-06-08</v>
      </c>
      <c r="B1331" t="str">
        <f>"43.5022"</f>
        <v>43.5022</v>
      </c>
      <c r="C1331">
        <v>1329</v>
      </c>
      <c r="D1331" s="7">
        <v>43.502200000000002</v>
      </c>
      <c r="E1331" s="7">
        <f t="shared" si="40"/>
        <v>57814.423800000004</v>
      </c>
      <c r="F1331" s="7">
        <f t="shared" si="41"/>
        <v>1766241</v>
      </c>
      <c r="G1331" s="7"/>
    </row>
    <row r="1332" spans="1:7" x14ac:dyDescent="0.35">
      <c r="A1332" t="str">
        <f>"2010-06-09"</f>
        <v>2010-06-09</v>
      </c>
      <c r="B1332" t="str">
        <f>"44.6974"</f>
        <v>44.6974</v>
      </c>
      <c r="C1332">
        <v>1330</v>
      </c>
      <c r="D1332" s="7">
        <v>44.697400000000002</v>
      </c>
      <c r="E1332" s="7">
        <f t="shared" si="40"/>
        <v>59447.542000000001</v>
      </c>
      <c r="F1332" s="7">
        <f t="shared" si="41"/>
        <v>1768900</v>
      </c>
      <c r="G1332" s="7"/>
    </row>
    <row r="1333" spans="1:7" x14ac:dyDescent="0.35">
      <c r="A1333" t="str">
        <f>"2010-06-10"</f>
        <v>2010-06-10</v>
      </c>
      <c r="B1333" t="str">
        <f>"45.6437"</f>
        <v>45.6437</v>
      </c>
      <c r="C1333">
        <v>1331</v>
      </c>
      <c r="D1333" s="7">
        <v>45.643700000000003</v>
      </c>
      <c r="E1333" s="7">
        <f t="shared" si="40"/>
        <v>60751.764700000007</v>
      </c>
      <c r="F1333" s="7">
        <f t="shared" si="41"/>
        <v>1771561</v>
      </c>
      <c r="G1333" s="7"/>
    </row>
    <row r="1334" spans="1:7" x14ac:dyDescent="0.35">
      <c r="A1334" t="str">
        <f>"2010-06-11"</f>
        <v>2010-06-11</v>
      </c>
      <c r="B1334" t="str">
        <f>"45.4119"</f>
        <v>45.4119</v>
      </c>
      <c r="C1334">
        <v>1332</v>
      </c>
      <c r="D1334" s="7">
        <v>45.411900000000003</v>
      </c>
      <c r="E1334" s="7">
        <f t="shared" si="40"/>
        <v>60488.650800000003</v>
      </c>
      <c r="F1334" s="7">
        <f t="shared" si="41"/>
        <v>1774224</v>
      </c>
      <c r="G1334" s="7"/>
    </row>
    <row r="1335" spans="1:7" x14ac:dyDescent="0.35">
      <c r="A1335" t="str">
        <f>"2010-06-14"</f>
        <v>2010-06-14</v>
      </c>
      <c r="B1335" t="str">
        <f>"47.5065"</f>
        <v>47.5065</v>
      </c>
      <c r="C1335">
        <v>1333</v>
      </c>
      <c r="D1335" s="7">
        <v>47.506500000000003</v>
      </c>
      <c r="E1335" s="7">
        <f t="shared" si="40"/>
        <v>63326.164500000006</v>
      </c>
      <c r="F1335" s="7">
        <f t="shared" si="41"/>
        <v>1776889</v>
      </c>
      <c r="G1335" s="7"/>
    </row>
    <row r="1336" spans="1:7" x14ac:dyDescent="0.35">
      <c r="A1336" t="str">
        <f>"2010-06-15"</f>
        <v>2010-06-15</v>
      </c>
      <c r="B1336" t="str">
        <f>"49.2953"</f>
        <v>49.2953</v>
      </c>
      <c r="C1336">
        <v>1334</v>
      </c>
      <c r="D1336" s="7">
        <v>49.295299999999997</v>
      </c>
      <c r="E1336" s="7">
        <f t="shared" si="40"/>
        <v>65759.930200000003</v>
      </c>
      <c r="F1336" s="7">
        <f t="shared" si="41"/>
        <v>1779556</v>
      </c>
      <c r="G1336" s="7"/>
    </row>
    <row r="1337" spans="1:7" x14ac:dyDescent="0.35">
      <c r="A1337" t="str">
        <f>"2010-06-16"</f>
        <v>2010-06-16</v>
      </c>
      <c r="B1337" t="str">
        <f>"49.1369"</f>
        <v>49.1369</v>
      </c>
      <c r="C1337">
        <v>1335</v>
      </c>
      <c r="D1337" s="7">
        <v>49.136899999999997</v>
      </c>
      <c r="E1337" s="7">
        <f t="shared" si="40"/>
        <v>65597.761499999993</v>
      </c>
      <c r="F1337" s="7">
        <f t="shared" si="41"/>
        <v>1782225</v>
      </c>
      <c r="G1337" s="7"/>
    </row>
    <row r="1338" spans="1:7" x14ac:dyDescent="0.35">
      <c r="A1338" t="str">
        <f>"2010-06-17"</f>
        <v>2010-06-17</v>
      </c>
      <c r="B1338" t="str">
        <f>"48.8552"</f>
        <v>48.8552</v>
      </c>
      <c r="C1338">
        <v>1336</v>
      </c>
      <c r="D1338" s="7">
        <v>48.855200000000004</v>
      </c>
      <c r="E1338" s="7">
        <f t="shared" si="40"/>
        <v>65270.547200000008</v>
      </c>
      <c r="F1338" s="7">
        <f t="shared" si="41"/>
        <v>1784896</v>
      </c>
      <c r="G1338" s="7"/>
    </row>
    <row r="1339" spans="1:7" x14ac:dyDescent="0.35">
      <c r="A1339" t="str">
        <f>"2010-06-18"</f>
        <v>2010-06-18</v>
      </c>
      <c r="B1339" t="str">
        <f>"48.4908"</f>
        <v>48.4908</v>
      </c>
      <c r="C1339">
        <v>1337</v>
      </c>
      <c r="D1339" s="7">
        <v>48.4908</v>
      </c>
      <c r="E1339" s="7">
        <f t="shared" si="40"/>
        <v>64832.1996</v>
      </c>
      <c r="F1339" s="7">
        <f t="shared" si="41"/>
        <v>1787569</v>
      </c>
      <c r="G1339" s="7"/>
    </row>
    <row r="1340" spans="1:7" x14ac:dyDescent="0.35">
      <c r="A1340" t="str">
        <f>"2010-06-21"</f>
        <v>2010-06-21</v>
      </c>
      <c r="B1340" t="str">
        <f>"48.8186"</f>
        <v>48.8186</v>
      </c>
      <c r="C1340">
        <v>1338</v>
      </c>
      <c r="D1340" s="7">
        <v>48.818600000000004</v>
      </c>
      <c r="E1340" s="7">
        <f t="shared" si="40"/>
        <v>65319.286800000002</v>
      </c>
      <c r="F1340" s="7">
        <f t="shared" si="41"/>
        <v>1790244</v>
      </c>
      <c r="G1340" s="7"/>
    </row>
    <row r="1341" spans="1:7" x14ac:dyDescent="0.35">
      <c r="A1341" t="str">
        <f>"2010-06-22"</f>
        <v>2010-06-22</v>
      </c>
      <c r="B1341" t="str">
        <f>"47.3812"</f>
        <v>47.3812</v>
      </c>
      <c r="C1341">
        <v>1339</v>
      </c>
      <c r="D1341" s="7">
        <v>47.3812</v>
      </c>
      <c r="E1341" s="7">
        <f t="shared" si="40"/>
        <v>63443.426800000001</v>
      </c>
      <c r="F1341" s="7">
        <f t="shared" si="41"/>
        <v>1792921</v>
      </c>
      <c r="G1341" s="7"/>
    </row>
    <row r="1342" spans="1:7" x14ac:dyDescent="0.35">
      <c r="A1342" t="str">
        <f>"2010-06-23"</f>
        <v>2010-06-23</v>
      </c>
      <c r="B1342" t="str">
        <f>"46.3099"</f>
        <v>46.3099</v>
      </c>
      <c r="C1342">
        <v>1340</v>
      </c>
      <c r="D1342" s="7">
        <v>46.309899999999999</v>
      </c>
      <c r="E1342" s="7">
        <f t="shared" si="40"/>
        <v>62055.265999999996</v>
      </c>
      <c r="F1342" s="7">
        <f t="shared" si="41"/>
        <v>1795600</v>
      </c>
      <c r="G1342" s="7"/>
    </row>
    <row r="1343" spans="1:7" x14ac:dyDescent="0.35">
      <c r="A1343" t="str">
        <f>"2010-06-24"</f>
        <v>2010-06-24</v>
      </c>
      <c r="B1343" t="str">
        <f>"45.7403"</f>
        <v>45.7403</v>
      </c>
      <c r="C1343">
        <v>1341</v>
      </c>
      <c r="D1343" s="7">
        <v>45.740299999999998</v>
      </c>
      <c r="E1343" s="7">
        <f t="shared" si="40"/>
        <v>61337.742299999998</v>
      </c>
      <c r="F1343" s="7">
        <f t="shared" si="41"/>
        <v>1798281</v>
      </c>
      <c r="G1343" s="7"/>
    </row>
    <row r="1344" spans="1:7" x14ac:dyDescent="0.35">
      <c r="A1344" t="str">
        <f>"2010-06-25"</f>
        <v>2010-06-25</v>
      </c>
      <c r="B1344" t="str">
        <f>"44.9835"</f>
        <v>44.9835</v>
      </c>
      <c r="C1344">
        <v>1342</v>
      </c>
      <c r="D1344" s="7">
        <v>44.983499999999999</v>
      </c>
      <c r="E1344" s="7">
        <f t="shared" si="40"/>
        <v>60367.856999999996</v>
      </c>
      <c r="F1344" s="7">
        <f t="shared" si="41"/>
        <v>1800964</v>
      </c>
      <c r="G1344" s="7"/>
    </row>
    <row r="1345" spans="1:7" x14ac:dyDescent="0.35">
      <c r="A1345" t="str">
        <f>"2010-06-28"</f>
        <v>2010-06-28</v>
      </c>
      <c r="B1345" t="str">
        <f>"45.8195"</f>
        <v>45.8195</v>
      </c>
      <c r="C1345">
        <v>1343</v>
      </c>
      <c r="D1345" s="7">
        <v>45.819499999999998</v>
      </c>
      <c r="E1345" s="7">
        <f t="shared" si="40"/>
        <v>61535.588499999998</v>
      </c>
      <c r="F1345" s="7">
        <f t="shared" si="41"/>
        <v>1803649</v>
      </c>
      <c r="G1345" s="7"/>
    </row>
    <row r="1346" spans="1:7" x14ac:dyDescent="0.35">
      <c r="A1346" t="str">
        <f>"2010-06-29"</f>
        <v>2010-06-29</v>
      </c>
      <c r="B1346" t="str">
        <f>"44.7401"</f>
        <v>44.7401</v>
      </c>
      <c r="C1346">
        <v>1344</v>
      </c>
      <c r="D1346" s="7">
        <v>44.740099999999998</v>
      </c>
      <c r="E1346" s="7">
        <f t="shared" si="40"/>
        <v>60130.6944</v>
      </c>
      <c r="F1346" s="7">
        <f t="shared" si="41"/>
        <v>1806336</v>
      </c>
      <c r="G1346" s="7"/>
    </row>
    <row r="1347" spans="1:7" x14ac:dyDescent="0.35">
      <c r="A1347" t="str">
        <f>"2010-06-30"</f>
        <v>2010-06-30</v>
      </c>
      <c r="B1347" t="str">
        <f>"44.8627"</f>
        <v>44.8627</v>
      </c>
      <c r="C1347">
        <v>1345</v>
      </c>
      <c r="D1347" s="7">
        <v>44.862699999999997</v>
      </c>
      <c r="E1347" s="7">
        <f t="shared" si="40"/>
        <v>60340.331499999993</v>
      </c>
      <c r="F1347" s="7">
        <f t="shared" si="41"/>
        <v>1809025</v>
      </c>
      <c r="G1347" s="7"/>
    </row>
    <row r="1348" spans="1:7" x14ac:dyDescent="0.35">
      <c r="A1348" t="str">
        <f>"2010-07-01"</f>
        <v>2010-07-01</v>
      </c>
      <c r="B1348" t="str">
        <f>"45.9526"</f>
        <v>45.9526</v>
      </c>
      <c r="C1348">
        <v>1346</v>
      </c>
      <c r="D1348" s="7">
        <v>45.952599999999997</v>
      </c>
      <c r="E1348" s="7">
        <f t="shared" ref="E1348:E1411" si="42">C1348*D1348</f>
        <v>61852.199599999993</v>
      </c>
      <c r="F1348" s="7">
        <f t="shared" ref="F1348:F1411" si="43">C1348*C1348</f>
        <v>1811716</v>
      </c>
      <c r="G1348" s="7"/>
    </row>
    <row r="1349" spans="1:7" x14ac:dyDescent="0.35">
      <c r="A1349" t="str">
        <f>"2010-07-02"</f>
        <v>2010-07-02</v>
      </c>
      <c r="B1349" t="str">
        <f>"48.7719"</f>
        <v>48.7719</v>
      </c>
      <c r="C1349">
        <v>1347</v>
      </c>
      <c r="D1349" s="7">
        <v>48.771900000000002</v>
      </c>
      <c r="E1349" s="7">
        <f t="shared" si="42"/>
        <v>65695.749299999996</v>
      </c>
      <c r="F1349" s="7">
        <f t="shared" si="43"/>
        <v>1814409</v>
      </c>
      <c r="G1349" s="7"/>
    </row>
    <row r="1350" spans="1:7" x14ac:dyDescent="0.35">
      <c r="A1350" t="str">
        <f>"2010-07-06"</f>
        <v>2010-07-06</v>
      </c>
      <c r="B1350" t="str">
        <f>"50.5309"</f>
        <v>50.5309</v>
      </c>
      <c r="C1350">
        <v>1348</v>
      </c>
      <c r="D1350" s="7">
        <v>50.530900000000003</v>
      </c>
      <c r="E1350" s="7">
        <f t="shared" si="42"/>
        <v>68115.653200000001</v>
      </c>
      <c r="F1350" s="7">
        <f t="shared" si="43"/>
        <v>1817104</v>
      </c>
      <c r="G1350" s="7"/>
    </row>
    <row r="1351" spans="1:7" x14ac:dyDescent="0.35">
      <c r="A1351" t="str">
        <f>"2010-07-07"</f>
        <v>2010-07-07</v>
      </c>
      <c r="B1351" t="str">
        <f>"49.9636"</f>
        <v>49.9636</v>
      </c>
      <c r="C1351">
        <v>1349</v>
      </c>
      <c r="D1351" s="7">
        <v>49.9636</v>
      </c>
      <c r="E1351" s="7">
        <f t="shared" si="42"/>
        <v>67400.896399999998</v>
      </c>
      <c r="F1351" s="7">
        <f t="shared" si="43"/>
        <v>1819801</v>
      </c>
      <c r="G1351" s="7"/>
    </row>
    <row r="1352" spans="1:7" x14ac:dyDescent="0.35">
      <c r="A1352" t="str">
        <f>"2010-07-08"</f>
        <v>2010-07-08</v>
      </c>
      <c r="B1352" t="str">
        <f>"50.9446"</f>
        <v>50.9446</v>
      </c>
      <c r="C1352">
        <v>1350</v>
      </c>
      <c r="D1352" s="7">
        <v>50.944600000000001</v>
      </c>
      <c r="E1352" s="7">
        <f t="shared" si="42"/>
        <v>68775.210000000006</v>
      </c>
      <c r="F1352" s="7">
        <f t="shared" si="43"/>
        <v>1822500</v>
      </c>
      <c r="G1352" s="7"/>
    </row>
    <row r="1353" spans="1:7" x14ac:dyDescent="0.35">
      <c r="A1353" t="str">
        <f>"2010-07-09"</f>
        <v>2010-07-09</v>
      </c>
      <c r="B1353" t="str">
        <f>"49.9705"</f>
        <v>49.9705</v>
      </c>
      <c r="C1353">
        <v>1351</v>
      </c>
      <c r="D1353" s="7">
        <v>49.970500000000001</v>
      </c>
      <c r="E1353" s="7">
        <f t="shared" si="42"/>
        <v>67510.145499999999</v>
      </c>
      <c r="F1353" s="7">
        <f t="shared" si="43"/>
        <v>1825201</v>
      </c>
      <c r="G1353" s="7"/>
    </row>
    <row r="1354" spans="1:7" x14ac:dyDescent="0.35">
      <c r="A1354" t="str">
        <f>"2010-07-12"</f>
        <v>2010-07-12</v>
      </c>
      <c r="B1354" t="str">
        <f>"50.3651"</f>
        <v>50.3651</v>
      </c>
      <c r="C1354">
        <v>1352</v>
      </c>
      <c r="D1354" s="7">
        <v>50.365099999999998</v>
      </c>
      <c r="E1354" s="7">
        <f t="shared" si="42"/>
        <v>68093.6152</v>
      </c>
      <c r="F1354" s="7">
        <f t="shared" si="43"/>
        <v>1827904</v>
      </c>
      <c r="G1354" s="7"/>
    </row>
    <row r="1355" spans="1:7" x14ac:dyDescent="0.35">
      <c r="A1355" t="str">
        <f>"2010-07-13"</f>
        <v>2010-07-13</v>
      </c>
      <c r="B1355" t="str">
        <f>"50.5874"</f>
        <v>50.5874</v>
      </c>
      <c r="C1355">
        <v>1353</v>
      </c>
      <c r="D1355" s="7">
        <v>50.587400000000002</v>
      </c>
      <c r="E1355" s="7">
        <f t="shared" si="42"/>
        <v>68444.752200000003</v>
      </c>
      <c r="F1355" s="7">
        <f t="shared" si="43"/>
        <v>1830609</v>
      </c>
      <c r="G1355" s="7"/>
    </row>
    <row r="1356" spans="1:7" x14ac:dyDescent="0.35">
      <c r="A1356" t="str">
        <f>"2010-07-14"</f>
        <v>2010-07-14</v>
      </c>
      <c r="B1356" t="str">
        <f>"51.2549"</f>
        <v>51.2549</v>
      </c>
      <c r="C1356">
        <v>1354</v>
      </c>
      <c r="D1356" s="7">
        <v>51.254899999999999</v>
      </c>
      <c r="E1356" s="7">
        <f t="shared" si="42"/>
        <v>69399.134600000005</v>
      </c>
      <c r="F1356" s="7">
        <f t="shared" si="43"/>
        <v>1833316</v>
      </c>
      <c r="G1356" s="7"/>
    </row>
    <row r="1357" spans="1:7" x14ac:dyDescent="0.35">
      <c r="A1357" t="str">
        <f>"2010-07-15"</f>
        <v>2010-07-15</v>
      </c>
      <c r="B1357" t="str">
        <f>"52.1516"</f>
        <v>52.1516</v>
      </c>
      <c r="C1357">
        <v>1355</v>
      </c>
      <c r="D1357" s="7">
        <v>52.151600000000002</v>
      </c>
      <c r="E1357" s="7">
        <f t="shared" si="42"/>
        <v>70665.418000000005</v>
      </c>
      <c r="F1357" s="7">
        <f t="shared" si="43"/>
        <v>1836025</v>
      </c>
      <c r="G1357" s="7"/>
    </row>
    <row r="1358" spans="1:7" x14ac:dyDescent="0.35">
      <c r="A1358" t="str">
        <f>"2010-07-16"</f>
        <v>2010-07-16</v>
      </c>
      <c r="B1358" t="str">
        <f>"53.2548"</f>
        <v>53.2548</v>
      </c>
      <c r="C1358">
        <v>1356</v>
      </c>
      <c r="D1358" s="7">
        <v>53.254800000000003</v>
      </c>
      <c r="E1358" s="7">
        <f t="shared" si="42"/>
        <v>72213.508800000011</v>
      </c>
      <c r="F1358" s="7">
        <f t="shared" si="43"/>
        <v>1838736</v>
      </c>
      <c r="G1358" s="7"/>
    </row>
    <row r="1359" spans="1:7" x14ac:dyDescent="0.35">
      <c r="A1359" t="str">
        <f>"2010-07-19"</f>
        <v>2010-07-19</v>
      </c>
      <c r="B1359" t="str">
        <f>"54.3636"</f>
        <v>54.3636</v>
      </c>
      <c r="C1359">
        <v>1357</v>
      </c>
      <c r="D1359" s="7">
        <v>54.363599999999998</v>
      </c>
      <c r="E1359" s="7">
        <f t="shared" si="42"/>
        <v>73771.405199999994</v>
      </c>
      <c r="F1359" s="7">
        <f t="shared" si="43"/>
        <v>1841449</v>
      </c>
      <c r="G1359" s="7"/>
    </row>
    <row r="1360" spans="1:7" x14ac:dyDescent="0.35">
      <c r="A1360" t="str">
        <f>"2010-07-20"</f>
        <v>2010-07-20</v>
      </c>
      <c r="B1360" t="str">
        <f>"55.2319"</f>
        <v>55.2319</v>
      </c>
      <c r="C1360">
        <v>1358</v>
      </c>
      <c r="D1360" s="7">
        <v>55.231900000000003</v>
      </c>
      <c r="E1360" s="7">
        <f t="shared" si="42"/>
        <v>75004.920200000008</v>
      </c>
      <c r="F1360" s="7">
        <f t="shared" si="43"/>
        <v>1844164</v>
      </c>
      <c r="G1360" s="7"/>
    </row>
    <row r="1361" spans="1:7" x14ac:dyDescent="0.35">
      <c r="A1361" t="str">
        <f>"2010-07-21"</f>
        <v>2010-07-21</v>
      </c>
      <c r="B1361" t="str">
        <f>"55.5806"</f>
        <v>55.5806</v>
      </c>
      <c r="C1361">
        <v>1359</v>
      </c>
      <c r="D1361" s="7">
        <v>55.580599999999997</v>
      </c>
      <c r="E1361" s="7">
        <f t="shared" si="42"/>
        <v>75534.035399999993</v>
      </c>
      <c r="F1361" s="7">
        <f t="shared" si="43"/>
        <v>1846881</v>
      </c>
      <c r="G1361" s="7"/>
    </row>
    <row r="1362" spans="1:7" x14ac:dyDescent="0.35">
      <c r="A1362" t="str">
        <f>"2010-07-22"</f>
        <v>2010-07-22</v>
      </c>
      <c r="B1362" t="str">
        <f>"55.4317"</f>
        <v>55.4317</v>
      </c>
      <c r="C1362">
        <v>1360</v>
      </c>
      <c r="D1362" s="7">
        <v>55.431699999999999</v>
      </c>
      <c r="E1362" s="7">
        <f t="shared" si="42"/>
        <v>75387.111999999994</v>
      </c>
      <c r="F1362" s="7">
        <f t="shared" si="43"/>
        <v>1849600</v>
      </c>
      <c r="G1362" s="7"/>
    </row>
    <row r="1363" spans="1:7" x14ac:dyDescent="0.35">
      <c r="A1363" t="str">
        <f>"2010-07-23"</f>
        <v>2010-07-23</v>
      </c>
      <c r="B1363" t="str">
        <f>"55.4359"</f>
        <v>55.4359</v>
      </c>
      <c r="C1363">
        <v>1361</v>
      </c>
      <c r="D1363" s="7">
        <v>55.435899999999997</v>
      </c>
      <c r="E1363" s="7">
        <f t="shared" si="42"/>
        <v>75448.25989999999</v>
      </c>
      <c r="F1363" s="7">
        <f t="shared" si="43"/>
        <v>1852321</v>
      </c>
      <c r="G1363" s="7"/>
    </row>
    <row r="1364" spans="1:7" x14ac:dyDescent="0.35">
      <c r="A1364" t="str">
        <f>"2010-07-26"</f>
        <v>2010-07-26</v>
      </c>
      <c r="B1364" t="str">
        <f>"55.9359"</f>
        <v>55.9359</v>
      </c>
      <c r="C1364">
        <v>1362</v>
      </c>
      <c r="D1364" s="7">
        <v>55.935899999999997</v>
      </c>
      <c r="E1364" s="7">
        <f t="shared" si="42"/>
        <v>76184.695800000001</v>
      </c>
      <c r="F1364" s="7">
        <f t="shared" si="43"/>
        <v>1855044</v>
      </c>
      <c r="G1364" s="7"/>
    </row>
    <row r="1365" spans="1:7" x14ac:dyDescent="0.35">
      <c r="A1365" t="str">
        <f>"2010-07-27"</f>
        <v>2010-07-27</v>
      </c>
      <c r="B1365" t="str">
        <f>"58.5699"</f>
        <v>58.5699</v>
      </c>
      <c r="C1365">
        <v>1363</v>
      </c>
      <c r="D1365" s="7">
        <v>58.569899999999997</v>
      </c>
      <c r="E1365" s="7">
        <f t="shared" si="42"/>
        <v>79830.773699999991</v>
      </c>
      <c r="F1365" s="7">
        <f t="shared" si="43"/>
        <v>1857769</v>
      </c>
      <c r="G1365" s="7"/>
    </row>
    <row r="1366" spans="1:7" x14ac:dyDescent="0.35">
      <c r="A1366" t="str">
        <f>"2010-07-28"</f>
        <v>2010-07-28</v>
      </c>
      <c r="B1366" t="str">
        <f>"57.8533"</f>
        <v>57.8533</v>
      </c>
      <c r="C1366">
        <v>1364</v>
      </c>
      <c r="D1366" s="7">
        <v>57.853299999999997</v>
      </c>
      <c r="E1366" s="7">
        <f t="shared" si="42"/>
        <v>78911.901199999993</v>
      </c>
      <c r="F1366" s="7">
        <f t="shared" si="43"/>
        <v>1860496</v>
      </c>
      <c r="G1366" s="7"/>
    </row>
    <row r="1367" spans="1:7" x14ac:dyDescent="0.35">
      <c r="A1367" t="str">
        <f>"2010-07-29"</f>
        <v>2010-07-29</v>
      </c>
      <c r="B1367" t="str">
        <f>"56.9766"</f>
        <v>56.9766</v>
      </c>
      <c r="C1367">
        <v>1365</v>
      </c>
      <c r="D1367" s="7">
        <v>56.976599999999998</v>
      </c>
      <c r="E1367" s="7">
        <f t="shared" si="42"/>
        <v>77773.058999999994</v>
      </c>
      <c r="F1367" s="7">
        <f t="shared" si="43"/>
        <v>1863225</v>
      </c>
      <c r="G1367" s="7"/>
    </row>
    <row r="1368" spans="1:7" x14ac:dyDescent="0.35">
      <c r="A1368" t="str">
        <f>"2010-07-30"</f>
        <v>2010-07-30</v>
      </c>
      <c r="B1368" t="str">
        <f>"55.2625"</f>
        <v>55.2625</v>
      </c>
      <c r="C1368">
        <v>1366</v>
      </c>
      <c r="D1368" s="7">
        <v>55.262500000000003</v>
      </c>
      <c r="E1368" s="7">
        <f t="shared" si="42"/>
        <v>75488.574999999997</v>
      </c>
      <c r="F1368" s="7">
        <f t="shared" si="43"/>
        <v>1865956</v>
      </c>
      <c r="G1368" s="7"/>
    </row>
    <row r="1369" spans="1:7" x14ac:dyDescent="0.35">
      <c r="A1369" t="str">
        <f>"2010-08-02"</f>
        <v>2010-08-02</v>
      </c>
      <c r="B1369" t="str">
        <f>"55.6379"</f>
        <v>55.6379</v>
      </c>
      <c r="C1369">
        <v>1367</v>
      </c>
      <c r="D1369" s="7">
        <v>55.637900000000002</v>
      </c>
      <c r="E1369" s="7">
        <f t="shared" si="42"/>
        <v>76057.009300000005</v>
      </c>
      <c r="F1369" s="7">
        <f t="shared" si="43"/>
        <v>1868689</v>
      </c>
      <c r="G1369" s="7"/>
    </row>
    <row r="1370" spans="1:7" x14ac:dyDescent="0.35">
      <c r="A1370" t="str">
        <f>"2010-08-03"</f>
        <v>2010-08-03</v>
      </c>
      <c r="B1370" t="str">
        <f>"56.3594"</f>
        <v>56.3594</v>
      </c>
      <c r="C1370">
        <v>1368</v>
      </c>
      <c r="D1370" s="7">
        <v>56.359400000000001</v>
      </c>
      <c r="E1370" s="7">
        <f t="shared" si="42"/>
        <v>77099.659199999995</v>
      </c>
      <c r="F1370" s="7">
        <f t="shared" si="43"/>
        <v>1871424</v>
      </c>
      <c r="G1370" s="7"/>
    </row>
    <row r="1371" spans="1:7" x14ac:dyDescent="0.35">
      <c r="A1371" t="str">
        <f>"2010-08-04"</f>
        <v>2010-08-04</v>
      </c>
      <c r="B1371" t="str">
        <f>"55.7049"</f>
        <v>55.7049</v>
      </c>
      <c r="C1371">
        <v>1369</v>
      </c>
      <c r="D1371" s="7">
        <v>55.704900000000002</v>
      </c>
      <c r="E1371" s="7">
        <f t="shared" si="42"/>
        <v>76260.008100000006</v>
      </c>
      <c r="F1371" s="7">
        <f t="shared" si="43"/>
        <v>1874161</v>
      </c>
      <c r="G1371" s="7"/>
    </row>
    <row r="1372" spans="1:7" x14ac:dyDescent="0.35">
      <c r="A1372" t="str">
        <f>"2010-08-05"</f>
        <v>2010-08-05</v>
      </c>
      <c r="B1372" t="str">
        <f>"56.3291"</f>
        <v>56.3291</v>
      </c>
      <c r="C1372">
        <v>1370</v>
      </c>
      <c r="D1372" s="7">
        <v>56.329099999999997</v>
      </c>
      <c r="E1372" s="7">
        <f t="shared" si="42"/>
        <v>77170.866999999998</v>
      </c>
      <c r="F1372" s="7">
        <f t="shared" si="43"/>
        <v>1876900</v>
      </c>
      <c r="G1372" s="7"/>
    </row>
    <row r="1373" spans="1:7" x14ac:dyDescent="0.35">
      <c r="A1373" t="str">
        <f>"2010-08-06"</f>
        <v>2010-08-06</v>
      </c>
      <c r="B1373" t="str">
        <f>"55.6883"</f>
        <v>55.6883</v>
      </c>
      <c r="C1373">
        <v>1371</v>
      </c>
      <c r="D1373" s="7">
        <v>55.688299999999998</v>
      </c>
      <c r="E1373" s="7">
        <f t="shared" si="42"/>
        <v>76348.659299999999</v>
      </c>
      <c r="F1373" s="7">
        <f t="shared" si="43"/>
        <v>1879641</v>
      </c>
      <c r="G1373" s="7"/>
    </row>
    <row r="1374" spans="1:7" x14ac:dyDescent="0.35">
      <c r="A1374" t="str">
        <f>"2010-08-09"</f>
        <v>2010-08-09</v>
      </c>
      <c r="B1374" t="str">
        <f>"56.8293"</f>
        <v>56.8293</v>
      </c>
      <c r="C1374">
        <v>1372</v>
      </c>
      <c r="D1374" s="7">
        <v>56.829300000000003</v>
      </c>
      <c r="E1374" s="7">
        <f t="shared" si="42"/>
        <v>77969.799599999998</v>
      </c>
      <c r="F1374" s="7">
        <f t="shared" si="43"/>
        <v>1882384</v>
      </c>
      <c r="G1374" s="7"/>
    </row>
    <row r="1375" spans="1:7" x14ac:dyDescent="0.35">
      <c r="A1375" t="str">
        <f>"2010-08-10"</f>
        <v>2010-08-10</v>
      </c>
      <c r="B1375" t="str">
        <f>"56.6372"</f>
        <v>56.6372</v>
      </c>
      <c r="C1375">
        <v>1373</v>
      </c>
      <c r="D1375" s="7">
        <v>56.6372</v>
      </c>
      <c r="E1375" s="7">
        <f t="shared" si="42"/>
        <v>77762.875599999999</v>
      </c>
      <c r="F1375" s="7">
        <f t="shared" si="43"/>
        <v>1885129</v>
      </c>
      <c r="G1375" s="7"/>
    </row>
    <row r="1376" spans="1:7" x14ac:dyDescent="0.35">
      <c r="A1376" t="str">
        <f>"2010-08-11"</f>
        <v>2010-08-11</v>
      </c>
      <c r="B1376" t="str">
        <f>"55.8383"</f>
        <v>55.8383</v>
      </c>
      <c r="C1376">
        <v>1374</v>
      </c>
      <c r="D1376" s="7">
        <v>55.838299999999997</v>
      </c>
      <c r="E1376" s="7">
        <f t="shared" si="42"/>
        <v>76721.824200000003</v>
      </c>
      <c r="F1376" s="7">
        <f t="shared" si="43"/>
        <v>1887876</v>
      </c>
      <c r="G1376" s="7"/>
    </row>
    <row r="1377" spans="1:7" x14ac:dyDescent="0.35">
      <c r="A1377" t="str">
        <f>"2010-08-12"</f>
        <v>2010-08-12</v>
      </c>
      <c r="B1377" t="str">
        <f>"55.0491"</f>
        <v>55.0491</v>
      </c>
      <c r="C1377">
        <v>1375</v>
      </c>
      <c r="D1377" s="7">
        <v>55.049100000000003</v>
      </c>
      <c r="E1377" s="7">
        <f t="shared" si="42"/>
        <v>75692.512499999997</v>
      </c>
      <c r="F1377" s="7">
        <f t="shared" si="43"/>
        <v>1890625</v>
      </c>
      <c r="G1377" s="7"/>
    </row>
    <row r="1378" spans="1:7" x14ac:dyDescent="0.35">
      <c r="A1378" t="str">
        <f>"2010-08-13"</f>
        <v>2010-08-13</v>
      </c>
      <c r="B1378" t="str">
        <f>"55.503"</f>
        <v>55.503</v>
      </c>
      <c r="C1378">
        <v>1376</v>
      </c>
      <c r="D1378" s="7">
        <v>55.503</v>
      </c>
      <c r="E1378" s="7">
        <f t="shared" si="42"/>
        <v>76372.127999999997</v>
      </c>
      <c r="F1378" s="7">
        <f t="shared" si="43"/>
        <v>1893376</v>
      </c>
      <c r="G1378" s="7"/>
    </row>
    <row r="1379" spans="1:7" x14ac:dyDescent="0.35">
      <c r="A1379" t="str">
        <f>"2010-08-16"</f>
        <v>2010-08-16</v>
      </c>
      <c r="B1379" t="str">
        <f>"55.6484"</f>
        <v>55.6484</v>
      </c>
      <c r="C1379">
        <v>1377</v>
      </c>
      <c r="D1379" s="7">
        <v>55.648400000000002</v>
      </c>
      <c r="E1379" s="7">
        <f t="shared" si="42"/>
        <v>76627.846799999999</v>
      </c>
      <c r="F1379" s="7">
        <f t="shared" si="43"/>
        <v>1896129</v>
      </c>
      <c r="G1379" s="7"/>
    </row>
    <row r="1380" spans="1:7" x14ac:dyDescent="0.35">
      <c r="A1380" t="str">
        <f>"2010-08-17"</f>
        <v>2010-08-17</v>
      </c>
      <c r="B1380" t="str">
        <f>"56.0473"</f>
        <v>56.0473</v>
      </c>
      <c r="C1380">
        <v>1378</v>
      </c>
      <c r="D1380" s="7">
        <v>56.0473</v>
      </c>
      <c r="E1380" s="7">
        <f t="shared" si="42"/>
        <v>77233.179399999994</v>
      </c>
      <c r="F1380" s="7">
        <f t="shared" si="43"/>
        <v>1898884</v>
      </c>
      <c r="G1380" s="7"/>
    </row>
    <row r="1381" spans="1:7" x14ac:dyDescent="0.35">
      <c r="A1381" t="str">
        <f>"2010-08-18"</f>
        <v>2010-08-18</v>
      </c>
      <c r="B1381" t="str">
        <f>"57.8478"</f>
        <v>57.8478</v>
      </c>
      <c r="C1381">
        <v>1379</v>
      </c>
      <c r="D1381" s="7">
        <v>57.847799999999999</v>
      </c>
      <c r="E1381" s="7">
        <f t="shared" si="42"/>
        <v>79772.116200000004</v>
      </c>
      <c r="F1381" s="7">
        <f t="shared" si="43"/>
        <v>1901641</v>
      </c>
      <c r="G1381" s="7"/>
    </row>
    <row r="1382" spans="1:7" x14ac:dyDescent="0.35">
      <c r="A1382" t="str">
        <f>"2010-08-19"</f>
        <v>2010-08-19</v>
      </c>
      <c r="B1382" t="str">
        <f>"58.0355"</f>
        <v>58.0355</v>
      </c>
      <c r="C1382">
        <v>1380</v>
      </c>
      <c r="D1382" s="7">
        <v>58.035499999999999</v>
      </c>
      <c r="E1382" s="7">
        <f t="shared" si="42"/>
        <v>80088.990000000005</v>
      </c>
      <c r="F1382" s="7">
        <f t="shared" si="43"/>
        <v>1904400</v>
      </c>
      <c r="G1382" s="7"/>
    </row>
    <row r="1383" spans="1:7" x14ac:dyDescent="0.35">
      <c r="A1383" t="str">
        <f>"2010-08-20"</f>
        <v>2010-08-20</v>
      </c>
      <c r="B1383" t="str">
        <f>"58.212"</f>
        <v>58.212</v>
      </c>
      <c r="C1383">
        <v>1381</v>
      </c>
      <c r="D1383" s="7">
        <v>58.212000000000003</v>
      </c>
      <c r="E1383" s="7">
        <f t="shared" si="42"/>
        <v>80390.772000000012</v>
      </c>
      <c r="F1383" s="7">
        <f t="shared" si="43"/>
        <v>1907161</v>
      </c>
      <c r="G1383" s="7"/>
    </row>
    <row r="1384" spans="1:7" x14ac:dyDescent="0.35">
      <c r="A1384" t="str">
        <f>"2010-08-23"</f>
        <v>2010-08-23</v>
      </c>
      <c r="B1384" t="str">
        <f>"55.8153"</f>
        <v>55.8153</v>
      </c>
      <c r="C1384">
        <v>1382</v>
      </c>
      <c r="D1384" s="7">
        <v>55.815300000000001</v>
      </c>
      <c r="E1384" s="7">
        <f t="shared" si="42"/>
        <v>77136.744600000005</v>
      </c>
      <c r="F1384" s="7">
        <f t="shared" si="43"/>
        <v>1909924</v>
      </c>
      <c r="G1384" s="7"/>
    </row>
    <row r="1385" spans="1:7" x14ac:dyDescent="0.35">
      <c r="A1385" t="str">
        <f>"2010-08-24"</f>
        <v>2010-08-24</v>
      </c>
      <c r="B1385" t="str">
        <f>"56.5245"</f>
        <v>56.5245</v>
      </c>
      <c r="C1385">
        <v>1383</v>
      </c>
      <c r="D1385" s="7">
        <v>56.524500000000003</v>
      </c>
      <c r="E1385" s="7">
        <f t="shared" si="42"/>
        <v>78173.383500000011</v>
      </c>
      <c r="F1385" s="7">
        <f t="shared" si="43"/>
        <v>1912689</v>
      </c>
      <c r="G1385" s="7"/>
    </row>
    <row r="1386" spans="1:7" x14ac:dyDescent="0.35">
      <c r="A1386" t="str">
        <f>"2010-08-25"</f>
        <v>2010-08-25</v>
      </c>
      <c r="B1386" t="str">
        <f>"55.7857"</f>
        <v>55.7857</v>
      </c>
      <c r="C1386">
        <v>1384</v>
      </c>
      <c r="D1386" s="7">
        <v>55.785699999999999</v>
      </c>
      <c r="E1386" s="7">
        <f t="shared" si="42"/>
        <v>77207.408800000005</v>
      </c>
      <c r="F1386" s="7">
        <f t="shared" si="43"/>
        <v>1915456</v>
      </c>
      <c r="G1386" s="7"/>
    </row>
    <row r="1387" spans="1:7" x14ac:dyDescent="0.35">
      <c r="A1387" t="str">
        <f>"2010-08-26"</f>
        <v>2010-08-26</v>
      </c>
      <c r="B1387" t="str">
        <f>"56.9455"</f>
        <v>56.9455</v>
      </c>
      <c r="C1387">
        <v>1385</v>
      </c>
      <c r="D1387" s="7">
        <v>56.945500000000003</v>
      </c>
      <c r="E1387" s="7">
        <f t="shared" si="42"/>
        <v>78869.517500000002</v>
      </c>
      <c r="F1387" s="7">
        <f t="shared" si="43"/>
        <v>1918225</v>
      </c>
      <c r="G1387" s="7"/>
    </row>
    <row r="1388" spans="1:7" x14ac:dyDescent="0.35">
      <c r="A1388" t="str">
        <f>"2010-08-27"</f>
        <v>2010-08-27</v>
      </c>
      <c r="B1388" t="str">
        <f>"56.8353"</f>
        <v>56.8353</v>
      </c>
      <c r="C1388">
        <v>1386</v>
      </c>
      <c r="D1388" s="7">
        <v>56.835299999999997</v>
      </c>
      <c r="E1388" s="7">
        <f t="shared" si="42"/>
        <v>78773.7258</v>
      </c>
      <c r="F1388" s="7">
        <f t="shared" si="43"/>
        <v>1920996</v>
      </c>
      <c r="G1388" s="7"/>
    </row>
    <row r="1389" spans="1:7" x14ac:dyDescent="0.35">
      <c r="A1389" t="str">
        <f>"2010-08-30"</f>
        <v>2010-08-30</v>
      </c>
      <c r="B1389" t="str">
        <f>"57.3524"</f>
        <v>57.3524</v>
      </c>
      <c r="C1389">
        <v>1387</v>
      </c>
      <c r="D1389" s="7">
        <v>57.352400000000003</v>
      </c>
      <c r="E1389" s="7">
        <f t="shared" si="42"/>
        <v>79547.7788</v>
      </c>
      <c r="F1389" s="7">
        <f t="shared" si="43"/>
        <v>1923769</v>
      </c>
      <c r="G1389" s="7"/>
    </row>
    <row r="1390" spans="1:7" x14ac:dyDescent="0.35">
      <c r="A1390" t="str">
        <f>"2010-08-31"</f>
        <v>2010-08-31</v>
      </c>
      <c r="B1390" t="str">
        <f>"56.8978"</f>
        <v>56.8978</v>
      </c>
      <c r="C1390">
        <v>1388</v>
      </c>
      <c r="D1390" s="7">
        <v>56.897799999999997</v>
      </c>
      <c r="E1390" s="7">
        <f t="shared" si="42"/>
        <v>78974.146399999998</v>
      </c>
      <c r="F1390" s="7">
        <f t="shared" si="43"/>
        <v>1926544</v>
      </c>
      <c r="G1390" s="7"/>
    </row>
    <row r="1391" spans="1:7" x14ac:dyDescent="0.35">
      <c r="A1391" t="str">
        <f>"2010-09-01"</f>
        <v>2010-09-01</v>
      </c>
      <c r="B1391" t="str">
        <f>"58.1191"</f>
        <v>58.1191</v>
      </c>
      <c r="C1391">
        <v>1389</v>
      </c>
      <c r="D1391" s="7">
        <v>58.119100000000003</v>
      </c>
      <c r="E1391" s="7">
        <f t="shared" si="42"/>
        <v>80727.429900000003</v>
      </c>
      <c r="F1391" s="7">
        <f t="shared" si="43"/>
        <v>1929321</v>
      </c>
      <c r="G1391" s="7"/>
    </row>
    <row r="1392" spans="1:7" x14ac:dyDescent="0.35">
      <c r="A1392" t="str">
        <f>"2010-09-02"</f>
        <v>2010-09-02</v>
      </c>
      <c r="B1392" t="str">
        <f>"58.0526"</f>
        <v>58.0526</v>
      </c>
      <c r="C1392">
        <v>1390</v>
      </c>
      <c r="D1392" s="7">
        <v>58.052599999999998</v>
      </c>
      <c r="E1392" s="7">
        <f t="shared" si="42"/>
        <v>80693.114000000001</v>
      </c>
      <c r="F1392" s="7">
        <f t="shared" si="43"/>
        <v>1932100</v>
      </c>
      <c r="G1392" s="7"/>
    </row>
    <row r="1393" spans="1:7" x14ac:dyDescent="0.35">
      <c r="A1393" t="str">
        <f>"2010-09-03"</f>
        <v>2010-09-03</v>
      </c>
      <c r="B1393" t="str">
        <f>"58.3445"</f>
        <v>58.3445</v>
      </c>
      <c r="C1393">
        <v>1391</v>
      </c>
      <c r="D1393" s="7">
        <v>58.344499999999996</v>
      </c>
      <c r="E1393" s="7">
        <f t="shared" si="42"/>
        <v>81157.199499999988</v>
      </c>
      <c r="F1393" s="7">
        <f t="shared" si="43"/>
        <v>1934881</v>
      </c>
      <c r="G1393" s="7"/>
    </row>
    <row r="1394" spans="1:7" x14ac:dyDescent="0.35">
      <c r="A1394" t="str">
        <f>"2010-09-07"</f>
        <v>2010-09-07</v>
      </c>
      <c r="B1394" t="str">
        <f>"58.0581"</f>
        <v>58.0581</v>
      </c>
      <c r="C1394">
        <v>1392</v>
      </c>
      <c r="D1394" s="7">
        <v>58.058100000000003</v>
      </c>
      <c r="E1394" s="7">
        <f t="shared" si="42"/>
        <v>80816.875200000009</v>
      </c>
      <c r="F1394" s="7">
        <f t="shared" si="43"/>
        <v>1937664</v>
      </c>
      <c r="G1394" s="7"/>
    </row>
    <row r="1395" spans="1:7" x14ac:dyDescent="0.35">
      <c r="A1395" t="str">
        <f>"2010-09-08"</f>
        <v>2010-09-08</v>
      </c>
      <c r="B1395" t="str">
        <f>"57.6145"</f>
        <v>57.6145</v>
      </c>
      <c r="C1395">
        <v>1393</v>
      </c>
      <c r="D1395" s="7">
        <v>57.6145</v>
      </c>
      <c r="E1395" s="7">
        <f t="shared" si="42"/>
        <v>80256.998500000002</v>
      </c>
      <c r="F1395" s="7">
        <f t="shared" si="43"/>
        <v>1940449</v>
      </c>
      <c r="G1395" s="7"/>
    </row>
    <row r="1396" spans="1:7" x14ac:dyDescent="0.35">
      <c r="A1396" t="str">
        <f>"2010-09-09"</f>
        <v>2010-09-09</v>
      </c>
      <c r="B1396" t="str">
        <f>"57.9274"</f>
        <v>57.9274</v>
      </c>
      <c r="C1396">
        <v>1394</v>
      </c>
      <c r="D1396" s="7">
        <v>57.927399999999999</v>
      </c>
      <c r="E1396" s="7">
        <f t="shared" si="42"/>
        <v>80750.795599999998</v>
      </c>
      <c r="F1396" s="7">
        <f t="shared" si="43"/>
        <v>1943236</v>
      </c>
      <c r="G1396" s="7"/>
    </row>
    <row r="1397" spans="1:7" x14ac:dyDescent="0.35">
      <c r="A1397" t="str">
        <f>"2010-09-10"</f>
        <v>2010-09-10</v>
      </c>
      <c r="B1397" t="str">
        <f>"58.348"</f>
        <v>58.348</v>
      </c>
      <c r="C1397">
        <v>1395</v>
      </c>
      <c r="D1397" s="7">
        <v>58.347999999999999</v>
      </c>
      <c r="E1397" s="7">
        <f t="shared" si="42"/>
        <v>81395.459999999992</v>
      </c>
      <c r="F1397" s="7">
        <f t="shared" si="43"/>
        <v>1946025</v>
      </c>
      <c r="G1397" s="7"/>
    </row>
    <row r="1398" spans="1:7" x14ac:dyDescent="0.35">
      <c r="A1398" t="str">
        <f>"2010-09-13"</f>
        <v>2010-09-13</v>
      </c>
      <c r="B1398" t="str">
        <f>"59.6728"</f>
        <v>59.6728</v>
      </c>
      <c r="C1398">
        <v>1396</v>
      </c>
      <c r="D1398" s="7">
        <v>59.672800000000002</v>
      </c>
      <c r="E1398" s="7">
        <f t="shared" si="42"/>
        <v>83303.228799999997</v>
      </c>
      <c r="F1398" s="7">
        <f t="shared" si="43"/>
        <v>1948816</v>
      </c>
      <c r="G1398" s="7"/>
    </row>
    <row r="1399" spans="1:7" x14ac:dyDescent="0.35">
      <c r="A1399" t="str">
        <f>"2010-09-14"</f>
        <v>2010-09-14</v>
      </c>
      <c r="B1399" t="str">
        <f>"60.355"</f>
        <v>60.355</v>
      </c>
      <c r="C1399">
        <v>1397</v>
      </c>
      <c r="D1399" s="7">
        <v>60.354999999999997</v>
      </c>
      <c r="E1399" s="7">
        <f t="shared" si="42"/>
        <v>84315.934999999998</v>
      </c>
      <c r="F1399" s="7">
        <f t="shared" si="43"/>
        <v>1951609</v>
      </c>
      <c r="G1399" s="7"/>
    </row>
    <row r="1400" spans="1:7" x14ac:dyDescent="0.35">
      <c r="A1400" t="str">
        <f>"2010-09-15"</f>
        <v>2010-09-15</v>
      </c>
      <c r="B1400" t="str">
        <f>"62.1141"</f>
        <v>62.1141</v>
      </c>
      <c r="C1400">
        <v>1398</v>
      </c>
      <c r="D1400" s="7">
        <v>62.114100000000001</v>
      </c>
      <c r="E1400" s="7">
        <f t="shared" si="42"/>
        <v>86835.511800000007</v>
      </c>
      <c r="F1400" s="7">
        <f t="shared" si="43"/>
        <v>1954404</v>
      </c>
      <c r="G1400" s="7"/>
    </row>
    <row r="1401" spans="1:7" x14ac:dyDescent="0.35">
      <c r="A1401" t="str">
        <f>"2010-09-16"</f>
        <v>2010-09-16</v>
      </c>
      <c r="B1401" t="str">
        <f>"61.935"</f>
        <v>61.935</v>
      </c>
      <c r="C1401">
        <v>1399</v>
      </c>
      <c r="D1401" s="7">
        <v>61.935000000000002</v>
      </c>
      <c r="E1401" s="7">
        <f t="shared" si="42"/>
        <v>86647.065000000002</v>
      </c>
      <c r="F1401" s="7">
        <f t="shared" si="43"/>
        <v>1957201</v>
      </c>
      <c r="G1401" s="7"/>
    </row>
    <row r="1402" spans="1:7" x14ac:dyDescent="0.35">
      <c r="A1402" t="str">
        <f>"2010-09-17"</f>
        <v>2010-09-17</v>
      </c>
      <c r="B1402" t="str">
        <f>"61.5032"</f>
        <v>61.5032</v>
      </c>
      <c r="C1402">
        <v>1400</v>
      </c>
      <c r="D1402" s="7">
        <v>61.5032</v>
      </c>
      <c r="E1402" s="7">
        <f t="shared" si="42"/>
        <v>86104.48</v>
      </c>
      <c r="F1402" s="7">
        <f t="shared" si="43"/>
        <v>1960000</v>
      </c>
      <c r="G1402" s="7"/>
    </row>
    <row r="1403" spans="1:7" x14ac:dyDescent="0.35">
      <c r="A1403" t="str">
        <f>"2010-09-20"</f>
        <v>2010-09-20</v>
      </c>
      <c r="B1403" t="str">
        <f>"62.6283"</f>
        <v>62.6283</v>
      </c>
      <c r="C1403">
        <v>1401</v>
      </c>
      <c r="D1403" s="7">
        <v>62.628300000000003</v>
      </c>
      <c r="E1403" s="7">
        <f t="shared" si="42"/>
        <v>87742.248300000007</v>
      </c>
      <c r="F1403" s="7">
        <f t="shared" si="43"/>
        <v>1962801</v>
      </c>
      <c r="G1403" s="7"/>
    </row>
    <row r="1404" spans="1:7" x14ac:dyDescent="0.35">
      <c r="A1404" t="str">
        <f>"2010-09-21"</f>
        <v>2010-09-21</v>
      </c>
      <c r="B1404" t="str">
        <f>"63.0758"</f>
        <v>63.0758</v>
      </c>
      <c r="C1404">
        <v>1402</v>
      </c>
      <c r="D1404" s="7">
        <v>63.075800000000001</v>
      </c>
      <c r="E1404" s="7">
        <f t="shared" si="42"/>
        <v>88432.271600000007</v>
      </c>
      <c r="F1404" s="7">
        <f t="shared" si="43"/>
        <v>1965604</v>
      </c>
      <c r="G1404" s="7"/>
    </row>
    <row r="1405" spans="1:7" x14ac:dyDescent="0.35">
      <c r="A1405" t="str">
        <f>"2010-09-22"</f>
        <v>2010-09-22</v>
      </c>
      <c r="B1405" t="str">
        <f>"62.3186"</f>
        <v>62.3186</v>
      </c>
      <c r="C1405">
        <v>1403</v>
      </c>
      <c r="D1405" s="7">
        <v>62.318600000000004</v>
      </c>
      <c r="E1405" s="7">
        <f t="shared" si="42"/>
        <v>87432.995800000004</v>
      </c>
      <c r="F1405" s="7">
        <f t="shared" si="43"/>
        <v>1968409</v>
      </c>
      <c r="G1405" s="7"/>
    </row>
    <row r="1406" spans="1:7" x14ac:dyDescent="0.35">
      <c r="A1406" t="str">
        <f>"2010-09-23"</f>
        <v>2010-09-23</v>
      </c>
      <c r="B1406" t="str">
        <f>"61.6513"</f>
        <v>61.6513</v>
      </c>
      <c r="C1406">
        <v>1404</v>
      </c>
      <c r="D1406" s="7">
        <v>61.651299999999999</v>
      </c>
      <c r="E1406" s="7">
        <f t="shared" si="42"/>
        <v>86558.425199999998</v>
      </c>
      <c r="F1406" s="7">
        <f t="shared" si="43"/>
        <v>1971216</v>
      </c>
      <c r="G1406" s="7"/>
    </row>
    <row r="1407" spans="1:7" x14ac:dyDescent="0.35">
      <c r="A1407" t="str">
        <f>"2010-09-24"</f>
        <v>2010-09-24</v>
      </c>
      <c r="B1407" t="str">
        <f>"61.4834"</f>
        <v>61.4834</v>
      </c>
      <c r="C1407">
        <v>1405</v>
      </c>
      <c r="D1407" s="7">
        <v>61.483400000000003</v>
      </c>
      <c r="E1407" s="7">
        <f t="shared" si="42"/>
        <v>86384.177000000011</v>
      </c>
      <c r="F1407" s="7">
        <f t="shared" si="43"/>
        <v>1974025</v>
      </c>
      <c r="G1407" s="7"/>
    </row>
    <row r="1408" spans="1:7" x14ac:dyDescent="0.35">
      <c r="A1408" t="str">
        <f>"2010-09-27"</f>
        <v>2010-09-27</v>
      </c>
      <c r="B1408" t="str">
        <f>"62.4645"</f>
        <v>62.4645</v>
      </c>
      <c r="C1408">
        <v>1406</v>
      </c>
      <c r="D1408" s="7">
        <v>62.464500000000001</v>
      </c>
      <c r="E1408" s="7">
        <f t="shared" si="42"/>
        <v>87825.087</v>
      </c>
      <c r="F1408" s="7">
        <f t="shared" si="43"/>
        <v>1976836</v>
      </c>
      <c r="G1408" s="7"/>
    </row>
    <row r="1409" spans="1:7" x14ac:dyDescent="0.35">
      <c r="A1409" t="str">
        <f>"2010-09-28"</f>
        <v>2010-09-28</v>
      </c>
      <c r="B1409" t="str">
        <f>"65.1583"</f>
        <v>65.1583</v>
      </c>
      <c r="C1409">
        <v>1407</v>
      </c>
      <c r="D1409" s="7">
        <v>65.158299999999997</v>
      </c>
      <c r="E1409" s="7">
        <f t="shared" si="42"/>
        <v>91677.728099999993</v>
      </c>
      <c r="F1409" s="7">
        <f t="shared" si="43"/>
        <v>1979649</v>
      </c>
      <c r="G1409" s="7"/>
    </row>
    <row r="1410" spans="1:7" x14ac:dyDescent="0.35">
      <c r="A1410" t="str">
        <f>"2010-09-29"</f>
        <v>2010-09-29</v>
      </c>
      <c r="B1410" t="str">
        <f>"67.1145"</f>
        <v>67.1145</v>
      </c>
      <c r="C1410">
        <v>1408</v>
      </c>
      <c r="D1410" s="7">
        <v>67.114500000000007</v>
      </c>
      <c r="E1410" s="7">
        <f t="shared" si="42"/>
        <v>94497.216000000015</v>
      </c>
      <c r="F1410" s="7">
        <f t="shared" si="43"/>
        <v>1982464</v>
      </c>
      <c r="G1410" s="7"/>
    </row>
    <row r="1411" spans="1:7" x14ac:dyDescent="0.35">
      <c r="A1411" t="str">
        <f>"2010-09-30"</f>
        <v>2010-09-30</v>
      </c>
      <c r="B1411" t="str">
        <f>"70.1008"</f>
        <v>70.1008</v>
      </c>
      <c r="C1411">
        <v>1409</v>
      </c>
      <c r="D1411" s="7">
        <v>70.100800000000007</v>
      </c>
      <c r="E1411" s="7">
        <f t="shared" si="42"/>
        <v>98772.027200000011</v>
      </c>
      <c r="F1411" s="7">
        <f t="shared" si="43"/>
        <v>1985281</v>
      </c>
      <c r="G1411" s="7"/>
    </row>
    <row r="1412" spans="1:7" x14ac:dyDescent="0.35">
      <c r="A1412" t="str">
        <f>"2010-10-01"</f>
        <v>2010-10-01</v>
      </c>
      <c r="B1412" t="str">
        <f>"68.7007"</f>
        <v>68.7007</v>
      </c>
      <c r="C1412">
        <v>1410</v>
      </c>
      <c r="D1412" s="7">
        <v>68.700699999999998</v>
      </c>
      <c r="E1412" s="7">
        <f t="shared" ref="E1412:E1475" si="44">C1412*D1412</f>
        <v>96867.986999999994</v>
      </c>
      <c r="F1412" s="7">
        <f t="shared" ref="F1412:F1475" si="45">C1412*C1412</f>
        <v>1988100</v>
      </c>
      <c r="G1412" s="7"/>
    </row>
    <row r="1413" spans="1:7" x14ac:dyDescent="0.35">
      <c r="A1413" t="str">
        <f>"2010-10-04"</f>
        <v>2010-10-04</v>
      </c>
      <c r="B1413" t="str">
        <f>"70.0969"</f>
        <v>70.0969</v>
      </c>
      <c r="C1413">
        <v>1411</v>
      </c>
      <c r="D1413" s="7">
        <v>70.096900000000005</v>
      </c>
      <c r="E1413" s="7">
        <f t="shared" si="44"/>
        <v>98906.725900000005</v>
      </c>
      <c r="F1413" s="7">
        <f t="shared" si="45"/>
        <v>1990921</v>
      </c>
      <c r="G1413" s="7"/>
    </row>
    <row r="1414" spans="1:7" x14ac:dyDescent="0.35">
      <c r="A1414" t="str">
        <f>"2010-10-05"</f>
        <v>2010-10-05</v>
      </c>
      <c r="B1414" t="str">
        <f>"71.7366"</f>
        <v>71.7366</v>
      </c>
      <c r="C1414">
        <v>1412</v>
      </c>
      <c r="D1414" s="7">
        <v>71.736599999999996</v>
      </c>
      <c r="E1414" s="7">
        <f t="shared" si="44"/>
        <v>101292.07919999999</v>
      </c>
      <c r="F1414" s="7">
        <f t="shared" si="45"/>
        <v>1993744</v>
      </c>
      <c r="G1414" s="7"/>
    </row>
    <row r="1415" spans="1:7" x14ac:dyDescent="0.35">
      <c r="A1415" t="str">
        <f>"2010-10-06"</f>
        <v>2010-10-06</v>
      </c>
      <c r="B1415" t="str">
        <f>"71.5736"</f>
        <v>71.5736</v>
      </c>
      <c r="C1415">
        <v>1413</v>
      </c>
      <c r="D1415" s="7">
        <v>71.573599999999999</v>
      </c>
      <c r="E1415" s="7">
        <f t="shared" si="44"/>
        <v>101133.49679999999</v>
      </c>
      <c r="F1415" s="7">
        <f t="shared" si="45"/>
        <v>1996569</v>
      </c>
      <c r="G1415" s="7"/>
    </row>
    <row r="1416" spans="1:7" x14ac:dyDescent="0.35">
      <c r="A1416" t="str">
        <f>"2010-10-07"</f>
        <v>2010-10-07</v>
      </c>
      <c r="B1416" t="str">
        <f>"71.5869"</f>
        <v>71.5869</v>
      </c>
      <c r="C1416">
        <v>1414</v>
      </c>
      <c r="D1416" s="7">
        <v>71.5869</v>
      </c>
      <c r="E1416" s="7">
        <f t="shared" si="44"/>
        <v>101223.8766</v>
      </c>
      <c r="F1416" s="7">
        <f t="shared" si="45"/>
        <v>1999396</v>
      </c>
      <c r="G1416" s="7"/>
    </row>
    <row r="1417" spans="1:7" x14ac:dyDescent="0.35">
      <c r="A1417" t="str">
        <f>"2010-10-08"</f>
        <v>2010-10-08</v>
      </c>
      <c r="B1417" t="str">
        <f>"70.5848"</f>
        <v>70.5848</v>
      </c>
      <c r="C1417">
        <v>1415</v>
      </c>
      <c r="D1417" s="7">
        <v>70.584800000000001</v>
      </c>
      <c r="E1417" s="7">
        <f t="shared" si="44"/>
        <v>99877.491999999998</v>
      </c>
      <c r="F1417" s="7">
        <f t="shared" si="45"/>
        <v>2002225</v>
      </c>
      <c r="G1417" s="7"/>
    </row>
    <row r="1418" spans="1:7" x14ac:dyDescent="0.35">
      <c r="A1418" t="str">
        <f>"2010-10-11"</f>
        <v>2010-10-11</v>
      </c>
      <c r="B1418" t="str">
        <f>"72.0777"</f>
        <v>72.0777</v>
      </c>
      <c r="C1418">
        <v>1416</v>
      </c>
      <c r="D1418" s="7">
        <v>72.077699999999993</v>
      </c>
      <c r="E1418" s="7">
        <f t="shared" si="44"/>
        <v>102062.0232</v>
      </c>
      <c r="F1418" s="7">
        <f t="shared" si="45"/>
        <v>2005056</v>
      </c>
      <c r="G1418" s="7"/>
    </row>
    <row r="1419" spans="1:7" x14ac:dyDescent="0.35">
      <c r="A1419" t="str">
        <f>"2010-10-12"</f>
        <v>2010-10-12</v>
      </c>
      <c r="B1419" t="str">
        <f>"72.8103"</f>
        <v>72.8103</v>
      </c>
      <c r="C1419">
        <v>1417</v>
      </c>
      <c r="D1419" s="7">
        <v>72.810299999999998</v>
      </c>
      <c r="E1419" s="7">
        <f t="shared" si="44"/>
        <v>103172.1951</v>
      </c>
      <c r="F1419" s="7">
        <f t="shared" si="45"/>
        <v>2007889</v>
      </c>
      <c r="G1419" s="7"/>
    </row>
    <row r="1420" spans="1:7" x14ac:dyDescent="0.35">
      <c r="A1420" t="str">
        <f>"2010-10-13"</f>
        <v>2010-10-13</v>
      </c>
      <c r="B1420" t="str">
        <f>"70.0227"</f>
        <v>70.0227</v>
      </c>
      <c r="C1420">
        <v>1418</v>
      </c>
      <c r="D1420" s="7">
        <v>70.0227</v>
      </c>
      <c r="E1420" s="7">
        <f t="shared" si="44"/>
        <v>99292.188599999994</v>
      </c>
      <c r="F1420" s="7">
        <f t="shared" si="45"/>
        <v>2010724</v>
      </c>
      <c r="G1420" s="7"/>
    </row>
    <row r="1421" spans="1:7" x14ac:dyDescent="0.35">
      <c r="A1421" t="str">
        <f>"2010-10-14"</f>
        <v>2010-10-14</v>
      </c>
      <c r="B1421" t="str">
        <f>"67.5886"</f>
        <v>67.5886</v>
      </c>
      <c r="C1421">
        <v>1419</v>
      </c>
      <c r="D1421" s="7">
        <v>67.5886</v>
      </c>
      <c r="E1421" s="7">
        <f t="shared" si="44"/>
        <v>95908.223400000003</v>
      </c>
      <c r="F1421" s="7">
        <f t="shared" si="45"/>
        <v>2013561</v>
      </c>
      <c r="G1421" s="7"/>
    </row>
    <row r="1422" spans="1:7" x14ac:dyDescent="0.35">
      <c r="A1422" t="str">
        <f>"2010-10-15"</f>
        <v>2010-10-15</v>
      </c>
      <c r="B1422" t="str">
        <f>"68.367"</f>
        <v>68.367</v>
      </c>
      <c r="C1422">
        <v>1420</v>
      </c>
      <c r="D1422" s="7">
        <v>68.367000000000004</v>
      </c>
      <c r="E1422" s="7">
        <f t="shared" si="44"/>
        <v>97081.14</v>
      </c>
      <c r="F1422" s="7">
        <f t="shared" si="45"/>
        <v>2016400</v>
      </c>
      <c r="G1422" s="7"/>
    </row>
    <row r="1423" spans="1:7" x14ac:dyDescent="0.35">
      <c r="A1423" t="str">
        <f>"2010-10-18"</f>
        <v>2010-10-18</v>
      </c>
      <c r="B1423" t="str">
        <f>"68.1875"</f>
        <v>68.1875</v>
      </c>
      <c r="C1423">
        <v>1421</v>
      </c>
      <c r="D1423" s="7">
        <v>68.1875</v>
      </c>
      <c r="E1423" s="7">
        <f t="shared" si="44"/>
        <v>96894.4375</v>
      </c>
      <c r="F1423" s="7">
        <f t="shared" si="45"/>
        <v>2019241</v>
      </c>
      <c r="G1423" s="7"/>
    </row>
    <row r="1424" spans="1:7" x14ac:dyDescent="0.35">
      <c r="A1424" t="str">
        <f>"2010-10-19"</f>
        <v>2010-10-19</v>
      </c>
      <c r="B1424" t="str">
        <f>"69.9221"</f>
        <v>69.9221</v>
      </c>
      <c r="C1424">
        <v>1422</v>
      </c>
      <c r="D1424" s="7">
        <v>69.9221</v>
      </c>
      <c r="E1424" s="7">
        <f t="shared" si="44"/>
        <v>99429.226200000005</v>
      </c>
      <c r="F1424" s="7">
        <f t="shared" si="45"/>
        <v>2022084</v>
      </c>
      <c r="G1424" s="7"/>
    </row>
    <row r="1425" spans="1:7" x14ac:dyDescent="0.35">
      <c r="A1425" t="str">
        <f>"2010-10-20"</f>
        <v>2010-10-20</v>
      </c>
      <c r="B1425" t="str">
        <f>"69.4587"</f>
        <v>69.4587</v>
      </c>
      <c r="C1425">
        <v>1423</v>
      </c>
      <c r="D1425" s="7">
        <v>69.458699999999993</v>
      </c>
      <c r="E1425" s="7">
        <f t="shared" si="44"/>
        <v>98839.730099999986</v>
      </c>
      <c r="F1425" s="7">
        <f t="shared" si="45"/>
        <v>2024929</v>
      </c>
      <c r="G1425" s="7"/>
    </row>
    <row r="1426" spans="1:7" x14ac:dyDescent="0.35">
      <c r="A1426" t="str">
        <f>"2010-10-21"</f>
        <v>2010-10-21</v>
      </c>
      <c r="B1426" t="str">
        <f>"71.2219"</f>
        <v>71.2219</v>
      </c>
      <c r="C1426">
        <v>1424</v>
      </c>
      <c r="D1426" s="7">
        <v>71.221900000000005</v>
      </c>
      <c r="E1426" s="7">
        <f t="shared" si="44"/>
        <v>101419.98560000001</v>
      </c>
      <c r="F1426" s="7">
        <f t="shared" si="45"/>
        <v>2027776</v>
      </c>
      <c r="G1426" s="7"/>
    </row>
    <row r="1427" spans="1:7" x14ac:dyDescent="0.35">
      <c r="A1427" t="str">
        <f>"2010-10-22"</f>
        <v>2010-10-22</v>
      </c>
      <c r="B1427" t="str">
        <f>"72.2269"</f>
        <v>72.2269</v>
      </c>
      <c r="C1427">
        <v>1425</v>
      </c>
      <c r="D1427" s="7">
        <v>72.226900000000001</v>
      </c>
      <c r="E1427" s="7">
        <f t="shared" si="44"/>
        <v>102923.3325</v>
      </c>
      <c r="F1427" s="7">
        <f t="shared" si="45"/>
        <v>2030625</v>
      </c>
      <c r="G1427" s="7"/>
    </row>
    <row r="1428" spans="1:7" x14ac:dyDescent="0.35">
      <c r="A1428" t="str">
        <f>"2010-10-25"</f>
        <v>2010-10-25</v>
      </c>
      <c r="B1428" t="str">
        <f>"72.2499"</f>
        <v>72.2499</v>
      </c>
      <c r="C1428">
        <v>1426</v>
      </c>
      <c r="D1428" s="7">
        <v>72.249899999999997</v>
      </c>
      <c r="E1428" s="7">
        <f t="shared" si="44"/>
        <v>103028.35739999999</v>
      </c>
      <c r="F1428" s="7">
        <f t="shared" si="45"/>
        <v>2033476</v>
      </c>
      <c r="G1428" s="7"/>
    </row>
    <row r="1429" spans="1:7" x14ac:dyDescent="0.35">
      <c r="A1429" t="str">
        <f>"2010-10-26"</f>
        <v>2010-10-26</v>
      </c>
      <c r="B1429" t="str">
        <f>"73.162"</f>
        <v>73.162</v>
      </c>
      <c r="C1429">
        <v>1427</v>
      </c>
      <c r="D1429" s="7">
        <v>73.162000000000006</v>
      </c>
      <c r="E1429" s="7">
        <f t="shared" si="44"/>
        <v>104402.17400000001</v>
      </c>
      <c r="F1429" s="7">
        <f t="shared" si="45"/>
        <v>2036329</v>
      </c>
      <c r="G1429" s="7"/>
    </row>
    <row r="1430" spans="1:7" x14ac:dyDescent="0.35">
      <c r="A1430" t="str">
        <f>"2010-10-27"</f>
        <v>2010-10-27</v>
      </c>
      <c r="B1430" t="str">
        <f>"71.1713"</f>
        <v>71.1713</v>
      </c>
      <c r="C1430">
        <v>1428</v>
      </c>
      <c r="D1430" s="7">
        <v>71.171300000000002</v>
      </c>
      <c r="E1430" s="7">
        <f t="shared" si="44"/>
        <v>101632.6164</v>
      </c>
      <c r="F1430" s="7">
        <f t="shared" si="45"/>
        <v>2039184</v>
      </c>
      <c r="G1430" s="7"/>
    </row>
    <row r="1431" spans="1:7" x14ac:dyDescent="0.35">
      <c r="A1431" t="str">
        <f>"2010-10-28"</f>
        <v>2010-10-28</v>
      </c>
      <c r="B1431" t="str">
        <f>"69.275"</f>
        <v>69.275</v>
      </c>
      <c r="C1431">
        <v>1429</v>
      </c>
      <c r="D1431" s="7">
        <v>69.275000000000006</v>
      </c>
      <c r="E1431" s="7">
        <f t="shared" si="44"/>
        <v>98993.975000000006</v>
      </c>
      <c r="F1431" s="7">
        <f t="shared" si="45"/>
        <v>2042041</v>
      </c>
      <c r="G1431" s="7"/>
    </row>
    <row r="1432" spans="1:7" x14ac:dyDescent="0.35">
      <c r="A1432" t="str">
        <f>"2010-10-29"</f>
        <v>2010-10-29</v>
      </c>
      <c r="B1432" t="str">
        <f>"69.1372"</f>
        <v>69.1372</v>
      </c>
      <c r="C1432">
        <v>1430</v>
      </c>
      <c r="D1432" s="7">
        <v>69.137200000000007</v>
      </c>
      <c r="E1432" s="7">
        <f t="shared" si="44"/>
        <v>98866.196000000011</v>
      </c>
      <c r="F1432" s="7">
        <f t="shared" si="45"/>
        <v>2044900</v>
      </c>
      <c r="G1432" s="7"/>
    </row>
    <row r="1433" spans="1:7" x14ac:dyDescent="0.35">
      <c r="A1433" t="str">
        <f>"2010-11-01"</f>
        <v>2010-11-01</v>
      </c>
      <c r="B1433" t="str">
        <f>"68.7911"</f>
        <v>68.7911</v>
      </c>
      <c r="C1433">
        <v>1431</v>
      </c>
      <c r="D1433" s="7">
        <v>68.7911</v>
      </c>
      <c r="E1433" s="7">
        <f t="shared" si="44"/>
        <v>98440.064100000003</v>
      </c>
      <c r="F1433" s="7">
        <f t="shared" si="45"/>
        <v>2047761</v>
      </c>
      <c r="G1433" s="7"/>
    </row>
    <row r="1434" spans="1:7" x14ac:dyDescent="0.35">
      <c r="A1434" t="str">
        <f>"2010-11-02"</f>
        <v>2010-11-02</v>
      </c>
      <c r="B1434" t="str">
        <f>"68.3417"</f>
        <v>68.3417</v>
      </c>
      <c r="C1434">
        <v>1432</v>
      </c>
      <c r="D1434" s="7">
        <v>68.341700000000003</v>
      </c>
      <c r="E1434" s="7">
        <f t="shared" si="44"/>
        <v>97865.314400000003</v>
      </c>
      <c r="F1434" s="7">
        <f t="shared" si="45"/>
        <v>2050624</v>
      </c>
      <c r="G1434" s="7"/>
    </row>
    <row r="1435" spans="1:7" x14ac:dyDescent="0.35">
      <c r="A1435" t="str">
        <f>"2010-11-03"</f>
        <v>2010-11-03</v>
      </c>
      <c r="B1435" t="str">
        <f>"70.7983"</f>
        <v>70.7983</v>
      </c>
      <c r="C1435">
        <v>1433</v>
      </c>
      <c r="D1435" s="7">
        <v>70.798299999999998</v>
      </c>
      <c r="E1435" s="7">
        <f t="shared" si="44"/>
        <v>101453.9639</v>
      </c>
      <c r="F1435" s="7">
        <f t="shared" si="45"/>
        <v>2053489</v>
      </c>
      <c r="G1435" s="7"/>
    </row>
    <row r="1436" spans="1:7" x14ac:dyDescent="0.35">
      <c r="A1436" t="str">
        <f>"2010-11-04"</f>
        <v>2010-11-04</v>
      </c>
      <c r="B1436" t="str">
        <f>"71.3774"</f>
        <v>71.3774</v>
      </c>
      <c r="C1436">
        <v>1434</v>
      </c>
      <c r="D1436" s="7">
        <v>71.377399999999994</v>
      </c>
      <c r="E1436" s="7">
        <f t="shared" si="44"/>
        <v>102355.19159999999</v>
      </c>
      <c r="F1436" s="7">
        <f t="shared" si="45"/>
        <v>2056356</v>
      </c>
      <c r="G1436" s="7"/>
    </row>
    <row r="1437" spans="1:7" x14ac:dyDescent="0.35">
      <c r="A1437" t="str">
        <f>"2010-11-05"</f>
        <v>2010-11-05</v>
      </c>
      <c r="B1437" t="str">
        <f>"70.4083"</f>
        <v>70.4083</v>
      </c>
      <c r="C1437">
        <v>1435</v>
      </c>
      <c r="D1437" s="7">
        <v>70.408299999999997</v>
      </c>
      <c r="E1437" s="7">
        <f t="shared" si="44"/>
        <v>101035.9105</v>
      </c>
      <c r="F1437" s="7">
        <f t="shared" si="45"/>
        <v>2059225</v>
      </c>
      <c r="G1437" s="7"/>
    </row>
    <row r="1438" spans="1:7" x14ac:dyDescent="0.35">
      <c r="A1438" t="str">
        <f>"2010-11-08"</f>
        <v>2010-11-08</v>
      </c>
      <c r="B1438" t="str">
        <f>"70.2118"</f>
        <v>70.2118</v>
      </c>
      <c r="C1438">
        <v>1436</v>
      </c>
      <c r="D1438" s="7">
        <v>70.211799999999997</v>
      </c>
      <c r="E1438" s="7">
        <f t="shared" si="44"/>
        <v>100824.14479999999</v>
      </c>
      <c r="F1438" s="7">
        <f t="shared" si="45"/>
        <v>2062096</v>
      </c>
      <c r="G1438" s="7"/>
    </row>
    <row r="1439" spans="1:7" x14ac:dyDescent="0.35">
      <c r="A1439" t="str">
        <f>"2010-11-09"</f>
        <v>2010-11-09</v>
      </c>
      <c r="B1439" t="str">
        <f>"70.0815"</f>
        <v>70.0815</v>
      </c>
      <c r="C1439">
        <v>1437</v>
      </c>
      <c r="D1439" s="7">
        <v>70.081500000000005</v>
      </c>
      <c r="E1439" s="7">
        <f t="shared" si="44"/>
        <v>100707.11550000001</v>
      </c>
      <c r="F1439" s="7">
        <f t="shared" si="45"/>
        <v>2064969</v>
      </c>
      <c r="G1439" s="7"/>
    </row>
    <row r="1440" spans="1:7" x14ac:dyDescent="0.35">
      <c r="A1440" t="str">
        <f>"2010-11-10"</f>
        <v>2010-11-10</v>
      </c>
      <c r="B1440" t="str">
        <f>"69.4767"</f>
        <v>69.4767</v>
      </c>
      <c r="C1440">
        <v>1438</v>
      </c>
      <c r="D1440" s="7">
        <v>69.476699999999994</v>
      </c>
      <c r="E1440" s="7">
        <f t="shared" si="44"/>
        <v>99907.494599999991</v>
      </c>
      <c r="F1440" s="7">
        <f t="shared" si="45"/>
        <v>2067844</v>
      </c>
      <c r="G1440" s="7"/>
    </row>
    <row r="1441" spans="1:7" x14ac:dyDescent="0.35">
      <c r="A1441" t="str">
        <f>"2010-11-11"</f>
        <v>2010-11-11</v>
      </c>
      <c r="B1441" t="str">
        <f>"69.2737"</f>
        <v>69.2737</v>
      </c>
      <c r="C1441">
        <v>1439</v>
      </c>
      <c r="D1441" s="7">
        <v>69.273700000000005</v>
      </c>
      <c r="E1441" s="7">
        <f t="shared" si="44"/>
        <v>99684.854300000006</v>
      </c>
      <c r="F1441" s="7">
        <f t="shared" si="45"/>
        <v>2070721</v>
      </c>
      <c r="G1441" s="7"/>
    </row>
    <row r="1442" spans="1:7" x14ac:dyDescent="0.35">
      <c r="A1442" t="str">
        <f>"2010-11-12"</f>
        <v>2010-11-12</v>
      </c>
      <c r="B1442" t="str">
        <f>"67.6859"</f>
        <v>67.6859</v>
      </c>
      <c r="C1442">
        <v>1440</v>
      </c>
      <c r="D1442" s="7">
        <v>67.685900000000004</v>
      </c>
      <c r="E1442" s="7">
        <f t="shared" si="44"/>
        <v>97467.696000000011</v>
      </c>
      <c r="F1442" s="7">
        <f t="shared" si="45"/>
        <v>2073600</v>
      </c>
      <c r="G1442" s="7"/>
    </row>
    <row r="1443" spans="1:7" x14ac:dyDescent="0.35">
      <c r="A1443" t="str">
        <f>"2010-11-15"</f>
        <v>2010-11-15</v>
      </c>
      <c r="B1443" t="str">
        <f>"68.0511"</f>
        <v>68.0511</v>
      </c>
      <c r="C1443">
        <v>1441</v>
      </c>
      <c r="D1443" s="7">
        <v>68.051100000000005</v>
      </c>
      <c r="E1443" s="7">
        <f t="shared" si="44"/>
        <v>98061.635100000014</v>
      </c>
      <c r="F1443" s="7">
        <f t="shared" si="45"/>
        <v>2076481</v>
      </c>
      <c r="G1443" s="7"/>
    </row>
    <row r="1444" spans="1:7" x14ac:dyDescent="0.35">
      <c r="A1444" t="str">
        <f>"2010-11-16"</f>
        <v>2010-11-16</v>
      </c>
      <c r="B1444" t="str">
        <f>"69.2541"</f>
        <v>69.2541</v>
      </c>
      <c r="C1444">
        <v>1442</v>
      </c>
      <c r="D1444" s="7">
        <v>69.254099999999994</v>
      </c>
      <c r="E1444" s="7">
        <f t="shared" si="44"/>
        <v>99864.412199999992</v>
      </c>
      <c r="F1444" s="7">
        <f t="shared" si="45"/>
        <v>2079364</v>
      </c>
      <c r="G1444" s="7"/>
    </row>
    <row r="1445" spans="1:7" x14ac:dyDescent="0.35">
      <c r="A1445" t="str">
        <f>"2010-11-17"</f>
        <v>2010-11-17</v>
      </c>
      <c r="B1445" t="str">
        <f>"68.5066"</f>
        <v>68.5066</v>
      </c>
      <c r="C1445">
        <v>1443</v>
      </c>
      <c r="D1445" s="7">
        <v>68.506600000000006</v>
      </c>
      <c r="E1445" s="7">
        <f t="shared" si="44"/>
        <v>98855.02380000001</v>
      </c>
      <c r="F1445" s="7">
        <f t="shared" si="45"/>
        <v>2082249</v>
      </c>
      <c r="G1445" s="7"/>
    </row>
    <row r="1446" spans="1:7" x14ac:dyDescent="0.35">
      <c r="A1446" t="str">
        <f>"2010-11-18"</f>
        <v>2010-11-18</v>
      </c>
      <c r="B1446" t="str">
        <f>"68.1388"</f>
        <v>68.1388</v>
      </c>
      <c r="C1446">
        <v>1444</v>
      </c>
      <c r="D1446" s="7">
        <v>68.138800000000003</v>
      </c>
      <c r="E1446" s="7">
        <f t="shared" si="44"/>
        <v>98392.427200000006</v>
      </c>
      <c r="F1446" s="7">
        <f t="shared" si="45"/>
        <v>2085136</v>
      </c>
      <c r="G1446" s="7"/>
    </row>
    <row r="1447" spans="1:7" x14ac:dyDescent="0.35">
      <c r="A1447" t="str">
        <f>"2010-11-19"</f>
        <v>2010-11-19</v>
      </c>
      <c r="B1447" t="str">
        <f>"68.7135"</f>
        <v>68.7135</v>
      </c>
      <c r="C1447">
        <v>1445</v>
      </c>
      <c r="D1447" s="7">
        <v>68.713499999999996</v>
      </c>
      <c r="E1447" s="7">
        <f t="shared" si="44"/>
        <v>99291.007499999992</v>
      </c>
      <c r="F1447" s="7">
        <f t="shared" si="45"/>
        <v>2088025</v>
      </c>
      <c r="G1447" s="7"/>
    </row>
    <row r="1448" spans="1:7" x14ac:dyDescent="0.35">
      <c r="A1448" t="str">
        <f>"2010-11-22"</f>
        <v>2010-11-22</v>
      </c>
      <c r="B1448" t="str">
        <f>"66.9895"</f>
        <v>66.9895</v>
      </c>
      <c r="C1448">
        <v>1446</v>
      </c>
      <c r="D1448" s="7">
        <v>66.989500000000007</v>
      </c>
      <c r="E1448" s="7">
        <f t="shared" si="44"/>
        <v>96866.81700000001</v>
      </c>
      <c r="F1448" s="7">
        <f t="shared" si="45"/>
        <v>2090916</v>
      </c>
      <c r="G1448" s="7"/>
    </row>
    <row r="1449" spans="1:7" x14ac:dyDescent="0.35">
      <c r="A1449" t="str">
        <f>"2010-11-23"</f>
        <v>2010-11-23</v>
      </c>
      <c r="B1449" t="str">
        <f>"62.3896"</f>
        <v>62.3896</v>
      </c>
      <c r="C1449">
        <v>1447</v>
      </c>
      <c r="D1449" s="7">
        <v>62.389600000000002</v>
      </c>
      <c r="E1449" s="7">
        <f t="shared" si="44"/>
        <v>90277.751199999999</v>
      </c>
      <c r="F1449" s="7">
        <f t="shared" si="45"/>
        <v>2093809</v>
      </c>
      <c r="G1449" s="7"/>
    </row>
    <row r="1450" spans="1:7" x14ac:dyDescent="0.35">
      <c r="A1450" t="str">
        <f>"2010-11-24"</f>
        <v>2010-11-24</v>
      </c>
      <c r="B1450" t="str">
        <f>"61.6077"</f>
        <v>61.6077</v>
      </c>
      <c r="C1450">
        <v>1448</v>
      </c>
      <c r="D1450" s="7">
        <v>61.607700000000001</v>
      </c>
      <c r="E1450" s="7">
        <f t="shared" si="44"/>
        <v>89207.949600000007</v>
      </c>
      <c r="F1450" s="7">
        <f t="shared" si="45"/>
        <v>2096704</v>
      </c>
      <c r="G1450" s="7"/>
    </row>
    <row r="1451" spans="1:7" x14ac:dyDescent="0.35">
      <c r="A1451" t="str">
        <f>"2010-11-26"</f>
        <v>2010-11-26</v>
      </c>
      <c r="B1451" t="str">
        <f>"63.2136"</f>
        <v>63.2136</v>
      </c>
      <c r="C1451">
        <v>1449</v>
      </c>
      <c r="D1451" s="7">
        <v>63.2136</v>
      </c>
      <c r="E1451" s="7">
        <f t="shared" si="44"/>
        <v>91596.506399999998</v>
      </c>
      <c r="F1451" s="7">
        <f t="shared" si="45"/>
        <v>2099601</v>
      </c>
      <c r="G1451" s="7"/>
    </row>
    <row r="1452" spans="1:7" x14ac:dyDescent="0.35">
      <c r="A1452" t="str">
        <f>"2010-11-29"</f>
        <v>2010-11-29</v>
      </c>
      <c r="B1452" t="str">
        <f>"59.0946"</f>
        <v>59.0946</v>
      </c>
      <c r="C1452">
        <v>1450</v>
      </c>
      <c r="D1452" s="7">
        <v>59.0946</v>
      </c>
      <c r="E1452" s="7">
        <f t="shared" si="44"/>
        <v>85687.17</v>
      </c>
      <c r="F1452" s="7">
        <f t="shared" si="45"/>
        <v>2102500</v>
      </c>
      <c r="G1452" s="7"/>
    </row>
    <row r="1453" spans="1:7" x14ac:dyDescent="0.35">
      <c r="A1453" t="str">
        <f>"2010-11-30"</f>
        <v>2010-11-30</v>
      </c>
      <c r="B1453" t="str">
        <f>"59.129"</f>
        <v>59.129</v>
      </c>
      <c r="C1453">
        <v>1451</v>
      </c>
      <c r="D1453" s="7">
        <v>59.128999999999998</v>
      </c>
      <c r="E1453" s="7">
        <f t="shared" si="44"/>
        <v>85796.179000000004</v>
      </c>
      <c r="F1453" s="7">
        <f t="shared" si="45"/>
        <v>2105401</v>
      </c>
      <c r="G1453" s="7"/>
    </row>
    <row r="1454" spans="1:7" x14ac:dyDescent="0.35">
      <c r="A1454" t="str">
        <f>"2010-12-01"</f>
        <v>2010-12-01</v>
      </c>
      <c r="B1454" t="str">
        <f>"59.9039"</f>
        <v>59.9039</v>
      </c>
      <c r="C1454">
        <v>1452</v>
      </c>
      <c r="D1454" s="7">
        <v>59.9039</v>
      </c>
      <c r="E1454" s="7">
        <f t="shared" si="44"/>
        <v>86980.462799999994</v>
      </c>
      <c r="F1454" s="7">
        <f t="shared" si="45"/>
        <v>2108304</v>
      </c>
      <c r="G1454" s="7"/>
    </row>
    <row r="1455" spans="1:7" x14ac:dyDescent="0.35">
      <c r="A1455" t="str">
        <f>"2010-12-02"</f>
        <v>2010-12-02</v>
      </c>
      <c r="B1455" t="str">
        <f>"61.0776"</f>
        <v>61.0776</v>
      </c>
      <c r="C1455">
        <v>1453</v>
      </c>
      <c r="D1455" s="7">
        <v>61.077599999999997</v>
      </c>
      <c r="E1455" s="7">
        <f t="shared" si="44"/>
        <v>88745.752800000002</v>
      </c>
      <c r="F1455" s="7">
        <f t="shared" si="45"/>
        <v>2111209</v>
      </c>
      <c r="G1455" s="7"/>
    </row>
    <row r="1456" spans="1:7" x14ac:dyDescent="0.35">
      <c r="A1456" t="str">
        <f>"2010-12-03"</f>
        <v>2010-12-03</v>
      </c>
      <c r="B1456" t="str">
        <f>"58.5025"</f>
        <v>58.5025</v>
      </c>
      <c r="C1456">
        <v>1454</v>
      </c>
      <c r="D1456" s="7">
        <v>58.502499999999998</v>
      </c>
      <c r="E1456" s="7">
        <f t="shared" si="44"/>
        <v>85062.634999999995</v>
      </c>
      <c r="F1456" s="7">
        <f t="shared" si="45"/>
        <v>2114116</v>
      </c>
      <c r="G1456" s="7"/>
    </row>
    <row r="1457" spans="1:7" x14ac:dyDescent="0.35">
      <c r="A1457" t="str">
        <f>"2010-12-06"</f>
        <v>2010-12-06</v>
      </c>
      <c r="B1457" t="str">
        <f>"57.4616"</f>
        <v>57.4616</v>
      </c>
      <c r="C1457">
        <v>1455</v>
      </c>
      <c r="D1457" s="7">
        <v>57.461599999999997</v>
      </c>
      <c r="E1457" s="7">
        <f t="shared" si="44"/>
        <v>83606.627999999997</v>
      </c>
      <c r="F1457" s="7">
        <f t="shared" si="45"/>
        <v>2117025</v>
      </c>
      <c r="G1457" s="7"/>
    </row>
    <row r="1458" spans="1:7" x14ac:dyDescent="0.35">
      <c r="A1458" t="str">
        <f>"2010-12-07"</f>
        <v>2010-12-07</v>
      </c>
      <c r="B1458" t="str">
        <f>"56.7649"</f>
        <v>56.7649</v>
      </c>
      <c r="C1458">
        <v>1456</v>
      </c>
      <c r="D1458" s="7">
        <v>56.764899999999997</v>
      </c>
      <c r="E1458" s="7">
        <f t="shared" si="44"/>
        <v>82649.694399999993</v>
      </c>
      <c r="F1458" s="7">
        <f t="shared" si="45"/>
        <v>2119936</v>
      </c>
      <c r="G1458" s="7"/>
    </row>
    <row r="1459" spans="1:7" x14ac:dyDescent="0.35">
      <c r="A1459" t="str">
        <f>"2010-12-08"</f>
        <v>2010-12-08</v>
      </c>
      <c r="B1459" t="str">
        <f>"57.8775"</f>
        <v>57.8775</v>
      </c>
      <c r="C1459">
        <v>1457</v>
      </c>
      <c r="D1459" s="7">
        <v>57.877499999999998</v>
      </c>
      <c r="E1459" s="7">
        <f t="shared" si="44"/>
        <v>84327.517500000002</v>
      </c>
      <c r="F1459" s="7">
        <f t="shared" si="45"/>
        <v>2122849</v>
      </c>
      <c r="G1459" s="7"/>
    </row>
    <row r="1460" spans="1:7" x14ac:dyDescent="0.35">
      <c r="A1460" t="str">
        <f>"2010-12-09"</f>
        <v>2010-12-09</v>
      </c>
      <c r="B1460" t="str">
        <f>"55.3243"</f>
        <v>55.3243</v>
      </c>
      <c r="C1460">
        <v>1458</v>
      </c>
      <c r="D1460" s="7">
        <v>55.324300000000001</v>
      </c>
      <c r="E1460" s="7">
        <f t="shared" si="44"/>
        <v>80662.829400000002</v>
      </c>
      <c r="F1460" s="7">
        <f t="shared" si="45"/>
        <v>2125764</v>
      </c>
      <c r="G1460" s="7"/>
    </row>
    <row r="1461" spans="1:7" x14ac:dyDescent="0.35">
      <c r="A1461" t="str">
        <f>"2010-12-10"</f>
        <v>2010-12-10</v>
      </c>
      <c r="B1461" t="str">
        <f>"54.0203"</f>
        <v>54.0203</v>
      </c>
      <c r="C1461">
        <v>1459</v>
      </c>
      <c r="D1461" s="7">
        <v>54.020299999999999</v>
      </c>
      <c r="E1461" s="7">
        <f t="shared" si="44"/>
        <v>78815.617700000003</v>
      </c>
      <c r="F1461" s="7">
        <f t="shared" si="45"/>
        <v>2128681</v>
      </c>
      <c r="G1461" s="7"/>
    </row>
    <row r="1462" spans="1:7" x14ac:dyDescent="0.35">
      <c r="A1462" t="str">
        <f>"2010-12-13"</f>
        <v>2010-12-13</v>
      </c>
      <c r="B1462" t="str">
        <f>"54.304"</f>
        <v>54.304</v>
      </c>
      <c r="C1462">
        <v>1460</v>
      </c>
      <c r="D1462" s="7">
        <v>54.304000000000002</v>
      </c>
      <c r="E1462" s="7">
        <f t="shared" si="44"/>
        <v>79283.839999999997</v>
      </c>
      <c r="F1462" s="7">
        <f t="shared" si="45"/>
        <v>2131600</v>
      </c>
      <c r="G1462" s="7"/>
    </row>
    <row r="1463" spans="1:7" x14ac:dyDescent="0.35">
      <c r="A1463" t="str">
        <f>"2010-12-14"</f>
        <v>2010-12-14</v>
      </c>
      <c r="B1463" t="str">
        <f>"55.8904"</f>
        <v>55.8904</v>
      </c>
      <c r="C1463">
        <v>1461</v>
      </c>
      <c r="D1463" s="7">
        <v>55.8904</v>
      </c>
      <c r="E1463" s="7">
        <f t="shared" si="44"/>
        <v>81655.874400000001</v>
      </c>
      <c r="F1463" s="7">
        <f t="shared" si="45"/>
        <v>2134521</v>
      </c>
      <c r="G1463" s="7"/>
    </row>
    <row r="1464" spans="1:7" x14ac:dyDescent="0.35">
      <c r="A1464" t="str">
        <f>"2010-12-15"</f>
        <v>2010-12-15</v>
      </c>
      <c r="B1464" t="str">
        <f>"55.4075"</f>
        <v>55.4075</v>
      </c>
      <c r="C1464">
        <v>1462</v>
      </c>
      <c r="D1464" s="7">
        <v>55.407499999999999</v>
      </c>
      <c r="E1464" s="7">
        <f t="shared" si="44"/>
        <v>81005.764999999999</v>
      </c>
      <c r="F1464" s="7">
        <f t="shared" si="45"/>
        <v>2137444</v>
      </c>
      <c r="G1464" s="7"/>
    </row>
    <row r="1465" spans="1:7" x14ac:dyDescent="0.35">
      <c r="A1465" t="str">
        <f>"2010-12-16"</f>
        <v>2010-12-16</v>
      </c>
      <c r="B1465" t="str">
        <f>"54.607"</f>
        <v>54.607</v>
      </c>
      <c r="C1465">
        <v>1463</v>
      </c>
      <c r="D1465" s="7">
        <v>54.606999999999999</v>
      </c>
      <c r="E1465" s="7">
        <f t="shared" si="44"/>
        <v>79890.040999999997</v>
      </c>
      <c r="F1465" s="7">
        <f t="shared" si="45"/>
        <v>2140369</v>
      </c>
      <c r="G1465" s="7"/>
    </row>
    <row r="1466" spans="1:7" x14ac:dyDescent="0.35">
      <c r="A1466" t="str">
        <f>"2010-12-17"</f>
        <v>2010-12-17</v>
      </c>
      <c r="B1466" t="str">
        <f>"52.7527"</f>
        <v>52.7527</v>
      </c>
      <c r="C1466">
        <v>1464</v>
      </c>
      <c r="D1466" s="7">
        <v>52.752699999999997</v>
      </c>
      <c r="E1466" s="7">
        <f t="shared" si="44"/>
        <v>77229.952799999999</v>
      </c>
      <c r="F1466" s="7">
        <f t="shared" si="45"/>
        <v>2143296</v>
      </c>
      <c r="G1466" s="7"/>
    </row>
    <row r="1467" spans="1:7" x14ac:dyDescent="0.35">
      <c r="A1467" t="str">
        <f>"2010-12-20"</f>
        <v>2010-12-20</v>
      </c>
      <c r="B1467" t="str">
        <f>"51.5397"</f>
        <v>51.5397</v>
      </c>
      <c r="C1467">
        <v>1465</v>
      </c>
      <c r="D1467" s="7">
        <v>51.539700000000003</v>
      </c>
      <c r="E1467" s="7">
        <f t="shared" si="44"/>
        <v>75505.660499999998</v>
      </c>
      <c r="F1467" s="7">
        <f t="shared" si="45"/>
        <v>2146225</v>
      </c>
      <c r="G1467" s="7"/>
    </row>
    <row r="1468" spans="1:7" x14ac:dyDescent="0.35">
      <c r="A1468" t="str">
        <f>"2010-12-21"</f>
        <v>2010-12-21</v>
      </c>
      <c r="B1468" t="str">
        <f>"52.5497"</f>
        <v>52.5497</v>
      </c>
      <c r="C1468">
        <v>1466</v>
      </c>
      <c r="D1468" s="7">
        <v>52.549700000000001</v>
      </c>
      <c r="E1468" s="7">
        <f t="shared" si="44"/>
        <v>77037.860199999996</v>
      </c>
      <c r="F1468" s="7">
        <f t="shared" si="45"/>
        <v>2149156</v>
      </c>
      <c r="G1468" s="7"/>
    </row>
    <row r="1469" spans="1:7" x14ac:dyDescent="0.35">
      <c r="A1469" t="str">
        <f>"2010-12-22"</f>
        <v>2010-12-22</v>
      </c>
      <c r="B1469" t="str">
        <f>"54.5964"</f>
        <v>54.5964</v>
      </c>
      <c r="C1469">
        <v>1467</v>
      </c>
      <c r="D1469" s="7">
        <v>54.596400000000003</v>
      </c>
      <c r="E1469" s="7">
        <f t="shared" si="44"/>
        <v>80092.918799999999</v>
      </c>
      <c r="F1469" s="7">
        <f t="shared" si="45"/>
        <v>2152089</v>
      </c>
      <c r="G1469" s="7"/>
    </row>
    <row r="1470" spans="1:7" x14ac:dyDescent="0.35">
      <c r="A1470" t="str">
        <f>"2010-12-23"</f>
        <v>2010-12-23</v>
      </c>
      <c r="B1470" t="str">
        <f>"55.3179"</f>
        <v>55.3179</v>
      </c>
      <c r="C1470">
        <v>1468</v>
      </c>
      <c r="D1470" s="7">
        <v>55.317900000000002</v>
      </c>
      <c r="E1470" s="7">
        <f t="shared" si="44"/>
        <v>81206.677200000006</v>
      </c>
      <c r="F1470" s="7">
        <f t="shared" si="45"/>
        <v>2155024</v>
      </c>
      <c r="G1470" s="7"/>
    </row>
    <row r="1471" spans="1:7" x14ac:dyDescent="0.35">
      <c r="A1471" t="str">
        <f>"2010-12-27"</f>
        <v>2010-12-27</v>
      </c>
      <c r="B1471" t="str">
        <f>"55.5437"</f>
        <v>55.5437</v>
      </c>
      <c r="C1471">
        <v>1469</v>
      </c>
      <c r="D1471" s="7">
        <v>55.543700000000001</v>
      </c>
      <c r="E1471" s="7">
        <f t="shared" si="44"/>
        <v>81593.695300000007</v>
      </c>
      <c r="F1471" s="7">
        <f t="shared" si="45"/>
        <v>2157961</v>
      </c>
      <c r="G1471" s="7"/>
    </row>
    <row r="1472" spans="1:7" x14ac:dyDescent="0.35">
      <c r="A1472" t="str">
        <f>"2010-12-28"</f>
        <v>2010-12-28</v>
      </c>
      <c r="B1472" t="str">
        <f>"55.1223"</f>
        <v>55.1223</v>
      </c>
      <c r="C1472">
        <v>1470</v>
      </c>
      <c r="D1472" s="7">
        <v>55.122300000000003</v>
      </c>
      <c r="E1472" s="7">
        <f t="shared" si="44"/>
        <v>81029.781000000003</v>
      </c>
      <c r="F1472" s="7">
        <f t="shared" si="45"/>
        <v>2160900</v>
      </c>
      <c r="G1472" s="7"/>
    </row>
    <row r="1473" spans="1:7" x14ac:dyDescent="0.35">
      <c r="A1473" t="str">
        <f>"2010-12-29"</f>
        <v>2010-12-29</v>
      </c>
      <c r="B1473" t="str">
        <f>"55.0384"</f>
        <v>55.0384</v>
      </c>
      <c r="C1473">
        <v>1471</v>
      </c>
      <c r="D1473" s="7">
        <v>55.038400000000003</v>
      </c>
      <c r="E1473" s="7">
        <f t="shared" si="44"/>
        <v>80961.486400000009</v>
      </c>
      <c r="F1473" s="7">
        <f t="shared" si="45"/>
        <v>2163841</v>
      </c>
      <c r="G1473" s="7"/>
    </row>
    <row r="1474" spans="1:7" x14ac:dyDescent="0.35">
      <c r="A1474" t="str">
        <f>"2010-12-30"</f>
        <v>2010-12-30</v>
      </c>
      <c r="B1474" t="str">
        <f>"56.3139"</f>
        <v>56.3139</v>
      </c>
      <c r="C1474">
        <v>1472</v>
      </c>
      <c r="D1474" s="7">
        <v>56.313899999999997</v>
      </c>
      <c r="E1474" s="7">
        <f t="shared" si="44"/>
        <v>82894.060799999992</v>
      </c>
      <c r="F1474" s="7">
        <f t="shared" si="45"/>
        <v>2166784</v>
      </c>
      <c r="G1474" s="7"/>
    </row>
    <row r="1475" spans="1:7" x14ac:dyDescent="0.35">
      <c r="A1475" t="str">
        <f>"2010-12-31"</f>
        <v>2010-12-31</v>
      </c>
      <c r="B1475" t="str">
        <f>"55.1726"</f>
        <v>55.1726</v>
      </c>
      <c r="C1475">
        <v>1473</v>
      </c>
      <c r="D1475" s="7">
        <v>55.172600000000003</v>
      </c>
      <c r="E1475" s="7">
        <f t="shared" si="44"/>
        <v>81269.23980000001</v>
      </c>
      <c r="F1475" s="7">
        <f t="shared" si="45"/>
        <v>2169729</v>
      </c>
      <c r="G1475" s="7"/>
    </row>
    <row r="1476" spans="1:7" x14ac:dyDescent="0.35">
      <c r="A1476" t="str">
        <f>"2011-01-03"</f>
        <v>2011-01-03</v>
      </c>
      <c r="B1476" t="str">
        <f>"57.1413"</f>
        <v>57.1413</v>
      </c>
      <c r="C1476">
        <v>1474</v>
      </c>
      <c r="D1476" s="7">
        <v>57.141300000000001</v>
      </c>
      <c r="E1476" s="7">
        <f t="shared" ref="E1476:E1539" si="46">C1476*D1476</f>
        <v>84226.276200000008</v>
      </c>
      <c r="F1476" s="7">
        <f t="shared" ref="F1476:F1539" si="47">C1476*C1476</f>
        <v>2172676</v>
      </c>
      <c r="G1476" s="7"/>
    </row>
    <row r="1477" spans="1:7" x14ac:dyDescent="0.35">
      <c r="A1477" t="str">
        <f>"2011-01-04"</f>
        <v>2011-01-04</v>
      </c>
      <c r="B1477" t="str">
        <f>"58.2734"</f>
        <v>58.2734</v>
      </c>
      <c r="C1477">
        <v>1475</v>
      </c>
      <c r="D1477" s="7">
        <v>58.273400000000002</v>
      </c>
      <c r="E1477" s="7">
        <f t="shared" si="46"/>
        <v>85953.264999999999</v>
      </c>
      <c r="F1477" s="7">
        <f t="shared" si="47"/>
        <v>2175625</v>
      </c>
      <c r="G1477" s="7"/>
    </row>
    <row r="1478" spans="1:7" x14ac:dyDescent="0.35">
      <c r="A1478" t="str">
        <f>"2011-01-05"</f>
        <v>2011-01-05</v>
      </c>
      <c r="B1478" t="str">
        <f>"58.0276"</f>
        <v>58.0276</v>
      </c>
      <c r="C1478">
        <v>1476</v>
      </c>
      <c r="D1478" s="7">
        <v>58.0276</v>
      </c>
      <c r="E1478" s="7">
        <f t="shared" si="46"/>
        <v>85648.737599999993</v>
      </c>
      <c r="F1478" s="7">
        <f t="shared" si="47"/>
        <v>2178576</v>
      </c>
      <c r="G1478" s="7"/>
    </row>
    <row r="1479" spans="1:7" x14ac:dyDescent="0.35">
      <c r="A1479" t="str">
        <f>"2011-01-06"</f>
        <v>2011-01-06</v>
      </c>
      <c r="B1479" t="str">
        <f>"57.939"</f>
        <v>57.939</v>
      </c>
      <c r="C1479">
        <v>1477</v>
      </c>
      <c r="D1479" s="7">
        <v>57.939</v>
      </c>
      <c r="E1479" s="7">
        <f t="shared" si="46"/>
        <v>85575.903000000006</v>
      </c>
      <c r="F1479" s="7">
        <f t="shared" si="47"/>
        <v>2181529</v>
      </c>
      <c r="G1479" s="7"/>
    </row>
    <row r="1480" spans="1:7" x14ac:dyDescent="0.35">
      <c r="A1480" t="str">
        <f>"2011-01-07"</f>
        <v>2011-01-07</v>
      </c>
      <c r="B1480" t="str">
        <f>"57.5388"</f>
        <v>57.5388</v>
      </c>
      <c r="C1480">
        <v>1478</v>
      </c>
      <c r="D1480" s="7">
        <v>57.538800000000002</v>
      </c>
      <c r="E1480" s="7">
        <f t="shared" si="46"/>
        <v>85042.346400000009</v>
      </c>
      <c r="F1480" s="7">
        <f t="shared" si="47"/>
        <v>2184484</v>
      </c>
      <c r="G1480" s="7"/>
    </row>
    <row r="1481" spans="1:7" x14ac:dyDescent="0.35">
      <c r="A1481" t="str">
        <f>"2011-01-10"</f>
        <v>2011-01-10</v>
      </c>
      <c r="B1481" t="str">
        <f>"53.9007"</f>
        <v>53.9007</v>
      </c>
      <c r="C1481">
        <v>1479</v>
      </c>
      <c r="D1481" s="7">
        <v>53.900700000000001</v>
      </c>
      <c r="E1481" s="7">
        <f t="shared" si="46"/>
        <v>79719.135299999994</v>
      </c>
      <c r="F1481" s="7">
        <f t="shared" si="47"/>
        <v>2187441</v>
      </c>
      <c r="G1481" s="7"/>
    </row>
    <row r="1482" spans="1:7" x14ac:dyDescent="0.35">
      <c r="A1482" t="str">
        <f>"2011-01-11"</f>
        <v>2011-01-11</v>
      </c>
      <c r="B1482" t="str">
        <f>"52.9299"</f>
        <v>52.9299</v>
      </c>
      <c r="C1482">
        <v>1480</v>
      </c>
      <c r="D1482" s="7">
        <v>52.929900000000004</v>
      </c>
      <c r="E1482" s="7">
        <f t="shared" si="46"/>
        <v>78336.252000000008</v>
      </c>
      <c r="F1482" s="7">
        <f t="shared" si="47"/>
        <v>2190400</v>
      </c>
      <c r="G1482" s="7"/>
    </row>
    <row r="1483" spans="1:7" x14ac:dyDescent="0.35">
      <c r="A1483" t="str">
        <f>"2011-01-12"</f>
        <v>2011-01-12</v>
      </c>
      <c r="B1483" t="str">
        <f>"53.4709"</f>
        <v>53.4709</v>
      </c>
      <c r="C1483">
        <v>1481</v>
      </c>
      <c r="D1483" s="7">
        <v>53.4709</v>
      </c>
      <c r="E1483" s="7">
        <f t="shared" si="46"/>
        <v>79190.402900000001</v>
      </c>
      <c r="F1483" s="7">
        <f t="shared" si="47"/>
        <v>2193361</v>
      </c>
      <c r="G1483" s="7"/>
    </row>
    <row r="1484" spans="1:7" x14ac:dyDescent="0.35">
      <c r="A1484" t="str">
        <f>"2011-01-13"</f>
        <v>2011-01-13</v>
      </c>
      <c r="B1484" t="str">
        <f>"54.1914"</f>
        <v>54.1914</v>
      </c>
      <c r="C1484">
        <v>1482</v>
      </c>
      <c r="D1484" s="7">
        <v>54.191400000000002</v>
      </c>
      <c r="E1484" s="7">
        <f t="shared" si="46"/>
        <v>80311.654800000004</v>
      </c>
      <c r="F1484" s="7">
        <f t="shared" si="47"/>
        <v>2196324</v>
      </c>
      <c r="G1484" s="7"/>
    </row>
    <row r="1485" spans="1:7" x14ac:dyDescent="0.35">
      <c r="A1485" t="str">
        <f>"2011-01-14"</f>
        <v>2011-01-14</v>
      </c>
      <c r="B1485" t="str">
        <f>"55.3152"</f>
        <v>55.3152</v>
      </c>
      <c r="C1485">
        <v>1483</v>
      </c>
      <c r="D1485" s="7">
        <v>55.315199999999997</v>
      </c>
      <c r="E1485" s="7">
        <f t="shared" si="46"/>
        <v>82032.441599999991</v>
      </c>
      <c r="F1485" s="7">
        <f t="shared" si="47"/>
        <v>2199289</v>
      </c>
      <c r="G1485" s="7"/>
    </row>
    <row r="1486" spans="1:7" x14ac:dyDescent="0.35">
      <c r="A1486" t="str">
        <f>"2011-01-18"</f>
        <v>2011-01-18</v>
      </c>
      <c r="B1486" t="str">
        <f>"53.4956"</f>
        <v>53.4956</v>
      </c>
      <c r="C1486">
        <v>1484</v>
      </c>
      <c r="D1486" s="7">
        <v>53.495600000000003</v>
      </c>
      <c r="E1486" s="7">
        <f t="shared" si="46"/>
        <v>79387.470400000006</v>
      </c>
      <c r="F1486" s="7">
        <f t="shared" si="47"/>
        <v>2202256</v>
      </c>
      <c r="G1486" s="7"/>
    </row>
    <row r="1487" spans="1:7" x14ac:dyDescent="0.35">
      <c r="A1487" t="str">
        <f>"2011-01-19"</f>
        <v>2011-01-19</v>
      </c>
      <c r="B1487" t="str">
        <f>"54.2565"</f>
        <v>54.2565</v>
      </c>
      <c r="C1487">
        <v>1485</v>
      </c>
      <c r="D1487" s="7">
        <v>54.256500000000003</v>
      </c>
      <c r="E1487" s="7">
        <f t="shared" si="46"/>
        <v>80570.902500000011</v>
      </c>
      <c r="F1487" s="7">
        <f t="shared" si="47"/>
        <v>2205225</v>
      </c>
      <c r="G1487" s="7"/>
    </row>
    <row r="1488" spans="1:7" x14ac:dyDescent="0.35">
      <c r="A1488" t="str">
        <f>"2011-01-20"</f>
        <v>2011-01-20</v>
      </c>
      <c r="B1488" t="str">
        <f>"53.4447"</f>
        <v>53.4447</v>
      </c>
      <c r="C1488">
        <v>1486</v>
      </c>
      <c r="D1488" s="7">
        <v>53.444699999999997</v>
      </c>
      <c r="E1488" s="7">
        <f t="shared" si="46"/>
        <v>79418.824200000003</v>
      </c>
      <c r="F1488" s="7">
        <f t="shared" si="47"/>
        <v>2208196</v>
      </c>
      <c r="G1488" s="7"/>
    </row>
    <row r="1489" spans="1:7" x14ac:dyDescent="0.35">
      <c r="A1489" t="str">
        <f>"2011-01-21"</f>
        <v>2011-01-21</v>
      </c>
      <c r="B1489" t="str">
        <f>"52.9586"</f>
        <v>52.9586</v>
      </c>
      <c r="C1489">
        <v>1487</v>
      </c>
      <c r="D1489" s="7">
        <v>52.958599999999997</v>
      </c>
      <c r="E1489" s="7">
        <f t="shared" si="46"/>
        <v>78749.43819999999</v>
      </c>
      <c r="F1489" s="7">
        <f t="shared" si="47"/>
        <v>2211169</v>
      </c>
      <c r="G1489" s="7"/>
    </row>
    <row r="1490" spans="1:7" x14ac:dyDescent="0.35">
      <c r="A1490" t="str">
        <f>"2011-01-24"</f>
        <v>2011-01-24</v>
      </c>
      <c r="B1490" t="str">
        <f>"52.767"</f>
        <v>52.767</v>
      </c>
      <c r="C1490">
        <v>1488</v>
      </c>
      <c r="D1490" s="7">
        <v>52.767000000000003</v>
      </c>
      <c r="E1490" s="7">
        <f t="shared" si="46"/>
        <v>78517.296000000002</v>
      </c>
      <c r="F1490" s="7">
        <f t="shared" si="47"/>
        <v>2214144</v>
      </c>
      <c r="G1490" s="7"/>
    </row>
    <row r="1491" spans="1:7" x14ac:dyDescent="0.35">
      <c r="A1491" t="str">
        <f>"2011-01-25"</f>
        <v>2011-01-25</v>
      </c>
      <c r="B1491" t="str">
        <f>"56.3653"</f>
        <v>56.3653</v>
      </c>
      <c r="C1491">
        <v>1489</v>
      </c>
      <c r="D1491" s="7">
        <v>56.365299999999998</v>
      </c>
      <c r="E1491" s="7">
        <f t="shared" si="46"/>
        <v>83927.931700000001</v>
      </c>
      <c r="F1491" s="7">
        <f t="shared" si="47"/>
        <v>2217121</v>
      </c>
      <c r="G1491" s="7"/>
    </row>
    <row r="1492" spans="1:7" x14ac:dyDescent="0.35">
      <c r="A1492" t="str">
        <f>"2011-01-26"</f>
        <v>2011-01-26</v>
      </c>
      <c r="B1492" t="str">
        <f>"57.2138"</f>
        <v>57.2138</v>
      </c>
      <c r="C1492">
        <v>1490</v>
      </c>
      <c r="D1492" s="7">
        <v>57.213799999999999</v>
      </c>
      <c r="E1492" s="7">
        <f t="shared" si="46"/>
        <v>85248.562000000005</v>
      </c>
      <c r="F1492" s="7">
        <f t="shared" si="47"/>
        <v>2220100</v>
      </c>
      <c r="G1492" s="7"/>
    </row>
    <row r="1493" spans="1:7" x14ac:dyDescent="0.35">
      <c r="A1493" t="str">
        <f>"2011-01-27"</f>
        <v>2011-01-27</v>
      </c>
      <c r="B1493" t="str">
        <f>"57.3545"</f>
        <v>57.3545</v>
      </c>
      <c r="C1493">
        <v>1491</v>
      </c>
      <c r="D1493" s="7">
        <v>57.354500000000002</v>
      </c>
      <c r="E1493" s="7">
        <f t="shared" si="46"/>
        <v>85515.559500000003</v>
      </c>
      <c r="F1493" s="7">
        <f t="shared" si="47"/>
        <v>2223081</v>
      </c>
      <c r="G1493" s="7"/>
    </row>
    <row r="1494" spans="1:7" x14ac:dyDescent="0.35">
      <c r="A1494" t="str">
        <f>"2011-01-28"</f>
        <v>2011-01-28</v>
      </c>
      <c r="B1494" t="str">
        <f>"55.2095"</f>
        <v>55.2095</v>
      </c>
      <c r="C1494">
        <v>1492</v>
      </c>
      <c r="D1494" s="7">
        <v>55.209499999999998</v>
      </c>
      <c r="E1494" s="7">
        <f t="shared" si="46"/>
        <v>82372.573999999993</v>
      </c>
      <c r="F1494" s="7">
        <f t="shared" si="47"/>
        <v>2226064</v>
      </c>
      <c r="G1494" s="7"/>
    </row>
    <row r="1495" spans="1:7" x14ac:dyDescent="0.35">
      <c r="A1495" t="str">
        <f>"2011-01-31"</f>
        <v>2011-01-31</v>
      </c>
      <c r="B1495" t="str">
        <f>"54.368"</f>
        <v>54.368</v>
      </c>
      <c r="C1495">
        <v>1493</v>
      </c>
      <c r="D1495" s="7">
        <v>54.368000000000002</v>
      </c>
      <c r="E1495" s="7">
        <f t="shared" si="46"/>
        <v>81171.423999999999</v>
      </c>
      <c r="F1495" s="7">
        <f t="shared" si="47"/>
        <v>2229049</v>
      </c>
      <c r="G1495" s="7"/>
    </row>
    <row r="1496" spans="1:7" x14ac:dyDescent="0.35">
      <c r="A1496" t="str">
        <f>"2011-02-01"</f>
        <v>2011-02-01</v>
      </c>
      <c r="B1496" t="str">
        <f>"55.3737"</f>
        <v>55.3737</v>
      </c>
      <c r="C1496">
        <v>1494</v>
      </c>
      <c r="D1496" s="7">
        <v>55.373699999999999</v>
      </c>
      <c r="E1496" s="7">
        <f t="shared" si="46"/>
        <v>82728.307799999995</v>
      </c>
      <c r="F1496" s="7">
        <f t="shared" si="47"/>
        <v>2232036</v>
      </c>
      <c r="G1496" s="7"/>
    </row>
    <row r="1497" spans="1:7" x14ac:dyDescent="0.35">
      <c r="A1497" t="str">
        <f>"2011-02-02"</f>
        <v>2011-02-02</v>
      </c>
      <c r="B1497" t="str">
        <f>"55.598"</f>
        <v>55.598</v>
      </c>
      <c r="C1497">
        <v>1495</v>
      </c>
      <c r="D1497" s="7">
        <v>55.597999999999999</v>
      </c>
      <c r="E1497" s="7">
        <f t="shared" si="46"/>
        <v>83119.009999999995</v>
      </c>
      <c r="F1497" s="7">
        <f t="shared" si="47"/>
        <v>2235025</v>
      </c>
      <c r="G1497" s="7"/>
    </row>
    <row r="1498" spans="1:7" x14ac:dyDescent="0.35">
      <c r="A1498" t="str">
        <f>"2011-02-03"</f>
        <v>2011-02-03</v>
      </c>
      <c r="B1498" t="str">
        <f>"53.5188"</f>
        <v>53.5188</v>
      </c>
      <c r="C1498">
        <v>1496</v>
      </c>
      <c r="D1498" s="7">
        <v>53.518799999999999</v>
      </c>
      <c r="E1498" s="7">
        <f t="shared" si="46"/>
        <v>80064.124800000005</v>
      </c>
      <c r="F1498" s="7">
        <f t="shared" si="47"/>
        <v>2238016</v>
      </c>
      <c r="G1498" s="7"/>
    </row>
    <row r="1499" spans="1:7" x14ac:dyDescent="0.35">
      <c r="A1499" t="str">
        <f>"2011-02-04"</f>
        <v>2011-02-04</v>
      </c>
      <c r="B1499" t="str">
        <f>"53.7074"</f>
        <v>53.7074</v>
      </c>
      <c r="C1499">
        <v>1497</v>
      </c>
      <c r="D1499" s="7">
        <v>53.7074</v>
      </c>
      <c r="E1499" s="7">
        <f t="shared" si="46"/>
        <v>80399.977799999993</v>
      </c>
      <c r="F1499" s="7">
        <f t="shared" si="47"/>
        <v>2241009</v>
      </c>
      <c r="G1499" s="7"/>
    </row>
    <row r="1500" spans="1:7" x14ac:dyDescent="0.35">
      <c r="A1500" t="str">
        <f>"2011-02-07"</f>
        <v>2011-02-07</v>
      </c>
      <c r="B1500" t="str">
        <f>"54.078"</f>
        <v>54.078</v>
      </c>
      <c r="C1500">
        <v>1498</v>
      </c>
      <c r="D1500" s="7">
        <v>54.078000000000003</v>
      </c>
      <c r="E1500" s="7">
        <f t="shared" si="46"/>
        <v>81008.843999999997</v>
      </c>
      <c r="F1500" s="7">
        <f t="shared" si="47"/>
        <v>2244004</v>
      </c>
      <c r="G1500" s="7"/>
    </row>
    <row r="1501" spans="1:7" x14ac:dyDescent="0.35">
      <c r="A1501" t="str">
        <f>"2011-02-08"</f>
        <v>2011-02-08</v>
      </c>
      <c r="B1501" t="str">
        <f>"53.5027"</f>
        <v>53.5027</v>
      </c>
      <c r="C1501">
        <v>1499</v>
      </c>
      <c r="D1501" s="7">
        <v>53.502699999999997</v>
      </c>
      <c r="E1501" s="7">
        <f t="shared" si="46"/>
        <v>80200.547299999991</v>
      </c>
      <c r="F1501" s="7">
        <f t="shared" si="47"/>
        <v>2247001</v>
      </c>
      <c r="G1501" s="7"/>
    </row>
    <row r="1502" spans="1:7" x14ac:dyDescent="0.35">
      <c r="A1502" t="str">
        <f>"2011-02-09"</f>
        <v>2011-02-09</v>
      </c>
      <c r="B1502" t="str">
        <f>"54.5616"</f>
        <v>54.5616</v>
      </c>
      <c r="C1502">
        <v>1500</v>
      </c>
      <c r="D1502" s="7">
        <v>54.561599999999999</v>
      </c>
      <c r="E1502" s="7">
        <f t="shared" si="46"/>
        <v>81842.399999999994</v>
      </c>
      <c r="F1502" s="7">
        <f t="shared" si="47"/>
        <v>2250000</v>
      </c>
      <c r="G1502" s="7"/>
    </row>
    <row r="1503" spans="1:7" x14ac:dyDescent="0.35">
      <c r="A1503" t="str">
        <f>"2011-02-10"</f>
        <v>2011-02-10</v>
      </c>
      <c r="B1503" t="str">
        <f>"53.5569"</f>
        <v>53.5569</v>
      </c>
      <c r="C1503">
        <v>1501</v>
      </c>
      <c r="D1503" s="7">
        <v>53.556899999999999</v>
      </c>
      <c r="E1503" s="7">
        <f t="shared" si="46"/>
        <v>80388.906900000002</v>
      </c>
      <c r="F1503" s="7">
        <f t="shared" si="47"/>
        <v>2253001</v>
      </c>
      <c r="G1503" s="7"/>
    </row>
    <row r="1504" spans="1:7" x14ac:dyDescent="0.35">
      <c r="A1504" t="str">
        <f>"2011-02-11"</f>
        <v>2011-02-11</v>
      </c>
      <c r="B1504" t="str">
        <f>"54.7637"</f>
        <v>54.7637</v>
      </c>
      <c r="C1504">
        <v>1502</v>
      </c>
      <c r="D1504" s="7">
        <v>54.7637</v>
      </c>
      <c r="E1504" s="7">
        <f t="shared" si="46"/>
        <v>82255.077399999995</v>
      </c>
      <c r="F1504" s="7">
        <f t="shared" si="47"/>
        <v>2256004</v>
      </c>
      <c r="G1504" s="7"/>
    </row>
    <row r="1505" spans="1:7" x14ac:dyDescent="0.35">
      <c r="A1505" t="str">
        <f>"2011-02-14"</f>
        <v>2011-02-14</v>
      </c>
      <c r="B1505" t="str">
        <f>"53.5285"</f>
        <v>53.5285</v>
      </c>
      <c r="C1505">
        <v>1503</v>
      </c>
      <c r="D1505" s="7">
        <v>53.528500000000001</v>
      </c>
      <c r="E1505" s="7">
        <f t="shared" si="46"/>
        <v>80453.335500000001</v>
      </c>
      <c r="F1505" s="7">
        <f t="shared" si="47"/>
        <v>2259009</v>
      </c>
      <c r="G1505" s="7"/>
    </row>
    <row r="1506" spans="1:7" x14ac:dyDescent="0.35">
      <c r="A1506" t="str">
        <f>"2011-02-15"</f>
        <v>2011-02-15</v>
      </c>
      <c r="B1506" t="str">
        <f>"52.1037"</f>
        <v>52.1037</v>
      </c>
      <c r="C1506">
        <v>1504</v>
      </c>
      <c r="D1506" s="7">
        <v>52.103700000000003</v>
      </c>
      <c r="E1506" s="7">
        <f t="shared" si="46"/>
        <v>78363.964800000002</v>
      </c>
      <c r="F1506" s="7">
        <f t="shared" si="47"/>
        <v>2262016</v>
      </c>
      <c r="G1506" s="7"/>
    </row>
    <row r="1507" spans="1:7" x14ac:dyDescent="0.35">
      <c r="A1507" t="str">
        <f>"2011-02-16"</f>
        <v>2011-02-16</v>
      </c>
      <c r="B1507" t="str">
        <f>"52.2448"</f>
        <v>52.2448</v>
      </c>
      <c r="C1507">
        <v>1505</v>
      </c>
      <c r="D1507" s="7">
        <v>52.244799999999998</v>
      </c>
      <c r="E1507" s="7">
        <f t="shared" si="46"/>
        <v>78628.423999999999</v>
      </c>
      <c r="F1507" s="7">
        <f t="shared" si="47"/>
        <v>2265025</v>
      </c>
      <c r="G1507" s="7"/>
    </row>
    <row r="1508" spans="1:7" x14ac:dyDescent="0.35">
      <c r="A1508" t="str">
        <f>"2011-02-17"</f>
        <v>2011-02-17</v>
      </c>
      <c r="B1508" t="str">
        <f>"52.0815"</f>
        <v>52.0815</v>
      </c>
      <c r="C1508">
        <v>1506</v>
      </c>
      <c r="D1508" s="7">
        <v>52.081499999999998</v>
      </c>
      <c r="E1508" s="7">
        <f t="shared" si="46"/>
        <v>78434.739000000001</v>
      </c>
      <c r="F1508" s="7">
        <f t="shared" si="47"/>
        <v>2268036</v>
      </c>
      <c r="G1508" s="7"/>
    </row>
    <row r="1509" spans="1:7" x14ac:dyDescent="0.35">
      <c r="A1509" t="str">
        <f>"2011-02-18"</f>
        <v>2011-02-18</v>
      </c>
      <c r="B1509" t="str">
        <f>"52.1977"</f>
        <v>52.1977</v>
      </c>
      <c r="C1509">
        <v>1507</v>
      </c>
      <c r="D1509" s="7">
        <v>52.197699999999998</v>
      </c>
      <c r="E1509" s="7">
        <f t="shared" si="46"/>
        <v>78661.933899999989</v>
      </c>
      <c r="F1509" s="7">
        <f t="shared" si="47"/>
        <v>2271049</v>
      </c>
      <c r="G1509" s="7"/>
    </row>
    <row r="1510" spans="1:7" x14ac:dyDescent="0.35">
      <c r="A1510" t="str">
        <f>"2011-02-22"</f>
        <v>2011-02-22</v>
      </c>
      <c r="B1510" t="str">
        <f>"47.5985"</f>
        <v>47.5985</v>
      </c>
      <c r="C1510">
        <v>1508</v>
      </c>
      <c r="D1510" s="7">
        <v>47.598500000000001</v>
      </c>
      <c r="E1510" s="7">
        <f t="shared" si="46"/>
        <v>71778.538</v>
      </c>
      <c r="F1510" s="7">
        <f t="shared" si="47"/>
        <v>2274064</v>
      </c>
      <c r="G1510" s="7"/>
    </row>
    <row r="1511" spans="1:7" x14ac:dyDescent="0.35">
      <c r="A1511" t="str">
        <f>"2011-02-23"</f>
        <v>2011-02-23</v>
      </c>
      <c r="B1511" t="str">
        <f>"44.293"</f>
        <v>44.293</v>
      </c>
      <c r="C1511">
        <v>1509</v>
      </c>
      <c r="D1511" s="7">
        <v>44.292999999999999</v>
      </c>
      <c r="E1511" s="7">
        <f t="shared" si="46"/>
        <v>66838.137000000002</v>
      </c>
      <c r="F1511" s="7">
        <f t="shared" si="47"/>
        <v>2277081</v>
      </c>
      <c r="G1511" s="7"/>
    </row>
    <row r="1512" spans="1:7" x14ac:dyDescent="0.35">
      <c r="A1512" t="str">
        <f>"2011-02-24"</f>
        <v>2011-02-24</v>
      </c>
      <c r="B1512" t="str">
        <f>"42.9122"</f>
        <v>42.9122</v>
      </c>
      <c r="C1512">
        <v>1510</v>
      </c>
      <c r="D1512" s="7">
        <v>42.912199999999999</v>
      </c>
      <c r="E1512" s="7">
        <f t="shared" si="46"/>
        <v>64797.421999999999</v>
      </c>
      <c r="F1512" s="7">
        <f t="shared" si="47"/>
        <v>2280100</v>
      </c>
      <c r="G1512" s="7"/>
    </row>
    <row r="1513" spans="1:7" x14ac:dyDescent="0.35">
      <c r="A1513" t="str">
        <f>"2011-02-25"</f>
        <v>2011-02-25</v>
      </c>
      <c r="B1513" t="str">
        <f>"46.0703"</f>
        <v>46.0703</v>
      </c>
      <c r="C1513">
        <v>1511</v>
      </c>
      <c r="D1513" s="7">
        <v>46.070300000000003</v>
      </c>
      <c r="E1513" s="7">
        <f t="shared" si="46"/>
        <v>69612.223299999998</v>
      </c>
      <c r="F1513" s="7">
        <f t="shared" si="47"/>
        <v>2283121</v>
      </c>
      <c r="G1513" s="7"/>
    </row>
    <row r="1514" spans="1:7" x14ac:dyDescent="0.35">
      <c r="A1514" t="str">
        <f>"2011-02-28"</f>
        <v>2011-02-28</v>
      </c>
      <c r="B1514" t="str">
        <f>"45.0447"</f>
        <v>45.0447</v>
      </c>
      <c r="C1514">
        <v>1512</v>
      </c>
      <c r="D1514" s="7">
        <v>45.044699999999999</v>
      </c>
      <c r="E1514" s="7">
        <f t="shared" si="46"/>
        <v>68107.5864</v>
      </c>
      <c r="F1514" s="7">
        <f t="shared" si="47"/>
        <v>2286144</v>
      </c>
      <c r="G1514" s="7"/>
    </row>
    <row r="1515" spans="1:7" x14ac:dyDescent="0.35">
      <c r="A1515" t="str">
        <f>"2011-03-01"</f>
        <v>2011-03-01</v>
      </c>
      <c r="B1515" t="str">
        <f>"41.5557"</f>
        <v>41.5557</v>
      </c>
      <c r="C1515">
        <v>1513</v>
      </c>
      <c r="D1515" s="7">
        <v>41.555700000000002</v>
      </c>
      <c r="E1515" s="7">
        <f t="shared" si="46"/>
        <v>62873.774100000002</v>
      </c>
      <c r="F1515" s="7">
        <f t="shared" si="47"/>
        <v>2289169</v>
      </c>
      <c r="G1515" s="7"/>
    </row>
    <row r="1516" spans="1:7" x14ac:dyDescent="0.35">
      <c r="A1516" t="str">
        <f>"2011-03-02"</f>
        <v>2011-03-02</v>
      </c>
      <c r="B1516" t="str">
        <f>"40.7991"</f>
        <v>40.7991</v>
      </c>
      <c r="C1516">
        <v>1514</v>
      </c>
      <c r="D1516" s="7">
        <v>40.799100000000003</v>
      </c>
      <c r="E1516" s="7">
        <f t="shared" si="46"/>
        <v>61769.837400000004</v>
      </c>
      <c r="F1516" s="7">
        <f t="shared" si="47"/>
        <v>2292196</v>
      </c>
      <c r="G1516" s="7"/>
    </row>
    <row r="1517" spans="1:7" x14ac:dyDescent="0.35">
      <c r="A1517" t="str">
        <f>"2011-03-03"</f>
        <v>2011-03-03</v>
      </c>
      <c r="B1517" t="str">
        <f>"43.9326"</f>
        <v>43.9326</v>
      </c>
      <c r="C1517">
        <v>1515</v>
      </c>
      <c r="D1517" s="7">
        <v>43.932600000000001</v>
      </c>
      <c r="E1517" s="7">
        <f t="shared" si="46"/>
        <v>66557.888999999996</v>
      </c>
      <c r="F1517" s="7">
        <f t="shared" si="47"/>
        <v>2295225</v>
      </c>
      <c r="G1517" s="7"/>
    </row>
    <row r="1518" spans="1:7" x14ac:dyDescent="0.35">
      <c r="A1518" t="str">
        <f>"2011-03-04"</f>
        <v>2011-03-04</v>
      </c>
      <c r="B1518" t="str">
        <f>"43.7736"</f>
        <v>43.7736</v>
      </c>
      <c r="C1518">
        <v>1516</v>
      </c>
      <c r="D1518" s="7">
        <v>43.773600000000002</v>
      </c>
      <c r="E1518" s="7">
        <f t="shared" si="46"/>
        <v>66360.777600000001</v>
      </c>
      <c r="F1518" s="7">
        <f t="shared" si="47"/>
        <v>2298256</v>
      </c>
      <c r="G1518" s="7"/>
    </row>
    <row r="1519" spans="1:7" x14ac:dyDescent="0.35">
      <c r="A1519" t="str">
        <f>"2011-03-07"</f>
        <v>2011-03-07</v>
      </c>
      <c r="B1519" t="str">
        <f>"42.8832"</f>
        <v>42.8832</v>
      </c>
      <c r="C1519">
        <v>1517</v>
      </c>
      <c r="D1519" s="7">
        <v>42.883200000000002</v>
      </c>
      <c r="E1519" s="7">
        <f t="shared" si="46"/>
        <v>65053.814400000003</v>
      </c>
      <c r="F1519" s="7">
        <f t="shared" si="47"/>
        <v>2301289</v>
      </c>
      <c r="G1519" s="7"/>
    </row>
    <row r="1520" spans="1:7" x14ac:dyDescent="0.35">
      <c r="A1520" t="str">
        <f>"2011-03-08"</f>
        <v>2011-03-08</v>
      </c>
      <c r="B1520" t="str">
        <f>"44.2091"</f>
        <v>44.2091</v>
      </c>
      <c r="C1520">
        <v>1518</v>
      </c>
      <c r="D1520" s="7">
        <v>44.209099999999999</v>
      </c>
      <c r="E1520" s="7">
        <f t="shared" si="46"/>
        <v>67109.413799999995</v>
      </c>
      <c r="F1520" s="7">
        <f t="shared" si="47"/>
        <v>2304324</v>
      </c>
      <c r="G1520" s="7"/>
    </row>
    <row r="1521" spans="1:7" x14ac:dyDescent="0.35">
      <c r="A1521" t="str">
        <f>"2011-03-09"</f>
        <v>2011-03-09</v>
      </c>
      <c r="B1521" t="str">
        <f>"44.6773"</f>
        <v>44.6773</v>
      </c>
      <c r="C1521">
        <v>1519</v>
      </c>
      <c r="D1521" s="7">
        <v>44.677300000000002</v>
      </c>
      <c r="E1521" s="7">
        <f t="shared" si="46"/>
        <v>67864.818700000003</v>
      </c>
      <c r="F1521" s="7">
        <f t="shared" si="47"/>
        <v>2307361</v>
      </c>
      <c r="G1521" s="7"/>
    </row>
    <row r="1522" spans="1:7" x14ac:dyDescent="0.35">
      <c r="A1522" t="str">
        <f>"2011-03-10"</f>
        <v>2011-03-10</v>
      </c>
      <c r="B1522" t="str">
        <f>"45.4759"</f>
        <v>45.4759</v>
      </c>
      <c r="C1522">
        <v>1520</v>
      </c>
      <c r="D1522" s="7">
        <v>45.475900000000003</v>
      </c>
      <c r="E1522" s="7">
        <f t="shared" si="46"/>
        <v>69123.368000000002</v>
      </c>
      <c r="F1522" s="7">
        <f t="shared" si="47"/>
        <v>2310400</v>
      </c>
      <c r="G1522" s="7"/>
    </row>
    <row r="1523" spans="1:7" x14ac:dyDescent="0.35">
      <c r="A1523" t="str">
        <f>"2011-03-11"</f>
        <v>2011-03-11</v>
      </c>
      <c r="B1523" t="str">
        <f>"46.0179"</f>
        <v>46.0179</v>
      </c>
      <c r="C1523">
        <v>1521</v>
      </c>
      <c r="D1523" s="7">
        <v>46.017899999999997</v>
      </c>
      <c r="E1523" s="7">
        <f t="shared" si="46"/>
        <v>69993.22589999999</v>
      </c>
      <c r="F1523" s="7">
        <f t="shared" si="47"/>
        <v>2313441</v>
      </c>
      <c r="G1523" s="7"/>
    </row>
    <row r="1524" spans="1:7" x14ac:dyDescent="0.35">
      <c r="A1524" t="str">
        <f>"2011-03-14"</f>
        <v>2011-03-14</v>
      </c>
      <c r="B1524" t="str">
        <f>"46.6885"</f>
        <v>46.6885</v>
      </c>
      <c r="C1524">
        <v>1522</v>
      </c>
      <c r="D1524" s="7">
        <v>46.688499999999998</v>
      </c>
      <c r="E1524" s="7">
        <f t="shared" si="46"/>
        <v>71059.896999999997</v>
      </c>
      <c r="F1524" s="7">
        <f t="shared" si="47"/>
        <v>2316484</v>
      </c>
      <c r="G1524" s="7"/>
    </row>
    <row r="1525" spans="1:7" x14ac:dyDescent="0.35">
      <c r="A1525" t="str">
        <f>"2011-03-15"</f>
        <v>2011-03-15</v>
      </c>
      <c r="B1525" t="str">
        <f>"47.602"</f>
        <v>47.602</v>
      </c>
      <c r="C1525">
        <v>1523</v>
      </c>
      <c r="D1525" s="7">
        <v>47.601999999999997</v>
      </c>
      <c r="E1525" s="7">
        <f t="shared" si="46"/>
        <v>72497.84599999999</v>
      </c>
      <c r="F1525" s="7">
        <f t="shared" si="47"/>
        <v>2319529</v>
      </c>
      <c r="G1525" s="7"/>
    </row>
    <row r="1526" spans="1:7" x14ac:dyDescent="0.35">
      <c r="A1526" t="str">
        <f>"2011-03-16"</f>
        <v>2011-03-16</v>
      </c>
      <c r="B1526" t="str">
        <f>"45.7607"</f>
        <v>45.7607</v>
      </c>
      <c r="C1526">
        <v>1524</v>
      </c>
      <c r="D1526" s="7">
        <v>45.7607</v>
      </c>
      <c r="E1526" s="7">
        <f t="shared" si="46"/>
        <v>69739.306800000006</v>
      </c>
      <c r="F1526" s="7">
        <f t="shared" si="47"/>
        <v>2322576</v>
      </c>
      <c r="G1526" s="7"/>
    </row>
    <row r="1527" spans="1:7" x14ac:dyDescent="0.35">
      <c r="A1527" t="str">
        <f>"2011-03-17"</f>
        <v>2011-03-17</v>
      </c>
      <c r="B1527" t="str">
        <f>"45.9009"</f>
        <v>45.9009</v>
      </c>
      <c r="C1527">
        <v>1525</v>
      </c>
      <c r="D1527" s="7">
        <v>45.9009</v>
      </c>
      <c r="E1527" s="7">
        <f t="shared" si="46"/>
        <v>69998.872499999998</v>
      </c>
      <c r="F1527" s="7">
        <f t="shared" si="47"/>
        <v>2325625</v>
      </c>
      <c r="G1527" s="7"/>
    </row>
    <row r="1528" spans="1:7" x14ac:dyDescent="0.35">
      <c r="A1528" t="str">
        <f>"2011-03-18"</f>
        <v>2011-03-18</v>
      </c>
      <c r="B1528" t="str">
        <f>"46.0833"</f>
        <v>46.0833</v>
      </c>
      <c r="C1528">
        <v>1526</v>
      </c>
      <c r="D1528" s="7">
        <v>46.083300000000001</v>
      </c>
      <c r="E1528" s="7">
        <f t="shared" si="46"/>
        <v>70323.1158</v>
      </c>
      <c r="F1528" s="7">
        <f t="shared" si="47"/>
        <v>2328676</v>
      </c>
      <c r="G1528" s="7"/>
    </row>
    <row r="1529" spans="1:7" x14ac:dyDescent="0.35">
      <c r="A1529" t="str">
        <f>"2011-03-21"</f>
        <v>2011-03-21</v>
      </c>
      <c r="B1529" t="str">
        <f>"45.711"</f>
        <v>45.711</v>
      </c>
      <c r="C1529">
        <v>1527</v>
      </c>
      <c r="D1529" s="7">
        <v>45.710999999999999</v>
      </c>
      <c r="E1529" s="7">
        <f t="shared" si="46"/>
        <v>69800.697</v>
      </c>
      <c r="F1529" s="7">
        <f t="shared" si="47"/>
        <v>2331729</v>
      </c>
      <c r="G1529" s="7"/>
    </row>
    <row r="1530" spans="1:7" x14ac:dyDescent="0.35">
      <c r="A1530" t="str">
        <f>"2011-03-22"</f>
        <v>2011-03-22</v>
      </c>
      <c r="B1530" t="str">
        <f>"45.7303"</f>
        <v>45.7303</v>
      </c>
      <c r="C1530">
        <v>1528</v>
      </c>
      <c r="D1530" s="7">
        <v>45.7303</v>
      </c>
      <c r="E1530" s="7">
        <f t="shared" si="46"/>
        <v>69875.898400000005</v>
      </c>
      <c r="F1530" s="7">
        <f t="shared" si="47"/>
        <v>2334784</v>
      </c>
      <c r="G1530" s="7"/>
    </row>
    <row r="1531" spans="1:7" x14ac:dyDescent="0.35">
      <c r="A1531" t="str">
        <f>"2011-03-23"</f>
        <v>2011-03-23</v>
      </c>
      <c r="B1531" t="str">
        <f>"45.2466"</f>
        <v>45.2466</v>
      </c>
      <c r="C1531">
        <v>1529</v>
      </c>
      <c r="D1531" s="7">
        <v>45.246600000000001</v>
      </c>
      <c r="E1531" s="7">
        <f t="shared" si="46"/>
        <v>69182.051399999997</v>
      </c>
      <c r="F1531" s="7">
        <f t="shared" si="47"/>
        <v>2337841</v>
      </c>
      <c r="G1531" s="7"/>
    </row>
    <row r="1532" spans="1:7" x14ac:dyDescent="0.35">
      <c r="A1532" t="str">
        <f>"2011-03-24"</f>
        <v>2011-03-24</v>
      </c>
      <c r="B1532" t="str">
        <f>"43.941"</f>
        <v>43.941</v>
      </c>
      <c r="C1532">
        <v>1530</v>
      </c>
      <c r="D1532" s="7">
        <v>43.941000000000003</v>
      </c>
      <c r="E1532" s="7">
        <f t="shared" si="46"/>
        <v>67229.73000000001</v>
      </c>
      <c r="F1532" s="7">
        <f t="shared" si="47"/>
        <v>2340900</v>
      </c>
      <c r="G1532" s="7"/>
    </row>
    <row r="1533" spans="1:7" x14ac:dyDescent="0.35">
      <c r="A1533" t="str">
        <f>"2011-03-25"</f>
        <v>2011-03-25</v>
      </c>
      <c r="B1533" t="str">
        <f>"43.388"</f>
        <v>43.388</v>
      </c>
      <c r="C1533">
        <v>1531</v>
      </c>
      <c r="D1533" s="7">
        <v>43.387999999999998</v>
      </c>
      <c r="E1533" s="7">
        <f t="shared" si="46"/>
        <v>66427.027999999991</v>
      </c>
      <c r="F1533" s="7">
        <f t="shared" si="47"/>
        <v>2343961</v>
      </c>
      <c r="G1533" s="7"/>
    </row>
    <row r="1534" spans="1:7" x14ac:dyDescent="0.35">
      <c r="A1534" t="str">
        <f>"2011-03-28"</f>
        <v>2011-03-28</v>
      </c>
      <c r="B1534" t="str">
        <f>"43.5521"</f>
        <v>43.5521</v>
      </c>
      <c r="C1534">
        <v>1532</v>
      </c>
      <c r="D1534" s="7">
        <v>43.552100000000003</v>
      </c>
      <c r="E1534" s="7">
        <f t="shared" si="46"/>
        <v>66721.817200000005</v>
      </c>
      <c r="F1534" s="7">
        <f t="shared" si="47"/>
        <v>2347024</v>
      </c>
      <c r="G1534" s="7"/>
    </row>
    <row r="1535" spans="1:7" x14ac:dyDescent="0.35">
      <c r="A1535" t="str">
        <f>"2011-03-29"</f>
        <v>2011-03-29</v>
      </c>
      <c r="B1535" t="str">
        <f>"43.2871"</f>
        <v>43.2871</v>
      </c>
      <c r="C1535">
        <v>1533</v>
      </c>
      <c r="D1535" s="7">
        <v>43.287100000000002</v>
      </c>
      <c r="E1535" s="7">
        <f t="shared" si="46"/>
        <v>66359.12430000001</v>
      </c>
      <c r="F1535" s="7">
        <f t="shared" si="47"/>
        <v>2350089</v>
      </c>
      <c r="G1535" s="7"/>
    </row>
    <row r="1536" spans="1:7" x14ac:dyDescent="0.35">
      <c r="A1536" t="str">
        <f>"2011-03-30"</f>
        <v>2011-03-30</v>
      </c>
      <c r="B1536" t="str">
        <f>"44.091"</f>
        <v>44.091</v>
      </c>
      <c r="C1536">
        <v>1534</v>
      </c>
      <c r="D1536" s="7">
        <v>44.091000000000001</v>
      </c>
      <c r="E1536" s="7">
        <f t="shared" si="46"/>
        <v>67635.593999999997</v>
      </c>
      <c r="F1536" s="7">
        <f t="shared" si="47"/>
        <v>2353156</v>
      </c>
      <c r="G1536" s="7"/>
    </row>
    <row r="1537" spans="1:7" x14ac:dyDescent="0.35">
      <c r="A1537" t="str">
        <f>"2011-03-31"</f>
        <v>2011-03-31</v>
      </c>
      <c r="B1537" t="str">
        <f>"43.4238"</f>
        <v>43.4238</v>
      </c>
      <c r="C1537">
        <v>1535</v>
      </c>
      <c r="D1537" s="7">
        <v>43.4238</v>
      </c>
      <c r="E1537" s="7">
        <f t="shared" si="46"/>
        <v>66655.532999999996</v>
      </c>
      <c r="F1537" s="7">
        <f t="shared" si="47"/>
        <v>2356225</v>
      </c>
      <c r="G1537" s="7"/>
    </row>
    <row r="1538" spans="1:7" x14ac:dyDescent="0.35">
      <c r="A1538" t="str">
        <f>"2011-04-01"</f>
        <v>2011-04-01</v>
      </c>
      <c r="B1538" t="str">
        <f>"44.5638"</f>
        <v>44.5638</v>
      </c>
      <c r="C1538">
        <v>1536</v>
      </c>
      <c r="D1538" s="7">
        <v>44.563800000000001</v>
      </c>
      <c r="E1538" s="7">
        <f t="shared" si="46"/>
        <v>68449.996799999994</v>
      </c>
      <c r="F1538" s="7">
        <f t="shared" si="47"/>
        <v>2359296</v>
      </c>
      <c r="G1538" s="7"/>
    </row>
    <row r="1539" spans="1:7" x14ac:dyDescent="0.35">
      <c r="A1539" t="str">
        <f>"2011-04-04"</f>
        <v>2011-04-04</v>
      </c>
      <c r="B1539" t="str">
        <f>"45.594"</f>
        <v>45.594</v>
      </c>
      <c r="C1539">
        <v>1537</v>
      </c>
      <c r="D1539" s="7">
        <v>45.594000000000001</v>
      </c>
      <c r="E1539" s="7">
        <f t="shared" si="46"/>
        <v>70077.978000000003</v>
      </c>
      <c r="F1539" s="7">
        <f t="shared" si="47"/>
        <v>2362369</v>
      </c>
      <c r="G1539" s="7"/>
    </row>
    <row r="1540" spans="1:7" x14ac:dyDescent="0.35">
      <c r="A1540" t="str">
        <f>"2011-04-05"</f>
        <v>2011-04-05</v>
      </c>
      <c r="B1540" t="str">
        <f>"45.3595"</f>
        <v>45.3595</v>
      </c>
      <c r="C1540">
        <v>1538</v>
      </c>
      <c r="D1540" s="7">
        <v>45.359499999999997</v>
      </c>
      <c r="E1540" s="7">
        <f t="shared" ref="E1540:E1603" si="48">C1540*D1540</f>
        <v>69762.910999999993</v>
      </c>
      <c r="F1540" s="7">
        <f t="shared" ref="F1540:F1603" si="49">C1540*C1540</f>
        <v>2365444</v>
      </c>
      <c r="G1540" s="7"/>
    </row>
    <row r="1541" spans="1:7" x14ac:dyDescent="0.35">
      <c r="A1541" t="str">
        <f>"2011-04-06"</f>
        <v>2011-04-06</v>
      </c>
      <c r="B1541" t="str">
        <f>"45.5565"</f>
        <v>45.5565</v>
      </c>
      <c r="C1541">
        <v>1539</v>
      </c>
      <c r="D1541" s="7">
        <v>45.5565</v>
      </c>
      <c r="E1541" s="7">
        <f t="shared" si="48"/>
        <v>70111.453500000003</v>
      </c>
      <c r="F1541" s="7">
        <f t="shared" si="49"/>
        <v>2368521</v>
      </c>
      <c r="G1541" s="7"/>
    </row>
    <row r="1542" spans="1:7" x14ac:dyDescent="0.35">
      <c r="A1542" t="str">
        <f>"2011-04-07"</f>
        <v>2011-04-07</v>
      </c>
      <c r="B1542" t="str">
        <f>"45.9466"</f>
        <v>45.9466</v>
      </c>
      <c r="C1542">
        <v>1540</v>
      </c>
      <c r="D1542" s="7">
        <v>45.946599999999997</v>
      </c>
      <c r="E1542" s="7">
        <f t="shared" si="48"/>
        <v>70757.763999999996</v>
      </c>
      <c r="F1542" s="7">
        <f t="shared" si="49"/>
        <v>2371600</v>
      </c>
      <c r="G1542" s="7"/>
    </row>
    <row r="1543" spans="1:7" x14ac:dyDescent="0.35">
      <c r="A1543" t="str">
        <f>"2011-04-08"</f>
        <v>2011-04-08</v>
      </c>
      <c r="B1543" t="str">
        <f>"44.4731"</f>
        <v>44.4731</v>
      </c>
      <c r="C1543">
        <v>1541</v>
      </c>
      <c r="D1543" s="7">
        <v>44.473100000000002</v>
      </c>
      <c r="E1543" s="7">
        <f t="shared" si="48"/>
        <v>68533.047100000011</v>
      </c>
      <c r="F1543" s="7">
        <f t="shared" si="49"/>
        <v>2374681</v>
      </c>
      <c r="G1543" s="7"/>
    </row>
    <row r="1544" spans="1:7" x14ac:dyDescent="0.35">
      <c r="A1544" t="str">
        <f>"2011-04-11"</f>
        <v>2011-04-11</v>
      </c>
      <c r="B1544" t="str">
        <f>"45.0496"</f>
        <v>45.0496</v>
      </c>
      <c r="C1544">
        <v>1542</v>
      </c>
      <c r="D1544" s="7">
        <v>45.049599999999998</v>
      </c>
      <c r="E1544" s="7">
        <f t="shared" si="48"/>
        <v>69466.483200000002</v>
      </c>
      <c r="F1544" s="7">
        <f t="shared" si="49"/>
        <v>2377764</v>
      </c>
      <c r="G1544" s="7"/>
    </row>
    <row r="1545" spans="1:7" x14ac:dyDescent="0.35">
      <c r="A1545" t="str">
        <f>"2011-04-12"</f>
        <v>2011-04-12</v>
      </c>
      <c r="B1545" t="str">
        <f>"45.9666"</f>
        <v>45.9666</v>
      </c>
      <c r="C1545">
        <v>1543</v>
      </c>
      <c r="D1545" s="7">
        <v>45.9666</v>
      </c>
      <c r="E1545" s="7">
        <f t="shared" si="48"/>
        <v>70926.463799999998</v>
      </c>
      <c r="F1545" s="7">
        <f t="shared" si="49"/>
        <v>2380849</v>
      </c>
      <c r="G1545" s="7"/>
    </row>
    <row r="1546" spans="1:7" x14ac:dyDescent="0.35">
      <c r="A1546" t="str">
        <f>"2011-04-13"</f>
        <v>2011-04-13</v>
      </c>
      <c r="B1546" t="str">
        <f>"45.5127"</f>
        <v>45.5127</v>
      </c>
      <c r="C1546">
        <v>1544</v>
      </c>
      <c r="D1546" s="7">
        <v>45.512700000000002</v>
      </c>
      <c r="E1546" s="7">
        <f t="shared" si="48"/>
        <v>70271.608800000002</v>
      </c>
      <c r="F1546" s="7">
        <f t="shared" si="49"/>
        <v>2383936</v>
      </c>
      <c r="G1546" s="7"/>
    </row>
    <row r="1547" spans="1:7" x14ac:dyDescent="0.35">
      <c r="A1547" t="str">
        <f>"2011-04-14"</f>
        <v>2011-04-14</v>
      </c>
      <c r="B1547" t="str">
        <f>"44.7353"</f>
        <v>44.7353</v>
      </c>
      <c r="C1547">
        <v>1545</v>
      </c>
      <c r="D1547" s="7">
        <v>44.735300000000002</v>
      </c>
      <c r="E1547" s="7">
        <f t="shared" si="48"/>
        <v>69116.03850000001</v>
      </c>
      <c r="F1547" s="7">
        <f t="shared" si="49"/>
        <v>2387025</v>
      </c>
      <c r="G1547" s="7"/>
    </row>
    <row r="1548" spans="1:7" x14ac:dyDescent="0.35">
      <c r="A1548" t="str">
        <f>"2011-04-18"</f>
        <v>2011-04-18</v>
      </c>
      <c r="B1548" t="str">
        <f>"42.8387"</f>
        <v>42.8387</v>
      </c>
      <c r="C1548">
        <v>1546</v>
      </c>
      <c r="D1548" s="7">
        <v>42.838700000000003</v>
      </c>
      <c r="E1548" s="7">
        <f t="shared" si="48"/>
        <v>66228.6302</v>
      </c>
      <c r="F1548" s="7">
        <f t="shared" si="49"/>
        <v>2390116</v>
      </c>
      <c r="G1548" s="7"/>
    </row>
    <row r="1549" spans="1:7" x14ac:dyDescent="0.35">
      <c r="A1549" t="str">
        <f>"2011-04-19"</f>
        <v>2011-04-19</v>
      </c>
      <c r="B1549" t="str">
        <f>"43.3912"</f>
        <v>43.3912</v>
      </c>
      <c r="C1549">
        <v>1547</v>
      </c>
      <c r="D1549" s="7">
        <v>43.391199999999998</v>
      </c>
      <c r="E1549" s="7">
        <f t="shared" si="48"/>
        <v>67126.186399999991</v>
      </c>
      <c r="F1549" s="7">
        <f t="shared" si="49"/>
        <v>2393209</v>
      </c>
      <c r="G1549" s="7"/>
    </row>
    <row r="1550" spans="1:7" x14ac:dyDescent="0.35">
      <c r="A1550" t="str">
        <f>"2011-04-20"</f>
        <v>2011-04-20</v>
      </c>
      <c r="B1550" t="str">
        <f>"43.6268"</f>
        <v>43.6268</v>
      </c>
      <c r="C1550">
        <v>1548</v>
      </c>
      <c r="D1550" s="7">
        <v>43.626800000000003</v>
      </c>
      <c r="E1550" s="7">
        <f t="shared" si="48"/>
        <v>67534.286400000012</v>
      </c>
      <c r="F1550" s="7">
        <f t="shared" si="49"/>
        <v>2396304</v>
      </c>
      <c r="G1550" s="7"/>
    </row>
    <row r="1551" spans="1:7" x14ac:dyDescent="0.35">
      <c r="A1551" t="str">
        <f>"2011-04-21"</f>
        <v>2011-04-21</v>
      </c>
      <c r="B1551" t="str">
        <f>"43.8729"</f>
        <v>43.8729</v>
      </c>
      <c r="C1551">
        <v>1549</v>
      </c>
      <c r="D1551" s="7">
        <v>43.872900000000001</v>
      </c>
      <c r="E1551" s="7">
        <f t="shared" si="48"/>
        <v>67959.122100000008</v>
      </c>
      <c r="F1551" s="7">
        <f t="shared" si="49"/>
        <v>2399401</v>
      </c>
      <c r="G1551" s="7"/>
    </row>
    <row r="1552" spans="1:7" x14ac:dyDescent="0.35">
      <c r="A1552" t="str">
        <f>"2011-04-25"</f>
        <v>2011-04-25</v>
      </c>
      <c r="B1552" t="str">
        <f>"44.4871"</f>
        <v>44.4871</v>
      </c>
      <c r="C1552">
        <v>1550</v>
      </c>
      <c r="D1552" s="7">
        <v>44.487099999999998</v>
      </c>
      <c r="E1552" s="7">
        <f t="shared" si="48"/>
        <v>68955.00499999999</v>
      </c>
      <c r="F1552" s="7">
        <f t="shared" si="49"/>
        <v>2402500</v>
      </c>
      <c r="G1552" s="7"/>
    </row>
    <row r="1553" spans="1:7" x14ac:dyDescent="0.35">
      <c r="A1553" t="str">
        <f>"2011-04-26"</f>
        <v>2011-04-26</v>
      </c>
      <c r="B1553" t="str">
        <f>"44.062"</f>
        <v>44.062</v>
      </c>
      <c r="C1553">
        <v>1551</v>
      </c>
      <c r="D1553" s="7">
        <v>44.061999999999998</v>
      </c>
      <c r="E1553" s="7">
        <f t="shared" si="48"/>
        <v>68340.161999999997</v>
      </c>
      <c r="F1553" s="7">
        <f t="shared" si="49"/>
        <v>2405601</v>
      </c>
      <c r="G1553" s="7"/>
    </row>
    <row r="1554" spans="1:7" x14ac:dyDescent="0.35">
      <c r="A1554" t="str">
        <f>"2011-04-27"</f>
        <v>2011-04-27</v>
      </c>
      <c r="B1554" t="str">
        <f>"43.2334"</f>
        <v>43.2334</v>
      </c>
      <c r="C1554">
        <v>1552</v>
      </c>
      <c r="D1554" s="7">
        <v>43.233400000000003</v>
      </c>
      <c r="E1554" s="7">
        <f t="shared" si="48"/>
        <v>67098.236799999999</v>
      </c>
      <c r="F1554" s="7">
        <f t="shared" si="49"/>
        <v>2408704</v>
      </c>
      <c r="G1554" s="7"/>
    </row>
    <row r="1555" spans="1:7" x14ac:dyDescent="0.35">
      <c r="A1555" t="str">
        <f>"2011-04-28"</f>
        <v>2011-04-28</v>
      </c>
      <c r="B1555" t="str">
        <f>"43.4044"</f>
        <v>43.4044</v>
      </c>
      <c r="C1555">
        <v>1553</v>
      </c>
      <c r="D1555" s="7">
        <v>43.404400000000003</v>
      </c>
      <c r="E1555" s="7">
        <f t="shared" si="48"/>
        <v>67407.033200000005</v>
      </c>
      <c r="F1555" s="7">
        <f t="shared" si="49"/>
        <v>2411809</v>
      </c>
      <c r="G1555" s="7"/>
    </row>
    <row r="1556" spans="1:7" x14ac:dyDescent="0.35">
      <c r="A1556" t="str">
        <f>"2011-04-29"</f>
        <v>2011-04-29</v>
      </c>
      <c r="B1556" t="str">
        <f>"42.7877"</f>
        <v>42.7877</v>
      </c>
      <c r="C1556">
        <v>1554</v>
      </c>
      <c r="D1556" s="7">
        <v>42.787700000000001</v>
      </c>
      <c r="E1556" s="7">
        <f t="shared" si="48"/>
        <v>66492.085800000001</v>
      </c>
      <c r="F1556" s="7">
        <f t="shared" si="49"/>
        <v>2414916</v>
      </c>
      <c r="G1556" s="7"/>
    </row>
    <row r="1557" spans="1:7" x14ac:dyDescent="0.35">
      <c r="A1557" t="str">
        <f>"2011-05-02"</f>
        <v>2011-05-02</v>
      </c>
      <c r="B1557" t="str">
        <f>"42.7548"</f>
        <v>42.7548</v>
      </c>
      <c r="C1557">
        <v>1555</v>
      </c>
      <c r="D1557" s="7">
        <v>42.754800000000003</v>
      </c>
      <c r="E1557" s="7">
        <f t="shared" si="48"/>
        <v>66483.714000000007</v>
      </c>
      <c r="F1557" s="7">
        <f t="shared" si="49"/>
        <v>2418025</v>
      </c>
      <c r="G1557" s="7"/>
    </row>
    <row r="1558" spans="1:7" x14ac:dyDescent="0.35">
      <c r="A1558" t="str">
        <f>"2011-05-03"</f>
        <v>2011-05-03</v>
      </c>
      <c r="B1558" t="str">
        <f>"43.5044"</f>
        <v>43.5044</v>
      </c>
      <c r="C1558">
        <v>1556</v>
      </c>
      <c r="D1558" s="7">
        <v>43.504399999999997</v>
      </c>
      <c r="E1558" s="7">
        <f t="shared" si="48"/>
        <v>67692.846399999995</v>
      </c>
      <c r="F1558" s="7">
        <f t="shared" si="49"/>
        <v>2421136</v>
      </c>
      <c r="G1558" s="7"/>
    </row>
    <row r="1559" spans="1:7" x14ac:dyDescent="0.35">
      <c r="A1559" t="str">
        <f>"2011-05-04"</f>
        <v>2011-05-04</v>
      </c>
      <c r="B1559" t="str">
        <f>"44.9497"</f>
        <v>44.9497</v>
      </c>
      <c r="C1559">
        <v>1557</v>
      </c>
      <c r="D1559" s="7">
        <v>44.9497</v>
      </c>
      <c r="E1559" s="7">
        <f t="shared" si="48"/>
        <v>69986.6829</v>
      </c>
      <c r="F1559" s="7">
        <f t="shared" si="49"/>
        <v>2424249</v>
      </c>
      <c r="G1559" s="7"/>
    </row>
    <row r="1560" spans="1:7" x14ac:dyDescent="0.35">
      <c r="A1560" t="str">
        <f>"2011-05-05"</f>
        <v>2011-05-05</v>
      </c>
      <c r="B1560" t="str">
        <f>"45.7771"</f>
        <v>45.7771</v>
      </c>
      <c r="C1560">
        <v>1558</v>
      </c>
      <c r="D1560" s="7">
        <v>45.777099999999997</v>
      </c>
      <c r="E1560" s="7">
        <f t="shared" si="48"/>
        <v>71320.721799999999</v>
      </c>
      <c r="F1560" s="7">
        <f t="shared" si="49"/>
        <v>2427364</v>
      </c>
      <c r="G1560" s="7"/>
    </row>
    <row r="1561" spans="1:7" x14ac:dyDescent="0.35">
      <c r="A1561" t="str">
        <f>"2011-05-06"</f>
        <v>2011-05-06</v>
      </c>
      <c r="B1561" t="str">
        <f>"45.7779"</f>
        <v>45.7779</v>
      </c>
      <c r="C1561">
        <v>1559</v>
      </c>
      <c r="D1561" s="7">
        <v>45.777900000000002</v>
      </c>
      <c r="E1561" s="7">
        <f t="shared" si="48"/>
        <v>71367.746100000004</v>
      </c>
      <c r="F1561" s="7">
        <f t="shared" si="49"/>
        <v>2430481</v>
      </c>
      <c r="G1561" s="7"/>
    </row>
    <row r="1562" spans="1:7" x14ac:dyDescent="0.35">
      <c r="A1562" t="str">
        <f>"2011-05-09"</f>
        <v>2011-05-09</v>
      </c>
      <c r="B1562" t="str">
        <f>"45.1947"</f>
        <v>45.1947</v>
      </c>
      <c r="C1562">
        <v>1560</v>
      </c>
      <c r="D1562" s="7">
        <v>45.194699999999997</v>
      </c>
      <c r="E1562" s="7">
        <f t="shared" si="48"/>
        <v>70503.731999999989</v>
      </c>
      <c r="F1562" s="7">
        <f t="shared" si="49"/>
        <v>2433600</v>
      </c>
      <c r="G1562" s="7"/>
    </row>
    <row r="1563" spans="1:7" x14ac:dyDescent="0.35">
      <c r="A1563" t="str">
        <f>"2011-05-10"</f>
        <v>2011-05-10</v>
      </c>
      <c r="B1563" t="str">
        <f>"43.9617"</f>
        <v>43.9617</v>
      </c>
      <c r="C1563">
        <v>1561</v>
      </c>
      <c r="D1563" s="7">
        <v>43.9617</v>
      </c>
      <c r="E1563" s="7">
        <f t="shared" si="48"/>
        <v>68624.213700000008</v>
      </c>
      <c r="F1563" s="7">
        <f t="shared" si="49"/>
        <v>2436721</v>
      </c>
      <c r="G1563" s="7"/>
    </row>
    <row r="1564" spans="1:7" x14ac:dyDescent="0.35">
      <c r="A1564" t="str">
        <f>"2011-05-11"</f>
        <v>2011-05-11</v>
      </c>
      <c r="B1564" t="str">
        <f>"42.9739"</f>
        <v>42.9739</v>
      </c>
      <c r="C1564">
        <v>1562</v>
      </c>
      <c r="D1564" s="7">
        <v>42.9739</v>
      </c>
      <c r="E1564" s="7">
        <f t="shared" si="48"/>
        <v>67125.231799999994</v>
      </c>
      <c r="F1564" s="7">
        <f t="shared" si="49"/>
        <v>2439844</v>
      </c>
      <c r="G1564" s="7"/>
    </row>
    <row r="1565" spans="1:7" x14ac:dyDescent="0.35">
      <c r="A1565" t="str">
        <f>"2011-05-12"</f>
        <v>2011-05-12</v>
      </c>
      <c r="B1565" t="str">
        <f>"43.1394"</f>
        <v>43.1394</v>
      </c>
      <c r="C1565">
        <v>1563</v>
      </c>
      <c r="D1565" s="7">
        <v>43.139400000000002</v>
      </c>
      <c r="E1565" s="7">
        <f t="shared" si="48"/>
        <v>67426.882200000007</v>
      </c>
      <c r="F1565" s="7">
        <f t="shared" si="49"/>
        <v>2442969</v>
      </c>
      <c r="G1565" s="7"/>
    </row>
    <row r="1566" spans="1:7" x14ac:dyDescent="0.35">
      <c r="A1566" t="str">
        <f>"2011-05-13"</f>
        <v>2011-05-13</v>
      </c>
      <c r="B1566" t="str">
        <f>"42.3961"</f>
        <v>42.3961</v>
      </c>
      <c r="C1566">
        <v>1564</v>
      </c>
      <c r="D1566" s="7">
        <v>42.396099999999997</v>
      </c>
      <c r="E1566" s="7">
        <f t="shared" si="48"/>
        <v>66307.50039999999</v>
      </c>
      <c r="F1566" s="7">
        <f t="shared" si="49"/>
        <v>2446096</v>
      </c>
      <c r="G1566" s="7"/>
    </row>
    <row r="1567" spans="1:7" x14ac:dyDescent="0.35">
      <c r="A1567" t="str">
        <f>"2011-05-16"</f>
        <v>2011-05-16</v>
      </c>
      <c r="B1567" t="str">
        <f>"41.6941"</f>
        <v>41.6941</v>
      </c>
      <c r="C1567">
        <v>1565</v>
      </c>
      <c r="D1567" s="7">
        <v>41.694099999999999</v>
      </c>
      <c r="E1567" s="7">
        <f t="shared" si="48"/>
        <v>65251.266499999998</v>
      </c>
      <c r="F1567" s="7">
        <f t="shared" si="49"/>
        <v>2449225</v>
      </c>
      <c r="G1567" s="7"/>
    </row>
    <row r="1568" spans="1:7" x14ac:dyDescent="0.35">
      <c r="A1568" t="str">
        <f>"2011-05-17"</f>
        <v>2011-05-17</v>
      </c>
      <c r="B1568" t="str">
        <f>"43.2023"</f>
        <v>43.2023</v>
      </c>
      <c r="C1568">
        <v>1566</v>
      </c>
      <c r="D1568" s="7">
        <v>43.202300000000001</v>
      </c>
      <c r="E1568" s="7">
        <f t="shared" si="48"/>
        <v>67654.801800000001</v>
      </c>
      <c r="F1568" s="7">
        <f t="shared" si="49"/>
        <v>2452356</v>
      </c>
      <c r="G1568" s="7"/>
    </row>
    <row r="1569" spans="1:7" x14ac:dyDescent="0.35">
      <c r="A1569" t="str">
        <f>"2011-05-18"</f>
        <v>2011-05-18</v>
      </c>
      <c r="B1569" t="str">
        <f>"41.0076"</f>
        <v>41.0076</v>
      </c>
      <c r="C1569">
        <v>1567</v>
      </c>
      <c r="D1569" s="7">
        <v>41.007599999999996</v>
      </c>
      <c r="E1569" s="7">
        <f t="shared" si="48"/>
        <v>64258.909199999995</v>
      </c>
      <c r="F1569" s="7">
        <f t="shared" si="49"/>
        <v>2455489</v>
      </c>
      <c r="G1569" s="7"/>
    </row>
    <row r="1570" spans="1:7" x14ac:dyDescent="0.35">
      <c r="A1570" t="str">
        <f>"2011-05-19"</f>
        <v>2011-05-19</v>
      </c>
      <c r="B1570" t="str">
        <f>"42.1142"</f>
        <v>42.1142</v>
      </c>
      <c r="C1570">
        <v>1568</v>
      </c>
      <c r="D1570" s="7">
        <v>42.114199999999997</v>
      </c>
      <c r="E1570" s="7">
        <f t="shared" si="48"/>
        <v>66035.065600000002</v>
      </c>
      <c r="F1570" s="7">
        <f t="shared" si="49"/>
        <v>2458624</v>
      </c>
      <c r="G1570" s="7"/>
    </row>
    <row r="1571" spans="1:7" x14ac:dyDescent="0.35">
      <c r="A1571" t="str">
        <f>"2011-05-20"</f>
        <v>2011-05-20</v>
      </c>
      <c r="B1571" t="str">
        <f>"40.7561"</f>
        <v>40.7561</v>
      </c>
      <c r="C1571">
        <v>1569</v>
      </c>
      <c r="D1571" s="7">
        <v>40.756100000000004</v>
      </c>
      <c r="E1571" s="7">
        <f t="shared" si="48"/>
        <v>63946.320900000006</v>
      </c>
      <c r="F1571" s="7">
        <f t="shared" si="49"/>
        <v>2461761</v>
      </c>
      <c r="G1571" s="7"/>
    </row>
    <row r="1572" spans="1:7" x14ac:dyDescent="0.35">
      <c r="A1572" t="str">
        <f>"2011-05-23"</f>
        <v>2011-05-23</v>
      </c>
      <c r="B1572" t="str">
        <f>"40.1472"</f>
        <v>40.1472</v>
      </c>
      <c r="C1572">
        <v>1570</v>
      </c>
      <c r="D1572" s="7">
        <v>40.147199999999998</v>
      </c>
      <c r="E1572" s="7">
        <f t="shared" si="48"/>
        <v>63031.103999999999</v>
      </c>
      <c r="F1572" s="7">
        <f t="shared" si="49"/>
        <v>2464900</v>
      </c>
      <c r="G1572" s="7"/>
    </row>
    <row r="1573" spans="1:7" x14ac:dyDescent="0.35">
      <c r="A1573" t="str">
        <f>"2011-05-24"</f>
        <v>2011-05-24</v>
      </c>
      <c r="B1573" t="str">
        <f>"40.1265"</f>
        <v>40.1265</v>
      </c>
      <c r="C1573">
        <v>1571</v>
      </c>
      <c r="D1573" s="7">
        <v>40.1265</v>
      </c>
      <c r="E1573" s="7">
        <f t="shared" si="48"/>
        <v>63038.731500000002</v>
      </c>
      <c r="F1573" s="7">
        <f t="shared" si="49"/>
        <v>2468041</v>
      </c>
      <c r="G1573" s="7"/>
    </row>
    <row r="1574" spans="1:7" x14ac:dyDescent="0.35">
      <c r="A1574" t="str">
        <f>"2011-05-25"</f>
        <v>2011-05-25</v>
      </c>
      <c r="B1574" t="str">
        <f>"39.5828"</f>
        <v>39.5828</v>
      </c>
      <c r="C1574">
        <v>1572</v>
      </c>
      <c r="D1574" s="7">
        <v>39.582799999999999</v>
      </c>
      <c r="E1574" s="7">
        <f t="shared" si="48"/>
        <v>62224.161599999999</v>
      </c>
      <c r="F1574" s="7">
        <f t="shared" si="49"/>
        <v>2471184</v>
      </c>
      <c r="G1574" s="7"/>
    </row>
    <row r="1575" spans="1:7" x14ac:dyDescent="0.35">
      <c r="A1575" t="str">
        <f>"2011-05-26"</f>
        <v>2011-05-26</v>
      </c>
      <c r="B1575" t="str">
        <f>"39.4714"</f>
        <v>39.4714</v>
      </c>
      <c r="C1575">
        <v>1573</v>
      </c>
      <c r="D1575" s="7">
        <v>39.471400000000003</v>
      </c>
      <c r="E1575" s="7">
        <f t="shared" si="48"/>
        <v>62088.512200000005</v>
      </c>
      <c r="F1575" s="7">
        <f t="shared" si="49"/>
        <v>2474329</v>
      </c>
      <c r="G1575" s="7"/>
    </row>
    <row r="1576" spans="1:7" x14ac:dyDescent="0.35">
      <c r="A1576" t="str">
        <f>"2011-05-27"</f>
        <v>2011-05-27</v>
      </c>
      <c r="B1576" t="str">
        <f>"38.0965"</f>
        <v>38.0965</v>
      </c>
      <c r="C1576">
        <v>1574</v>
      </c>
      <c r="D1576" s="7">
        <v>38.096499999999999</v>
      </c>
      <c r="E1576" s="7">
        <f t="shared" si="48"/>
        <v>59963.890999999996</v>
      </c>
      <c r="F1576" s="7">
        <f t="shared" si="49"/>
        <v>2477476</v>
      </c>
      <c r="G1576" s="7"/>
    </row>
    <row r="1577" spans="1:7" x14ac:dyDescent="0.35">
      <c r="A1577" t="str">
        <f>"2011-05-31"</f>
        <v>2011-05-31</v>
      </c>
      <c r="B1577" t="str">
        <f>"38.9722"</f>
        <v>38.9722</v>
      </c>
      <c r="C1577">
        <v>1575</v>
      </c>
      <c r="D1577" s="7">
        <v>38.972200000000001</v>
      </c>
      <c r="E1577" s="7">
        <f t="shared" si="48"/>
        <v>61381.215000000004</v>
      </c>
      <c r="F1577" s="7">
        <f t="shared" si="49"/>
        <v>2480625</v>
      </c>
      <c r="G1577" s="7"/>
    </row>
    <row r="1578" spans="1:7" x14ac:dyDescent="0.35">
      <c r="A1578" t="str">
        <f>"2011-06-01"</f>
        <v>2011-06-01</v>
      </c>
      <c r="B1578" t="str">
        <f>"39.2856"</f>
        <v>39.2856</v>
      </c>
      <c r="C1578">
        <v>1576</v>
      </c>
      <c r="D1578" s="7">
        <v>39.285600000000002</v>
      </c>
      <c r="E1578" s="7">
        <f t="shared" si="48"/>
        <v>61914.105600000003</v>
      </c>
      <c r="F1578" s="7">
        <f t="shared" si="49"/>
        <v>2483776</v>
      </c>
      <c r="G1578" s="7"/>
    </row>
    <row r="1579" spans="1:7" x14ac:dyDescent="0.35">
      <c r="A1579" t="str">
        <f>"2011-06-02"</f>
        <v>2011-06-02</v>
      </c>
      <c r="B1579" t="str">
        <f>"39.1448"</f>
        <v>39.1448</v>
      </c>
      <c r="C1579">
        <v>1577</v>
      </c>
      <c r="D1579" s="7">
        <v>39.144799999999996</v>
      </c>
      <c r="E1579" s="7">
        <f t="shared" si="48"/>
        <v>61731.349599999994</v>
      </c>
      <c r="F1579" s="7">
        <f t="shared" si="49"/>
        <v>2486929</v>
      </c>
      <c r="G1579" s="7"/>
    </row>
    <row r="1580" spans="1:7" x14ac:dyDescent="0.35">
      <c r="A1580" t="str">
        <f>"2011-06-03"</f>
        <v>2011-06-03</v>
      </c>
      <c r="B1580" t="str">
        <f>"39.1748"</f>
        <v>39.1748</v>
      </c>
      <c r="C1580">
        <v>1578</v>
      </c>
      <c r="D1580" s="7">
        <v>39.174799999999998</v>
      </c>
      <c r="E1580" s="7">
        <f t="shared" si="48"/>
        <v>61817.8344</v>
      </c>
      <c r="F1580" s="7">
        <f t="shared" si="49"/>
        <v>2490084</v>
      </c>
      <c r="G1580" s="7"/>
    </row>
    <row r="1581" spans="1:7" x14ac:dyDescent="0.35">
      <c r="A1581" t="str">
        <f>"2011-06-06"</f>
        <v>2011-06-06</v>
      </c>
      <c r="B1581" t="str">
        <f>"39.437"</f>
        <v>39.437</v>
      </c>
      <c r="C1581">
        <v>1579</v>
      </c>
      <c r="D1581" s="7">
        <v>39.436999999999998</v>
      </c>
      <c r="E1581" s="7">
        <f t="shared" si="48"/>
        <v>62271.022999999994</v>
      </c>
      <c r="F1581" s="7">
        <f t="shared" si="49"/>
        <v>2493241</v>
      </c>
      <c r="G1581" s="7"/>
    </row>
    <row r="1582" spans="1:7" x14ac:dyDescent="0.35">
      <c r="A1582" t="str">
        <f>"2011-06-07"</f>
        <v>2011-06-07</v>
      </c>
      <c r="B1582" t="str">
        <f>"39.8943"</f>
        <v>39.8943</v>
      </c>
      <c r="C1582">
        <v>1580</v>
      </c>
      <c r="D1582" s="7">
        <v>39.894300000000001</v>
      </c>
      <c r="E1582" s="7">
        <f t="shared" si="48"/>
        <v>63032.993999999999</v>
      </c>
      <c r="F1582" s="7">
        <f t="shared" si="49"/>
        <v>2496400</v>
      </c>
      <c r="G1582" s="7"/>
    </row>
    <row r="1583" spans="1:7" x14ac:dyDescent="0.35">
      <c r="A1583" t="str">
        <f>"2011-06-08"</f>
        <v>2011-06-08</v>
      </c>
      <c r="B1583" t="str">
        <f>"39.6019"</f>
        <v>39.6019</v>
      </c>
      <c r="C1583">
        <v>1581</v>
      </c>
      <c r="D1583" s="7">
        <v>39.601900000000001</v>
      </c>
      <c r="E1583" s="7">
        <f t="shared" si="48"/>
        <v>62610.603900000002</v>
      </c>
      <c r="F1583" s="7">
        <f t="shared" si="49"/>
        <v>2499561</v>
      </c>
      <c r="G1583" s="7"/>
    </row>
    <row r="1584" spans="1:7" x14ac:dyDescent="0.35">
      <c r="A1584" t="str">
        <f>"2011-06-09"</f>
        <v>2011-06-09</v>
      </c>
      <c r="B1584" t="str">
        <f>"39.1044"</f>
        <v>39.1044</v>
      </c>
      <c r="C1584">
        <v>1582</v>
      </c>
      <c r="D1584" s="7">
        <v>39.104399999999998</v>
      </c>
      <c r="E1584" s="7">
        <f t="shared" si="48"/>
        <v>61863.160799999998</v>
      </c>
      <c r="F1584" s="7">
        <f t="shared" si="49"/>
        <v>2502724</v>
      </c>
      <c r="G1584" s="7"/>
    </row>
    <row r="1585" spans="1:7" x14ac:dyDescent="0.35">
      <c r="A1585" t="str">
        <f>"2011-06-10"</f>
        <v>2011-06-10</v>
      </c>
      <c r="B1585" t="str">
        <f>"39.5995"</f>
        <v>39.5995</v>
      </c>
      <c r="C1585">
        <v>1583</v>
      </c>
      <c r="D1585" s="7">
        <v>39.599499999999999</v>
      </c>
      <c r="E1585" s="7">
        <f t="shared" si="48"/>
        <v>62686.008499999996</v>
      </c>
      <c r="F1585" s="7">
        <f t="shared" si="49"/>
        <v>2505889</v>
      </c>
      <c r="G1585" s="7"/>
    </row>
    <row r="1586" spans="1:7" x14ac:dyDescent="0.35">
      <c r="A1586" t="str">
        <f>"2011-06-13"</f>
        <v>2011-06-13</v>
      </c>
      <c r="B1586" t="str">
        <f>"40.1111"</f>
        <v>40.1111</v>
      </c>
      <c r="C1586">
        <v>1584</v>
      </c>
      <c r="D1586" s="7">
        <v>40.1111</v>
      </c>
      <c r="E1586" s="7">
        <f t="shared" si="48"/>
        <v>63535.982400000001</v>
      </c>
      <c r="F1586" s="7">
        <f t="shared" si="49"/>
        <v>2509056</v>
      </c>
      <c r="G1586" s="7"/>
    </row>
    <row r="1587" spans="1:7" x14ac:dyDescent="0.35">
      <c r="A1587" t="str">
        <f>"2011-06-14"</f>
        <v>2011-06-14</v>
      </c>
      <c r="B1587" t="str">
        <f>"39.0231"</f>
        <v>39.0231</v>
      </c>
      <c r="C1587">
        <v>1585</v>
      </c>
      <c r="D1587" s="7">
        <v>39.023099999999999</v>
      </c>
      <c r="E1587" s="7">
        <f t="shared" si="48"/>
        <v>61851.613499999999</v>
      </c>
      <c r="F1587" s="7">
        <f t="shared" si="49"/>
        <v>2512225</v>
      </c>
      <c r="G1587" s="7"/>
    </row>
    <row r="1588" spans="1:7" x14ac:dyDescent="0.35">
      <c r="A1588" t="str">
        <f>"2011-06-15"</f>
        <v>2011-06-15</v>
      </c>
      <c r="B1588" t="str">
        <f>"38.1636"</f>
        <v>38.1636</v>
      </c>
      <c r="C1588">
        <v>1586</v>
      </c>
      <c r="D1588" s="7">
        <v>38.163600000000002</v>
      </c>
      <c r="E1588" s="7">
        <f t="shared" si="48"/>
        <v>60527.469600000004</v>
      </c>
      <c r="F1588" s="7">
        <f t="shared" si="49"/>
        <v>2515396</v>
      </c>
      <c r="G1588" s="7"/>
    </row>
    <row r="1589" spans="1:7" x14ac:dyDescent="0.35">
      <c r="A1589" t="str">
        <f>"2011-06-16"</f>
        <v>2011-06-16</v>
      </c>
      <c r="B1589" t="str">
        <f>"37.5168"</f>
        <v>37.5168</v>
      </c>
      <c r="C1589">
        <v>1587</v>
      </c>
      <c r="D1589" s="7">
        <v>37.516800000000003</v>
      </c>
      <c r="E1589" s="7">
        <f t="shared" si="48"/>
        <v>59539.161600000007</v>
      </c>
      <c r="F1589" s="7">
        <f t="shared" si="49"/>
        <v>2518569</v>
      </c>
      <c r="G1589" s="7"/>
    </row>
    <row r="1590" spans="1:7" x14ac:dyDescent="0.35">
      <c r="A1590" t="str">
        <f>"2011-06-17"</f>
        <v>2011-06-17</v>
      </c>
      <c r="B1590" t="str">
        <f>"37.7201"</f>
        <v>37.7201</v>
      </c>
      <c r="C1590">
        <v>1588</v>
      </c>
      <c r="D1590" s="7">
        <v>37.720100000000002</v>
      </c>
      <c r="E1590" s="7">
        <f t="shared" si="48"/>
        <v>59899.518800000005</v>
      </c>
      <c r="F1590" s="7">
        <f t="shared" si="49"/>
        <v>2521744</v>
      </c>
      <c r="G1590" s="7"/>
    </row>
    <row r="1591" spans="1:7" x14ac:dyDescent="0.35">
      <c r="A1591" t="str">
        <f>"2011-06-20"</f>
        <v>2011-06-20</v>
      </c>
      <c r="B1591" t="str">
        <f>"38.1114"</f>
        <v>38.1114</v>
      </c>
      <c r="C1591">
        <v>1589</v>
      </c>
      <c r="D1591" s="7">
        <v>38.111400000000003</v>
      </c>
      <c r="E1591" s="7">
        <f t="shared" si="48"/>
        <v>60559.014600000002</v>
      </c>
      <c r="F1591" s="7">
        <f t="shared" si="49"/>
        <v>2524921</v>
      </c>
      <c r="G1591" s="7"/>
    </row>
    <row r="1592" spans="1:7" x14ac:dyDescent="0.35">
      <c r="A1592" t="str">
        <f>"2011-06-21"</f>
        <v>2011-06-21</v>
      </c>
      <c r="B1592" t="str">
        <f>"38.1781"</f>
        <v>38.1781</v>
      </c>
      <c r="C1592">
        <v>1590</v>
      </c>
      <c r="D1592" s="7">
        <v>38.178100000000001</v>
      </c>
      <c r="E1592" s="7">
        <f t="shared" si="48"/>
        <v>60703.179000000004</v>
      </c>
      <c r="F1592" s="7">
        <f t="shared" si="49"/>
        <v>2528100</v>
      </c>
      <c r="G1592" s="7"/>
    </row>
    <row r="1593" spans="1:7" x14ac:dyDescent="0.35">
      <c r="A1593" t="str">
        <f>"2011-06-22"</f>
        <v>2011-06-22</v>
      </c>
      <c r="B1593" t="str">
        <f>"37.4601"</f>
        <v>37.4601</v>
      </c>
      <c r="C1593">
        <v>1591</v>
      </c>
      <c r="D1593" s="7">
        <v>37.460099999999997</v>
      </c>
      <c r="E1593" s="7">
        <f t="shared" si="48"/>
        <v>59599.019099999998</v>
      </c>
      <c r="F1593" s="7">
        <f t="shared" si="49"/>
        <v>2531281</v>
      </c>
      <c r="G1593" s="7"/>
    </row>
    <row r="1594" spans="1:7" x14ac:dyDescent="0.35">
      <c r="A1594" t="str">
        <f>"2011-06-23"</f>
        <v>2011-06-23</v>
      </c>
      <c r="B1594" t="str">
        <f>"38.6867"</f>
        <v>38.6867</v>
      </c>
      <c r="C1594">
        <v>1592</v>
      </c>
      <c r="D1594" s="7">
        <v>38.686700000000002</v>
      </c>
      <c r="E1594" s="7">
        <f t="shared" si="48"/>
        <v>61589.2264</v>
      </c>
      <c r="F1594" s="7">
        <f t="shared" si="49"/>
        <v>2534464</v>
      </c>
      <c r="G1594" s="7"/>
    </row>
    <row r="1595" spans="1:7" x14ac:dyDescent="0.35">
      <c r="A1595" t="str">
        <f>"2011-06-24"</f>
        <v>2011-06-24</v>
      </c>
      <c r="B1595" t="str">
        <f>"39.4095"</f>
        <v>39.4095</v>
      </c>
      <c r="C1595">
        <v>1593</v>
      </c>
      <c r="D1595" s="7">
        <v>39.409500000000001</v>
      </c>
      <c r="E1595" s="7">
        <f t="shared" si="48"/>
        <v>62779.333500000001</v>
      </c>
      <c r="F1595" s="7">
        <f t="shared" si="49"/>
        <v>2537649</v>
      </c>
      <c r="G1595" s="7"/>
    </row>
    <row r="1596" spans="1:7" x14ac:dyDescent="0.35">
      <c r="A1596" t="str">
        <f>"2011-06-27"</f>
        <v>2011-06-27</v>
      </c>
      <c r="B1596" t="str">
        <f>"39.6111"</f>
        <v>39.6111</v>
      </c>
      <c r="C1596">
        <v>1594</v>
      </c>
      <c r="D1596" s="7">
        <v>39.6111</v>
      </c>
      <c r="E1596" s="7">
        <f t="shared" si="48"/>
        <v>63140.093399999998</v>
      </c>
      <c r="F1596" s="7">
        <f t="shared" si="49"/>
        <v>2540836</v>
      </c>
      <c r="G1596" s="7"/>
    </row>
    <row r="1597" spans="1:7" x14ac:dyDescent="0.35">
      <c r="A1597" t="str">
        <f>"2011-06-28"</f>
        <v>2011-06-28</v>
      </c>
      <c r="B1597" t="str">
        <f>"39.419"</f>
        <v>39.419</v>
      </c>
      <c r="C1597">
        <v>1595</v>
      </c>
      <c r="D1597" s="7">
        <v>39.418999999999997</v>
      </c>
      <c r="E1597" s="7">
        <f t="shared" si="48"/>
        <v>62873.304999999993</v>
      </c>
      <c r="F1597" s="7">
        <f t="shared" si="49"/>
        <v>2544025</v>
      </c>
      <c r="G1597" s="7"/>
    </row>
    <row r="1598" spans="1:7" x14ac:dyDescent="0.35">
      <c r="A1598" t="str">
        <f>"2011-06-29"</f>
        <v>2011-06-29</v>
      </c>
      <c r="B1598" t="str">
        <f>"38.6553"</f>
        <v>38.6553</v>
      </c>
      <c r="C1598">
        <v>1596</v>
      </c>
      <c r="D1598" s="7">
        <v>38.655299999999997</v>
      </c>
      <c r="E1598" s="7">
        <f t="shared" si="48"/>
        <v>61693.858799999995</v>
      </c>
      <c r="F1598" s="7">
        <f t="shared" si="49"/>
        <v>2547216</v>
      </c>
      <c r="G1598" s="7"/>
    </row>
    <row r="1599" spans="1:7" x14ac:dyDescent="0.35">
      <c r="A1599" t="str">
        <f>"2011-06-30"</f>
        <v>2011-06-30</v>
      </c>
      <c r="B1599" t="str">
        <f>"39.5372"</f>
        <v>39.5372</v>
      </c>
      <c r="C1599">
        <v>1597</v>
      </c>
      <c r="D1599" s="7">
        <v>39.537199999999999</v>
      </c>
      <c r="E1599" s="7">
        <f t="shared" si="48"/>
        <v>63140.9084</v>
      </c>
      <c r="F1599" s="7">
        <f t="shared" si="49"/>
        <v>2550409</v>
      </c>
      <c r="G1599" s="7"/>
    </row>
    <row r="1600" spans="1:7" x14ac:dyDescent="0.35">
      <c r="A1600" t="str">
        <f>"2011-07-01"</f>
        <v>2011-07-01</v>
      </c>
      <c r="B1600" t="str">
        <f>"40.1373"</f>
        <v>40.1373</v>
      </c>
      <c r="C1600">
        <v>1598</v>
      </c>
      <c r="D1600" s="7">
        <v>40.137300000000003</v>
      </c>
      <c r="E1600" s="7">
        <f t="shared" si="48"/>
        <v>64139.405400000003</v>
      </c>
      <c r="F1600" s="7">
        <f t="shared" si="49"/>
        <v>2553604</v>
      </c>
      <c r="G1600" s="7"/>
    </row>
    <row r="1601" spans="1:7" x14ac:dyDescent="0.35">
      <c r="A1601" t="str">
        <f>"2011-07-05"</f>
        <v>2011-07-05</v>
      </c>
      <c r="B1601" t="str">
        <f>"38.6879"</f>
        <v>38.6879</v>
      </c>
      <c r="C1601">
        <v>1599</v>
      </c>
      <c r="D1601" s="7">
        <v>38.687899999999999</v>
      </c>
      <c r="E1601" s="7">
        <f t="shared" si="48"/>
        <v>61861.952099999995</v>
      </c>
      <c r="F1601" s="7">
        <f t="shared" si="49"/>
        <v>2556801</v>
      </c>
      <c r="G1601" s="7"/>
    </row>
    <row r="1602" spans="1:7" x14ac:dyDescent="0.35">
      <c r="A1602" t="str">
        <f>"2011-07-06"</f>
        <v>2011-07-06</v>
      </c>
      <c r="B1602" t="str">
        <f>"37.9091"</f>
        <v>37.9091</v>
      </c>
      <c r="C1602">
        <v>1600</v>
      </c>
      <c r="D1602" s="7">
        <v>37.909100000000002</v>
      </c>
      <c r="E1602" s="7">
        <f t="shared" si="48"/>
        <v>60654.560000000005</v>
      </c>
      <c r="F1602" s="7">
        <f t="shared" si="49"/>
        <v>2560000</v>
      </c>
      <c r="G1602" s="7"/>
    </row>
    <row r="1603" spans="1:7" x14ac:dyDescent="0.35">
      <c r="A1603" t="str">
        <f>"2011-07-07"</f>
        <v>2011-07-07</v>
      </c>
      <c r="B1603" t="str">
        <f>"37.4826"</f>
        <v>37.4826</v>
      </c>
      <c r="C1603">
        <v>1601</v>
      </c>
      <c r="D1603" s="7">
        <v>37.482599999999998</v>
      </c>
      <c r="E1603" s="7">
        <f t="shared" si="48"/>
        <v>60009.642599999999</v>
      </c>
      <c r="F1603" s="7">
        <f t="shared" si="49"/>
        <v>2563201</v>
      </c>
      <c r="G1603" s="7"/>
    </row>
    <row r="1604" spans="1:7" x14ac:dyDescent="0.35">
      <c r="A1604" t="str">
        <f>"2011-07-08"</f>
        <v>2011-07-08</v>
      </c>
      <c r="B1604" t="str">
        <f>"37.3495"</f>
        <v>37.3495</v>
      </c>
      <c r="C1604">
        <v>1602</v>
      </c>
      <c r="D1604" s="7">
        <v>37.349499999999999</v>
      </c>
      <c r="E1604" s="7">
        <f t="shared" ref="E1604:E1667" si="50">C1604*D1604</f>
        <v>59833.898999999998</v>
      </c>
      <c r="F1604" s="7">
        <f t="shared" ref="F1604:F1667" si="51">C1604*C1604</f>
        <v>2566404</v>
      </c>
      <c r="G1604" s="7"/>
    </row>
    <row r="1605" spans="1:7" x14ac:dyDescent="0.35">
      <c r="A1605" t="str">
        <f>"2011-07-11"</f>
        <v>2011-07-11</v>
      </c>
      <c r="B1605" t="str">
        <f>"37.1984"</f>
        <v>37.1984</v>
      </c>
      <c r="C1605">
        <v>1603</v>
      </c>
      <c r="D1605" s="7">
        <v>37.198399999999999</v>
      </c>
      <c r="E1605" s="7">
        <f t="shared" si="50"/>
        <v>59629.035199999998</v>
      </c>
      <c r="F1605" s="7">
        <f t="shared" si="51"/>
        <v>2569609</v>
      </c>
      <c r="G1605" s="7"/>
    </row>
    <row r="1606" spans="1:7" x14ac:dyDescent="0.35">
      <c r="A1606" t="str">
        <f>"2011-07-12"</f>
        <v>2011-07-12</v>
      </c>
      <c r="B1606" t="str">
        <f>"36.2096"</f>
        <v>36.2096</v>
      </c>
      <c r="C1606">
        <v>1604</v>
      </c>
      <c r="D1606" s="7">
        <v>36.209600000000002</v>
      </c>
      <c r="E1606" s="7">
        <f t="shared" si="50"/>
        <v>58080.198400000001</v>
      </c>
      <c r="F1606" s="7">
        <f t="shared" si="51"/>
        <v>2572816</v>
      </c>
      <c r="G1606" s="7"/>
    </row>
    <row r="1607" spans="1:7" x14ac:dyDescent="0.35">
      <c r="A1607" t="str">
        <f>"2011-07-13"</f>
        <v>2011-07-13</v>
      </c>
      <c r="B1607" t="str">
        <f>"35.7718"</f>
        <v>35.7718</v>
      </c>
      <c r="C1607">
        <v>1605</v>
      </c>
      <c r="D1607" s="7">
        <v>35.771799999999999</v>
      </c>
      <c r="E1607" s="7">
        <f t="shared" si="50"/>
        <v>57413.739000000001</v>
      </c>
      <c r="F1607" s="7">
        <f t="shared" si="51"/>
        <v>2576025</v>
      </c>
      <c r="G1607" s="7"/>
    </row>
    <row r="1608" spans="1:7" x14ac:dyDescent="0.35">
      <c r="A1608" t="str">
        <f>"2011-07-14"</f>
        <v>2011-07-14</v>
      </c>
      <c r="B1608" t="str">
        <f>"35.4347"</f>
        <v>35.4347</v>
      </c>
      <c r="C1608">
        <v>1606</v>
      </c>
      <c r="D1608" s="7">
        <v>35.434699999999999</v>
      </c>
      <c r="E1608" s="7">
        <f t="shared" si="50"/>
        <v>56908.128199999999</v>
      </c>
      <c r="F1608" s="7">
        <f t="shared" si="51"/>
        <v>2579236</v>
      </c>
      <c r="G1608" s="7"/>
    </row>
    <row r="1609" spans="1:7" x14ac:dyDescent="0.35">
      <c r="A1609" t="str">
        <f>"2011-07-15"</f>
        <v>2011-07-15</v>
      </c>
      <c r="B1609" t="str">
        <f>"34.6856"</f>
        <v>34.6856</v>
      </c>
      <c r="C1609">
        <v>1607</v>
      </c>
      <c r="D1609" s="7">
        <v>34.685600000000001</v>
      </c>
      <c r="E1609" s="7">
        <f t="shared" si="50"/>
        <v>55739.7592</v>
      </c>
      <c r="F1609" s="7">
        <f t="shared" si="51"/>
        <v>2582449</v>
      </c>
      <c r="G1609" s="7"/>
    </row>
    <row r="1610" spans="1:7" x14ac:dyDescent="0.35">
      <c r="A1610" t="str">
        <f>"2011-07-18"</f>
        <v>2011-07-18</v>
      </c>
      <c r="B1610" t="str">
        <f>"33.3364"</f>
        <v>33.3364</v>
      </c>
      <c r="C1610">
        <v>1608</v>
      </c>
      <c r="D1610" s="7">
        <v>33.336399999999998</v>
      </c>
      <c r="E1610" s="7">
        <f t="shared" si="50"/>
        <v>53604.931199999999</v>
      </c>
      <c r="F1610" s="7">
        <f t="shared" si="51"/>
        <v>2585664</v>
      </c>
      <c r="G1610" s="7"/>
    </row>
    <row r="1611" spans="1:7" x14ac:dyDescent="0.35">
      <c r="A1611" t="str">
        <f>"2011-07-19"</f>
        <v>2011-07-19</v>
      </c>
      <c r="B1611" t="str">
        <f>"32.6071"</f>
        <v>32.6071</v>
      </c>
      <c r="C1611">
        <v>1609</v>
      </c>
      <c r="D1611" s="7">
        <v>32.607100000000003</v>
      </c>
      <c r="E1611" s="7">
        <f t="shared" si="50"/>
        <v>52464.823900000003</v>
      </c>
      <c r="F1611" s="7">
        <f t="shared" si="51"/>
        <v>2588881</v>
      </c>
      <c r="G1611" s="7"/>
    </row>
    <row r="1612" spans="1:7" x14ac:dyDescent="0.35">
      <c r="A1612" t="str">
        <f>"2011-07-20"</f>
        <v>2011-07-20</v>
      </c>
      <c r="B1612" t="str">
        <f>"32.3232"</f>
        <v>32.3232</v>
      </c>
      <c r="C1612">
        <v>1610</v>
      </c>
      <c r="D1612" s="7">
        <v>32.3232</v>
      </c>
      <c r="E1612" s="7">
        <f t="shared" si="50"/>
        <v>52040.351999999999</v>
      </c>
      <c r="F1612" s="7">
        <f t="shared" si="51"/>
        <v>2592100</v>
      </c>
      <c r="G1612" s="7"/>
    </row>
    <row r="1613" spans="1:7" x14ac:dyDescent="0.35">
      <c r="A1613" t="str">
        <f>"2011-07-21"</f>
        <v>2011-07-21</v>
      </c>
      <c r="B1613" t="str">
        <f>"31.5851"</f>
        <v>31.5851</v>
      </c>
      <c r="C1613">
        <v>1611</v>
      </c>
      <c r="D1613" s="7">
        <v>31.585100000000001</v>
      </c>
      <c r="E1613" s="7">
        <f t="shared" si="50"/>
        <v>50883.596100000002</v>
      </c>
      <c r="F1613" s="7">
        <f t="shared" si="51"/>
        <v>2595321</v>
      </c>
      <c r="G1613" s="7"/>
    </row>
    <row r="1614" spans="1:7" x14ac:dyDescent="0.35">
      <c r="A1614" t="str">
        <f>"2011-07-22"</f>
        <v>2011-07-22</v>
      </c>
      <c r="B1614" t="str">
        <f>"31.3442"</f>
        <v>31.3442</v>
      </c>
      <c r="C1614">
        <v>1612</v>
      </c>
      <c r="D1614" s="7">
        <v>31.344200000000001</v>
      </c>
      <c r="E1614" s="7">
        <f t="shared" si="50"/>
        <v>50526.850400000003</v>
      </c>
      <c r="F1614" s="7">
        <f t="shared" si="51"/>
        <v>2598544</v>
      </c>
      <c r="G1614" s="7"/>
    </row>
    <row r="1615" spans="1:7" x14ac:dyDescent="0.35">
      <c r="A1615" t="str">
        <f>"2011-07-25"</f>
        <v>2011-07-25</v>
      </c>
      <c r="B1615" t="str">
        <f>"30.9831"</f>
        <v>30.9831</v>
      </c>
      <c r="C1615">
        <v>1613</v>
      </c>
      <c r="D1615" s="7">
        <v>30.9831</v>
      </c>
      <c r="E1615" s="7">
        <f t="shared" si="50"/>
        <v>49975.740299999998</v>
      </c>
      <c r="F1615" s="7">
        <f t="shared" si="51"/>
        <v>2601769</v>
      </c>
      <c r="G1615" s="7"/>
    </row>
    <row r="1616" spans="1:7" x14ac:dyDescent="0.35">
      <c r="A1616" t="str">
        <f>"2011-07-26"</f>
        <v>2011-07-26</v>
      </c>
      <c r="B1616" t="str">
        <f>"30.8432"</f>
        <v>30.8432</v>
      </c>
      <c r="C1616">
        <v>1614</v>
      </c>
      <c r="D1616" s="7">
        <v>30.8432</v>
      </c>
      <c r="E1616" s="7">
        <f t="shared" si="50"/>
        <v>49780.924800000001</v>
      </c>
      <c r="F1616" s="7">
        <f t="shared" si="51"/>
        <v>2604996</v>
      </c>
      <c r="G1616" s="7"/>
    </row>
    <row r="1617" spans="1:7" x14ac:dyDescent="0.35">
      <c r="A1617" t="str">
        <f>"2011-07-27"</f>
        <v>2011-07-27</v>
      </c>
      <c r="B1617" t="str">
        <f>"31.1849"</f>
        <v>31.1849</v>
      </c>
      <c r="C1617">
        <v>1615</v>
      </c>
      <c r="D1617" s="7">
        <v>31.184899999999999</v>
      </c>
      <c r="E1617" s="7">
        <f t="shared" si="50"/>
        <v>50363.613499999999</v>
      </c>
      <c r="F1617" s="7">
        <f t="shared" si="51"/>
        <v>2608225</v>
      </c>
      <c r="G1617" s="7"/>
    </row>
    <row r="1618" spans="1:7" x14ac:dyDescent="0.35">
      <c r="A1618" t="str">
        <f>"2011-07-28"</f>
        <v>2011-07-28</v>
      </c>
      <c r="B1618" t="str">
        <f>"31.5547"</f>
        <v>31.5547</v>
      </c>
      <c r="C1618">
        <v>1616</v>
      </c>
      <c r="D1618" s="7">
        <v>31.5547</v>
      </c>
      <c r="E1618" s="7">
        <f t="shared" si="50"/>
        <v>50992.395199999999</v>
      </c>
      <c r="F1618" s="7">
        <f t="shared" si="51"/>
        <v>2611456</v>
      </c>
      <c r="G1618" s="7"/>
    </row>
    <row r="1619" spans="1:7" x14ac:dyDescent="0.35">
      <c r="A1619" t="str">
        <f>"2011-07-29"</f>
        <v>2011-07-29</v>
      </c>
      <c r="B1619" t="str">
        <f>"31.3833"</f>
        <v>31.3833</v>
      </c>
      <c r="C1619">
        <v>1617</v>
      </c>
      <c r="D1619" s="7">
        <v>31.383299999999998</v>
      </c>
      <c r="E1619" s="7">
        <f t="shared" si="50"/>
        <v>50746.7961</v>
      </c>
      <c r="F1619" s="7">
        <f t="shared" si="51"/>
        <v>2614689</v>
      </c>
      <c r="G1619" s="7"/>
    </row>
    <row r="1620" spans="1:7" x14ac:dyDescent="0.35">
      <c r="A1620" t="str">
        <f>"2011-08-01"</f>
        <v>2011-08-01</v>
      </c>
      <c r="B1620" t="str">
        <f>"30.9035"</f>
        <v>30.9035</v>
      </c>
      <c r="C1620">
        <v>1618</v>
      </c>
      <c r="D1620" s="7">
        <v>30.903500000000001</v>
      </c>
      <c r="E1620" s="7">
        <f t="shared" si="50"/>
        <v>50001.863000000005</v>
      </c>
      <c r="F1620" s="7">
        <f t="shared" si="51"/>
        <v>2617924</v>
      </c>
      <c r="G1620" s="7"/>
    </row>
    <row r="1621" spans="1:7" x14ac:dyDescent="0.35">
      <c r="A1621" t="str">
        <f>"2011-08-02"</f>
        <v>2011-08-02</v>
      </c>
      <c r="B1621" t="str">
        <f>"30.2904"</f>
        <v>30.2904</v>
      </c>
      <c r="C1621">
        <v>1619</v>
      </c>
      <c r="D1621" s="7">
        <v>30.290400000000002</v>
      </c>
      <c r="E1621" s="7">
        <f t="shared" si="50"/>
        <v>49040.157600000006</v>
      </c>
      <c r="F1621" s="7">
        <f t="shared" si="51"/>
        <v>2621161</v>
      </c>
      <c r="G1621" s="7"/>
    </row>
    <row r="1622" spans="1:7" x14ac:dyDescent="0.35">
      <c r="A1622" t="str">
        <f>"2011-08-03"</f>
        <v>2011-08-03</v>
      </c>
      <c r="B1622" t="str">
        <f>"29.166"</f>
        <v>29.166</v>
      </c>
      <c r="C1622">
        <v>1620</v>
      </c>
      <c r="D1622" s="7">
        <v>29.166</v>
      </c>
      <c r="E1622" s="7">
        <f t="shared" si="50"/>
        <v>47248.92</v>
      </c>
      <c r="F1622" s="7">
        <f t="shared" si="51"/>
        <v>2624400</v>
      </c>
      <c r="G1622" s="7"/>
    </row>
    <row r="1623" spans="1:7" x14ac:dyDescent="0.35">
      <c r="A1623" t="str">
        <f>"2011-08-04"</f>
        <v>2011-08-04</v>
      </c>
      <c r="B1623" t="str">
        <f>"28.8395"</f>
        <v>28.8395</v>
      </c>
      <c r="C1623">
        <v>1621</v>
      </c>
      <c r="D1623" s="7">
        <v>28.839500000000001</v>
      </c>
      <c r="E1623" s="7">
        <f t="shared" si="50"/>
        <v>46748.8295</v>
      </c>
      <c r="F1623" s="7">
        <f t="shared" si="51"/>
        <v>2627641</v>
      </c>
      <c r="G1623" s="7"/>
    </row>
    <row r="1624" spans="1:7" x14ac:dyDescent="0.35">
      <c r="A1624" t="str">
        <f>"2011-08-05"</f>
        <v>2011-08-05</v>
      </c>
      <c r="B1624" t="str">
        <f>"26.5717"</f>
        <v>26.5717</v>
      </c>
      <c r="C1624">
        <v>1622</v>
      </c>
      <c r="D1624" s="7">
        <v>26.5717</v>
      </c>
      <c r="E1624" s="7">
        <f t="shared" si="50"/>
        <v>43099.297400000003</v>
      </c>
      <c r="F1624" s="7">
        <f t="shared" si="51"/>
        <v>2630884</v>
      </c>
      <c r="G1624" s="7"/>
    </row>
    <row r="1625" spans="1:7" x14ac:dyDescent="0.35">
      <c r="A1625" t="str">
        <f>"2011-08-08"</f>
        <v>2011-08-08</v>
      </c>
      <c r="B1625" t="str">
        <f>"23.3198"</f>
        <v>23.3198</v>
      </c>
      <c r="C1625">
        <v>1623</v>
      </c>
      <c r="D1625" s="7">
        <v>23.319800000000001</v>
      </c>
      <c r="E1625" s="7">
        <f t="shared" si="50"/>
        <v>37848.035400000001</v>
      </c>
      <c r="F1625" s="7">
        <f t="shared" si="51"/>
        <v>2634129</v>
      </c>
      <c r="G1625" s="7"/>
    </row>
    <row r="1626" spans="1:7" x14ac:dyDescent="0.35">
      <c r="A1626" t="str">
        <f>"2011-08-09"</f>
        <v>2011-08-09</v>
      </c>
      <c r="B1626" t="str">
        <f>"22.9554"</f>
        <v>22.9554</v>
      </c>
      <c r="C1626">
        <v>1624</v>
      </c>
      <c r="D1626" s="7">
        <v>22.955400000000001</v>
      </c>
      <c r="E1626" s="7">
        <f t="shared" si="50"/>
        <v>37279.569600000003</v>
      </c>
      <c r="F1626" s="7">
        <f t="shared" si="51"/>
        <v>2637376</v>
      </c>
      <c r="G1626" s="7"/>
    </row>
    <row r="1627" spans="1:7" x14ac:dyDescent="0.35">
      <c r="A1627" t="str">
        <f>"2011-08-10"</f>
        <v>2011-08-10</v>
      </c>
      <c r="B1627" t="str">
        <f>"21.7366"</f>
        <v>21.7366</v>
      </c>
      <c r="C1627">
        <v>1625</v>
      </c>
      <c r="D1627" s="7">
        <v>21.736599999999999</v>
      </c>
      <c r="E1627" s="7">
        <f t="shared" si="50"/>
        <v>35321.974999999999</v>
      </c>
      <c r="F1627" s="7">
        <f t="shared" si="51"/>
        <v>2640625</v>
      </c>
      <c r="G1627" s="7"/>
    </row>
    <row r="1628" spans="1:7" x14ac:dyDescent="0.35">
      <c r="A1628" t="str">
        <f>"2011-08-11"</f>
        <v>2011-08-11</v>
      </c>
      <c r="B1628" t="str">
        <f>"22.2209"</f>
        <v>22.2209</v>
      </c>
      <c r="C1628">
        <v>1626</v>
      </c>
      <c r="D1628" s="7">
        <v>22.2209</v>
      </c>
      <c r="E1628" s="7">
        <f t="shared" si="50"/>
        <v>36131.183400000002</v>
      </c>
      <c r="F1628" s="7">
        <f t="shared" si="51"/>
        <v>2643876</v>
      </c>
      <c r="G1628" s="7"/>
    </row>
    <row r="1629" spans="1:7" x14ac:dyDescent="0.35">
      <c r="A1629" t="str">
        <f>"2011-08-12"</f>
        <v>2011-08-12</v>
      </c>
      <c r="B1629" t="str">
        <f>"22.2031"</f>
        <v>22.2031</v>
      </c>
      <c r="C1629">
        <v>1627</v>
      </c>
      <c r="D1629" s="7">
        <v>22.203099999999999</v>
      </c>
      <c r="E1629" s="7">
        <f t="shared" si="50"/>
        <v>36124.443699999996</v>
      </c>
      <c r="F1629" s="7">
        <f t="shared" si="51"/>
        <v>2647129</v>
      </c>
      <c r="G1629" s="7"/>
    </row>
    <row r="1630" spans="1:7" x14ac:dyDescent="0.35">
      <c r="A1630" t="str">
        <f>"2011-08-15"</f>
        <v>2011-08-15</v>
      </c>
      <c r="B1630" t="str">
        <f>"22.0381"</f>
        <v>22.0381</v>
      </c>
      <c r="C1630">
        <v>1628</v>
      </c>
      <c r="D1630" s="7">
        <v>22.0381</v>
      </c>
      <c r="E1630" s="7">
        <f t="shared" si="50"/>
        <v>35878.0268</v>
      </c>
      <c r="F1630" s="7">
        <f t="shared" si="51"/>
        <v>2650384</v>
      </c>
      <c r="G1630" s="7"/>
    </row>
    <row r="1631" spans="1:7" x14ac:dyDescent="0.35">
      <c r="A1631" t="str">
        <f>"2011-08-16"</f>
        <v>2011-08-16</v>
      </c>
      <c r="B1631" t="str">
        <f>"21.5091"</f>
        <v>21.5091</v>
      </c>
      <c r="C1631">
        <v>1629</v>
      </c>
      <c r="D1631" s="7">
        <v>21.5091</v>
      </c>
      <c r="E1631" s="7">
        <f t="shared" si="50"/>
        <v>35038.323900000003</v>
      </c>
      <c r="F1631" s="7">
        <f t="shared" si="51"/>
        <v>2653641</v>
      </c>
      <c r="G1631" s="7"/>
    </row>
    <row r="1632" spans="1:7" x14ac:dyDescent="0.35">
      <c r="A1632" t="str">
        <f>"2011-08-17"</f>
        <v>2011-08-17</v>
      </c>
      <c r="B1632" t="str">
        <f>"21.5272"</f>
        <v>21.5272</v>
      </c>
      <c r="C1632">
        <v>1630</v>
      </c>
      <c r="D1632" s="7">
        <v>21.527200000000001</v>
      </c>
      <c r="E1632" s="7">
        <f t="shared" si="50"/>
        <v>35089.336000000003</v>
      </c>
      <c r="F1632" s="7">
        <f t="shared" si="51"/>
        <v>2656900</v>
      </c>
      <c r="G1632" s="7"/>
    </row>
    <row r="1633" spans="1:7" x14ac:dyDescent="0.35">
      <c r="A1633" t="str">
        <f>"2011-08-18"</f>
        <v>2011-08-18</v>
      </c>
      <c r="B1633" t="str">
        <f>"20.2658"</f>
        <v>20.2658</v>
      </c>
      <c r="C1633">
        <v>1631</v>
      </c>
      <c r="D1633" s="7">
        <v>20.265799999999999</v>
      </c>
      <c r="E1633" s="7">
        <f t="shared" si="50"/>
        <v>33053.519799999995</v>
      </c>
      <c r="F1633" s="7">
        <f t="shared" si="51"/>
        <v>2660161</v>
      </c>
      <c r="G1633" s="7"/>
    </row>
    <row r="1634" spans="1:7" x14ac:dyDescent="0.35">
      <c r="A1634" t="str">
        <f>"2011-08-19"</f>
        <v>2011-08-19</v>
      </c>
      <c r="B1634" t="str">
        <f>"19.6939"</f>
        <v>19.6939</v>
      </c>
      <c r="C1634">
        <v>1632</v>
      </c>
      <c r="D1634" s="7">
        <v>19.693899999999999</v>
      </c>
      <c r="E1634" s="7">
        <f t="shared" si="50"/>
        <v>32140.444799999997</v>
      </c>
      <c r="F1634" s="7">
        <f t="shared" si="51"/>
        <v>2663424</v>
      </c>
      <c r="G1634" s="7"/>
    </row>
    <row r="1635" spans="1:7" x14ac:dyDescent="0.35">
      <c r="A1635" t="str">
        <f>"2011-08-22"</f>
        <v>2011-08-22</v>
      </c>
      <c r="B1635" t="str">
        <f>"19.6068"</f>
        <v>19.6068</v>
      </c>
      <c r="C1635">
        <v>1633</v>
      </c>
      <c r="D1635" s="7">
        <v>19.6068</v>
      </c>
      <c r="E1635" s="7">
        <f t="shared" si="50"/>
        <v>32017.904399999999</v>
      </c>
      <c r="F1635" s="7">
        <f t="shared" si="51"/>
        <v>2666689</v>
      </c>
      <c r="G1635" s="7"/>
    </row>
    <row r="1636" spans="1:7" x14ac:dyDescent="0.35">
      <c r="A1636" t="str">
        <f>"2011-08-23"</f>
        <v>2011-08-23</v>
      </c>
      <c r="B1636" t="str">
        <f>"19.5734"</f>
        <v>19.5734</v>
      </c>
      <c r="C1636">
        <v>1634</v>
      </c>
      <c r="D1636" s="7">
        <v>19.573399999999999</v>
      </c>
      <c r="E1636" s="7">
        <f t="shared" si="50"/>
        <v>31982.935600000001</v>
      </c>
      <c r="F1636" s="7">
        <f t="shared" si="51"/>
        <v>2669956</v>
      </c>
      <c r="G1636" s="7"/>
    </row>
    <row r="1637" spans="1:7" x14ac:dyDescent="0.35">
      <c r="A1637" t="str">
        <f>"2011-08-24"</f>
        <v>2011-08-24</v>
      </c>
      <c r="B1637" t="str">
        <f>"20.9249"</f>
        <v>20.9249</v>
      </c>
      <c r="C1637">
        <v>1635</v>
      </c>
      <c r="D1637" s="7">
        <v>20.924900000000001</v>
      </c>
      <c r="E1637" s="7">
        <f t="shared" si="50"/>
        <v>34212.211500000005</v>
      </c>
      <c r="F1637" s="7">
        <f t="shared" si="51"/>
        <v>2673225</v>
      </c>
      <c r="G1637" s="7"/>
    </row>
    <row r="1638" spans="1:7" x14ac:dyDescent="0.35">
      <c r="A1638" t="str">
        <f>"2011-08-25"</f>
        <v>2011-08-25</v>
      </c>
      <c r="B1638" t="str">
        <f>"20.5416"</f>
        <v>20.5416</v>
      </c>
      <c r="C1638">
        <v>1636</v>
      </c>
      <c r="D1638" s="7">
        <v>20.541599999999999</v>
      </c>
      <c r="E1638" s="7">
        <f t="shared" si="50"/>
        <v>33606.0576</v>
      </c>
      <c r="F1638" s="7">
        <f t="shared" si="51"/>
        <v>2676496</v>
      </c>
      <c r="G1638" s="7"/>
    </row>
    <row r="1639" spans="1:7" x14ac:dyDescent="0.35">
      <c r="A1639" t="str">
        <f>"2011-08-26"</f>
        <v>2011-08-26</v>
      </c>
      <c r="B1639" t="str">
        <f>"20.5556"</f>
        <v>20.5556</v>
      </c>
      <c r="C1639">
        <v>1637</v>
      </c>
      <c r="D1639" s="7">
        <v>20.555599999999998</v>
      </c>
      <c r="E1639" s="7">
        <f t="shared" si="50"/>
        <v>33649.517199999995</v>
      </c>
      <c r="F1639" s="7">
        <f t="shared" si="51"/>
        <v>2679769</v>
      </c>
      <c r="G1639" s="7"/>
    </row>
    <row r="1640" spans="1:7" x14ac:dyDescent="0.35">
      <c r="A1640" t="str">
        <f>"2011-08-29"</f>
        <v>2011-08-29</v>
      </c>
      <c r="B1640" t="str">
        <f>"20.6896"</f>
        <v>20.6896</v>
      </c>
      <c r="C1640">
        <v>1638</v>
      </c>
      <c r="D1640" s="7">
        <v>20.689599999999999</v>
      </c>
      <c r="E1640" s="7">
        <f t="shared" si="50"/>
        <v>33889.5648</v>
      </c>
      <c r="F1640" s="7">
        <f t="shared" si="51"/>
        <v>2683044</v>
      </c>
      <c r="G1640" s="7"/>
    </row>
    <row r="1641" spans="1:7" x14ac:dyDescent="0.35">
      <c r="A1641" t="str">
        <f>"2011-08-30"</f>
        <v>2011-08-30</v>
      </c>
      <c r="B1641" t="str">
        <f>"20.4643"</f>
        <v>20.4643</v>
      </c>
      <c r="C1641">
        <v>1639</v>
      </c>
      <c r="D1641" s="7">
        <v>20.464300000000001</v>
      </c>
      <c r="E1641" s="7">
        <f t="shared" si="50"/>
        <v>33540.987700000005</v>
      </c>
      <c r="F1641" s="7">
        <f t="shared" si="51"/>
        <v>2686321</v>
      </c>
      <c r="G1641" s="7"/>
    </row>
    <row r="1642" spans="1:7" x14ac:dyDescent="0.35">
      <c r="A1642" t="str">
        <f>"2011-08-31"</f>
        <v>2011-08-31</v>
      </c>
      <c r="B1642" t="str">
        <f>"20.4217"</f>
        <v>20.4217</v>
      </c>
      <c r="C1642">
        <v>1640</v>
      </c>
      <c r="D1642" s="7">
        <v>20.421700000000001</v>
      </c>
      <c r="E1642" s="7">
        <f t="shared" si="50"/>
        <v>33491.588000000003</v>
      </c>
      <c r="F1642" s="7">
        <f t="shared" si="51"/>
        <v>2689600</v>
      </c>
      <c r="G1642" s="7"/>
    </row>
    <row r="1643" spans="1:7" x14ac:dyDescent="0.35">
      <c r="A1643" t="str">
        <f>"2011-09-01"</f>
        <v>2011-09-01</v>
      </c>
      <c r="B1643" t="str">
        <f>"20.6489"</f>
        <v>20.6489</v>
      </c>
      <c r="C1643">
        <v>1641</v>
      </c>
      <c r="D1643" s="7">
        <v>20.648900000000001</v>
      </c>
      <c r="E1643" s="7">
        <f t="shared" si="50"/>
        <v>33884.844900000004</v>
      </c>
      <c r="F1643" s="7">
        <f t="shared" si="51"/>
        <v>2692881</v>
      </c>
      <c r="G1643" s="7"/>
    </row>
    <row r="1644" spans="1:7" x14ac:dyDescent="0.35">
      <c r="A1644" t="str">
        <f>"2011-09-02"</f>
        <v>2011-09-02</v>
      </c>
      <c r="B1644" t="str">
        <f>"20.5011"</f>
        <v>20.5011</v>
      </c>
      <c r="C1644">
        <v>1642</v>
      </c>
      <c r="D1644" s="7">
        <v>20.501100000000001</v>
      </c>
      <c r="E1644" s="7">
        <f t="shared" si="50"/>
        <v>33662.806199999999</v>
      </c>
      <c r="F1644" s="7">
        <f t="shared" si="51"/>
        <v>2696164</v>
      </c>
      <c r="G1644" s="7"/>
    </row>
    <row r="1645" spans="1:7" x14ac:dyDescent="0.35">
      <c r="A1645" t="str">
        <f>"2011-09-06"</f>
        <v>2011-09-06</v>
      </c>
      <c r="B1645" t="str">
        <f>"19.8856"</f>
        <v>19.8856</v>
      </c>
      <c r="C1645">
        <v>1643</v>
      </c>
      <c r="D1645" s="7">
        <v>19.8856</v>
      </c>
      <c r="E1645" s="7">
        <f t="shared" si="50"/>
        <v>32672.040799999999</v>
      </c>
      <c r="F1645" s="7">
        <f t="shared" si="51"/>
        <v>2699449</v>
      </c>
      <c r="G1645" s="7"/>
    </row>
    <row r="1646" spans="1:7" x14ac:dyDescent="0.35">
      <c r="A1646" t="str">
        <f>"2011-09-07"</f>
        <v>2011-09-07</v>
      </c>
      <c r="B1646" t="str">
        <f>"21.4464"</f>
        <v>21.4464</v>
      </c>
      <c r="C1646">
        <v>1644</v>
      </c>
      <c r="D1646" s="7">
        <v>21.446400000000001</v>
      </c>
      <c r="E1646" s="7">
        <f t="shared" si="50"/>
        <v>35257.881600000001</v>
      </c>
      <c r="F1646" s="7">
        <f t="shared" si="51"/>
        <v>2702736</v>
      </c>
      <c r="G1646" s="7"/>
    </row>
    <row r="1647" spans="1:7" x14ac:dyDescent="0.35">
      <c r="A1647" t="str">
        <f>"2011-09-08"</f>
        <v>2011-09-08</v>
      </c>
      <c r="B1647" t="str">
        <f>"21.6733"</f>
        <v>21.6733</v>
      </c>
      <c r="C1647">
        <v>1645</v>
      </c>
      <c r="D1647" s="7">
        <v>21.673300000000001</v>
      </c>
      <c r="E1647" s="7">
        <f t="shared" si="50"/>
        <v>35652.578500000003</v>
      </c>
      <c r="F1647" s="7">
        <f t="shared" si="51"/>
        <v>2706025</v>
      </c>
      <c r="G1647" s="7"/>
    </row>
    <row r="1648" spans="1:7" x14ac:dyDescent="0.35">
      <c r="A1648" t="str">
        <f>"2011-09-09"</f>
        <v>2011-09-09</v>
      </c>
      <c r="B1648" t="str">
        <f>"21.7034"</f>
        <v>21.7034</v>
      </c>
      <c r="C1648">
        <v>1646</v>
      </c>
      <c r="D1648" s="7">
        <v>21.703399999999998</v>
      </c>
      <c r="E1648" s="7">
        <f t="shared" si="50"/>
        <v>35723.796399999999</v>
      </c>
      <c r="F1648" s="7">
        <f t="shared" si="51"/>
        <v>2709316</v>
      </c>
      <c r="G1648" s="7"/>
    </row>
    <row r="1649" spans="1:7" x14ac:dyDescent="0.35">
      <c r="A1649" t="str">
        <f>"2011-09-12"</f>
        <v>2011-09-12</v>
      </c>
      <c r="B1649" t="str">
        <f>"22.8993"</f>
        <v>22.8993</v>
      </c>
      <c r="C1649">
        <v>1647</v>
      </c>
      <c r="D1649" s="7">
        <v>22.8993</v>
      </c>
      <c r="E1649" s="7">
        <f t="shared" si="50"/>
        <v>37715.147100000002</v>
      </c>
      <c r="F1649" s="7">
        <f t="shared" si="51"/>
        <v>2712609</v>
      </c>
      <c r="G1649" s="7"/>
    </row>
    <row r="1650" spans="1:7" x14ac:dyDescent="0.35">
      <c r="A1650" t="str">
        <f>"2011-09-13"</f>
        <v>2011-09-13</v>
      </c>
      <c r="B1650" t="str">
        <f>"23.3032"</f>
        <v>23.3032</v>
      </c>
      <c r="C1650">
        <v>1648</v>
      </c>
      <c r="D1650" s="7">
        <v>23.3032</v>
      </c>
      <c r="E1650" s="7">
        <f t="shared" si="50"/>
        <v>38403.673600000002</v>
      </c>
      <c r="F1650" s="7">
        <f t="shared" si="51"/>
        <v>2715904</v>
      </c>
      <c r="G1650" s="7"/>
    </row>
    <row r="1651" spans="1:7" x14ac:dyDescent="0.35">
      <c r="A1651" t="str">
        <f>"2011-09-14"</f>
        <v>2011-09-14</v>
      </c>
      <c r="B1651" t="str">
        <f>"23.1228"</f>
        <v>23.1228</v>
      </c>
      <c r="C1651">
        <v>1649</v>
      </c>
      <c r="D1651" s="7">
        <v>23.122800000000002</v>
      </c>
      <c r="E1651" s="7">
        <f t="shared" si="50"/>
        <v>38129.497200000005</v>
      </c>
      <c r="F1651" s="7">
        <f t="shared" si="51"/>
        <v>2719201</v>
      </c>
      <c r="G1651" s="7"/>
    </row>
    <row r="1652" spans="1:7" x14ac:dyDescent="0.35">
      <c r="A1652" t="str">
        <f>"2011-09-15"</f>
        <v>2011-09-15</v>
      </c>
      <c r="B1652" t="str">
        <f>"23.6479"</f>
        <v>23.6479</v>
      </c>
      <c r="C1652">
        <v>1650</v>
      </c>
      <c r="D1652" s="7">
        <v>23.6479</v>
      </c>
      <c r="E1652" s="7">
        <f t="shared" si="50"/>
        <v>39019.035000000003</v>
      </c>
      <c r="F1652" s="7">
        <f t="shared" si="51"/>
        <v>2722500</v>
      </c>
      <c r="G1652" s="7"/>
    </row>
    <row r="1653" spans="1:7" x14ac:dyDescent="0.35">
      <c r="A1653" t="str">
        <f>"2011-09-16"</f>
        <v>2011-09-16</v>
      </c>
      <c r="B1653" t="str">
        <f>"23.3997"</f>
        <v>23.3997</v>
      </c>
      <c r="C1653">
        <v>1651</v>
      </c>
      <c r="D1653" s="7">
        <v>23.399699999999999</v>
      </c>
      <c r="E1653" s="7">
        <f t="shared" si="50"/>
        <v>38632.904699999999</v>
      </c>
      <c r="F1653" s="7">
        <f t="shared" si="51"/>
        <v>2725801</v>
      </c>
      <c r="G1653" s="7"/>
    </row>
    <row r="1654" spans="1:7" x14ac:dyDescent="0.35">
      <c r="A1654" t="str">
        <f>"2011-09-19"</f>
        <v>2011-09-19</v>
      </c>
      <c r="B1654" t="str">
        <f>"24.0195"</f>
        <v>24.0195</v>
      </c>
      <c r="C1654">
        <v>1652</v>
      </c>
      <c r="D1654" s="7">
        <v>24.019500000000001</v>
      </c>
      <c r="E1654" s="7">
        <f t="shared" si="50"/>
        <v>39680.214</v>
      </c>
      <c r="F1654" s="7">
        <f t="shared" si="51"/>
        <v>2729104</v>
      </c>
      <c r="G1654" s="7"/>
    </row>
    <row r="1655" spans="1:7" x14ac:dyDescent="0.35">
      <c r="A1655" t="str">
        <f>"2011-09-20"</f>
        <v>2011-09-20</v>
      </c>
      <c r="B1655" t="str">
        <f>"23.808"</f>
        <v>23.808</v>
      </c>
      <c r="C1655">
        <v>1653</v>
      </c>
      <c r="D1655" s="7">
        <v>23.808</v>
      </c>
      <c r="E1655" s="7">
        <f t="shared" si="50"/>
        <v>39354.623999999996</v>
      </c>
      <c r="F1655" s="7">
        <f t="shared" si="51"/>
        <v>2732409</v>
      </c>
      <c r="G1655" s="7"/>
    </row>
    <row r="1656" spans="1:7" x14ac:dyDescent="0.35">
      <c r="A1656" t="str">
        <f>"2011-09-21"</f>
        <v>2011-09-21</v>
      </c>
      <c r="B1656" t="str">
        <f>"24.1045"</f>
        <v>24.1045</v>
      </c>
      <c r="C1656">
        <v>1654</v>
      </c>
      <c r="D1656" s="7">
        <v>24.104500000000002</v>
      </c>
      <c r="E1656" s="7">
        <f t="shared" si="50"/>
        <v>39868.843000000001</v>
      </c>
      <c r="F1656" s="7">
        <f t="shared" si="51"/>
        <v>2735716</v>
      </c>
      <c r="G1656" s="7"/>
    </row>
    <row r="1657" spans="1:7" x14ac:dyDescent="0.35">
      <c r="A1657" t="str">
        <f>"2011-09-22"</f>
        <v>2011-09-22</v>
      </c>
      <c r="B1657" t="str">
        <f>"23.3659"</f>
        <v>23.3659</v>
      </c>
      <c r="C1657">
        <v>1655</v>
      </c>
      <c r="D1657" s="7">
        <v>23.3659</v>
      </c>
      <c r="E1657" s="7">
        <f t="shared" si="50"/>
        <v>38670.5645</v>
      </c>
      <c r="F1657" s="7">
        <f t="shared" si="51"/>
        <v>2739025</v>
      </c>
      <c r="G1657" s="7"/>
    </row>
    <row r="1658" spans="1:7" x14ac:dyDescent="0.35">
      <c r="A1658" t="str">
        <f>"2011-09-23"</f>
        <v>2011-09-23</v>
      </c>
      <c r="B1658" t="str">
        <f>"23.4417"</f>
        <v>23.4417</v>
      </c>
      <c r="C1658">
        <v>1656</v>
      </c>
      <c r="D1658" s="7">
        <v>23.441700000000001</v>
      </c>
      <c r="E1658" s="7">
        <f t="shared" si="50"/>
        <v>38819.455200000004</v>
      </c>
      <c r="F1658" s="7">
        <f t="shared" si="51"/>
        <v>2742336</v>
      </c>
      <c r="G1658" s="7"/>
    </row>
    <row r="1659" spans="1:7" x14ac:dyDescent="0.35">
      <c r="A1659" t="str">
        <f>"2011-09-26"</f>
        <v>2011-09-26</v>
      </c>
      <c r="B1659" t="str">
        <f>"24.1193"</f>
        <v>24.1193</v>
      </c>
      <c r="C1659">
        <v>1657</v>
      </c>
      <c r="D1659" s="7">
        <v>24.119299999999999</v>
      </c>
      <c r="E1659" s="7">
        <f t="shared" si="50"/>
        <v>39965.680099999998</v>
      </c>
      <c r="F1659" s="7">
        <f t="shared" si="51"/>
        <v>2745649</v>
      </c>
      <c r="G1659" s="7"/>
    </row>
    <row r="1660" spans="1:7" x14ac:dyDescent="0.35">
      <c r="A1660" t="str">
        <f>"2011-09-27"</f>
        <v>2011-09-27</v>
      </c>
      <c r="B1660" t="str">
        <f>"23.3856"</f>
        <v>23.3856</v>
      </c>
      <c r="C1660">
        <v>1658</v>
      </c>
      <c r="D1660" s="7">
        <v>23.3856</v>
      </c>
      <c r="E1660" s="7">
        <f t="shared" si="50"/>
        <v>38773.324800000002</v>
      </c>
      <c r="F1660" s="7">
        <f t="shared" si="51"/>
        <v>2748964</v>
      </c>
      <c r="G1660" s="7"/>
    </row>
    <row r="1661" spans="1:7" x14ac:dyDescent="0.35">
      <c r="A1661" t="str">
        <f>"2011-09-28"</f>
        <v>2011-09-28</v>
      </c>
      <c r="B1661" t="str">
        <f>"24.7071"</f>
        <v>24.7071</v>
      </c>
      <c r="C1661">
        <v>1659</v>
      </c>
      <c r="D1661" s="7">
        <v>24.707100000000001</v>
      </c>
      <c r="E1661" s="7">
        <f t="shared" si="50"/>
        <v>40989.0789</v>
      </c>
      <c r="F1661" s="7">
        <f t="shared" si="51"/>
        <v>2752281</v>
      </c>
      <c r="G1661" s="7"/>
    </row>
    <row r="1662" spans="1:7" x14ac:dyDescent="0.35">
      <c r="A1662" t="str">
        <f>"2011-09-29"</f>
        <v>2011-09-29</v>
      </c>
      <c r="B1662" t="str">
        <f>"24.8441"</f>
        <v>24.8441</v>
      </c>
      <c r="C1662">
        <v>1660</v>
      </c>
      <c r="D1662" s="7">
        <v>24.844100000000001</v>
      </c>
      <c r="E1662" s="7">
        <f t="shared" si="50"/>
        <v>41241.205999999998</v>
      </c>
      <c r="F1662" s="7">
        <f t="shared" si="51"/>
        <v>2755600</v>
      </c>
      <c r="G1662" s="7"/>
    </row>
    <row r="1663" spans="1:7" x14ac:dyDescent="0.35">
      <c r="A1663" t="str">
        <f>"2011-09-30"</f>
        <v>2011-09-30</v>
      </c>
      <c r="B1663" t="str">
        <f>"24.542"</f>
        <v>24.542</v>
      </c>
      <c r="C1663">
        <v>1661</v>
      </c>
      <c r="D1663" s="7">
        <v>24.542000000000002</v>
      </c>
      <c r="E1663" s="7">
        <f t="shared" si="50"/>
        <v>40764.262000000002</v>
      </c>
      <c r="F1663" s="7">
        <f t="shared" si="51"/>
        <v>2758921</v>
      </c>
      <c r="G1663" s="7"/>
    </row>
    <row r="1664" spans="1:7" x14ac:dyDescent="0.35">
      <c r="A1664" t="str">
        <f>"2011-10-03"</f>
        <v>2011-10-03</v>
      </c>
      <c r="B1664" t="str">
        <f>"24.131"</f>
        <v>24.131</v>
      </c>
      <c r="C1664">
        <v>1662</v>
      </c>
      <c r="D1664" s="7">
        <v>24.131</v>
      </c>
      <c r="E1664" s="7">
        <f t="shared" si="50"/>
        <v>40105.722000000002</v>
      </c>
      <c r="F1664" s="7">
        <f t="shared" si="51"/>
        <v>2762244</v>
      </c>
      <c r="G1664" s="7"/>
    </row>
    <row r="1665" spans="1:7" x14ac:dyDescent="0.35">
      <c r="A1665" t="str">
        <f>"2011-10-04"</f>
        <v>2011-10-04</v>
      </c>
      <c r="B1665" t="str">
        <f>"23.2506"</f>
        <v>23.2506</v>
      </c>
      <c r="C1665">
        <v>1663</v>
      </c>
      <c r="D1665" s="7">
        <v>23.250599999999999</v>
      </c>
      <c r="E1665" s="7">
        <f t="shared" si="50"/>
        <v>38665.747799999997</v>
      </c>
      <c r="F1665" s="7">
        <f t="shared" si="51"/>
        <v>2765569</v>
      </c>
      <c r="G1665" s="7"/>
    </row>
    <row r="1666" spans="1:7" x14ac:dyDescent="0.35">
      <c r="A1666" t="str">
        <f>"2011-10-05"</f>
        <v>2011-10-05</v>
      </c>
      <c r="B1666" t="str">
        <f>"23.1016"</f>
        <v>23.1016</v>
      </c>
      <c r="C1666">
        <v>1664</v>
      </c>
      <c r="D1666" s="7">
        <v>23.101600000000001</v>
      </c>
      <c r="E1666" s="7">
        <f t="shared" si="50"/>
        <v>38441.062400000003</v>
      </c>
      <c r="F1666" s="7">
        <f t="shared" si="51"/>
        <v>2768896</v>
      </c>
      <c r="G1666" s="7"/>
    </row>
    <row r="1667" spans="1:7" x14ac:dyDescent="0.35">
      <c r="A1667" t="str">
        <f>"2011-10-06"</f>
        <v>2011-10-06</v>
      </c>
      <c r="B1667" t="str">
        <f>"22.7853"</f>
        <v>22.7853</v>
      </c>
      <c r="C1667">
        <v>1665</v>
      </c>
      <c r="D1667" s="7">
        <v>22.785299999999999</v>
      </c>
      <c r="E1667" s="7">
        <f t="shared" si="50"/>
        <v>37937.5245</v>
      </c>
      <c r="F1667" s="7">
        <f t="shared" si="51"/>
        <v>2772225</v>
      </c>
      <c r="G1667" s="7"/>
    </row>
    <row r="1668" spans="1:7" x14ac:dyDescent="0.35">
      <c r="A1668" t="str">
        <f>"2011-10-07"</f>
        <v>2011-10-07</v>
      </c>
      <c r="B1668" t="str">
        <f>"23.5414"</f>
        <v>23.5414</v>
      </c>
      <c r="C1668">
        <v>1666</v>
      </c>
      <c r="D1668" s="7">
        <v>23.541399999999999</v>
      </c>
      <c r="E1668" s="7">
        <f t="shared" ref="E1668:E1731" si="52">C1668*D1668</f>
        <v>39219.972399999999</v>
      </c>
      <c r="F1668" s="7">
        <f t="shared" ref="F1668:F1731" si="53">C1668*C1668</f>
        <v>2775556</v>
      </c>
      <c r="G1668" s="7"/>
    </row>
    <row r="1669" spans="1:7" x14ac:dyDescent="0.35">
      <c r="A1669" t="str">
        <f>"2011-10-10"</f>
        <v>2011-10-10</v>
      </c>
      <c r="B1669" t="str">
        <f>"22.7877"</f>
        <v>22.7877</v>
      </c>
      <c r="C1669">
        <v>1667</v>
      </c>
      <c r="D1669" s="7">
        <v>22.787700000000001</v>
      </c>
      <c r="E1669" s="7">
        <f t="shared" si="52"/>
        <v>37987.0959</v>
      </c>
      <c r="F1669" s="7">
        <f t="shared" si="53"/>
        <v>2778889</v>
      </c>
      <c r="G1669" s="7"/>
    </row>
    <row r="1670" spans="1:7" x14ac:dyDescent="0.35">
      <c r="A1670" t="str">
        <f>"2011-10-11"</f>
        <v>2011-10-11</v>
      </c>
      <c r="B1670" t="str">
        <f>"23.3846"</f>
        <v>23.3846</v>
      </c>
      <c r="C1670">
        <v>1668</v>
      </c>
      <c r="D1670" s="7">
        <v>23.384599999999999</v>
      </c>
      <c r="E1670" s="7">
        <f t="shared" si="52"/>
        <v>39005.512799999997</v>
      </c>
      <c r="F1670" s="7">
        <f t="shared" si="53"/>
        <v>2782224</v>
      </c>
      <c r="G1670" s="7"/>
    </row>
    <row r="1671" spans="1:7" x14ac:dyDescent="0.35">
      <c r="A1671" t="str">
        <f>"2011-10-12"</f>
        <v>2011-10-12</v>
      </c>
      <c r="B1671" t="str">
        <f>"23.111"</f>
        <v>23.111</v>
      </c>
      <c r="C1671">
        <v>1669</v>
      </c>
      <c r="D1671" s="7">
        <v>23.111000000000001</v>
      </c>
      <c r="E1671" s="7">
        <f t="shared" si="52"/>
        <v>38572.258999999998</v>
      </c>
      <c r="F1671" s="7">
        <f t="shared" si="53"/>
        <v>2785561</v>
      </c>
      <c r="G1671" s="7"/>
    </row>
    <row r="1672" spans="1:7" x14ac:dyDescent="0.35">
      <c r="A1672" t="str">
        <f>"2011-10-13"</f>
        <v>2011-10-13</v>
      </c>
      <c r="B1672" t="str">
        <f>"23.3933"</f>
        <v>23.3933</v>
      </c>
      <c r="C1672">
        <v>1670</v>
      </c>
      <c r="D1672" s="7">
        <v>23.3933</v>
      </c>
      <c r="E1672" s="7">
        <f t="shared" si="52"/>
        <v>39066.811000000002</v>
      </c>
      <c r="F1672" s="7">
        <f t="shared" si="53"/>
        <v>2788900</v>
      </c>
      <c r="G1672" s="7"/>
    </row>
    <row r="1673" spans="1:7" x14ac:dyDescent="0.35">
      <c r="A1673" t="str">
        <f>"2011-10-14"</f>
        <v>2011-10-14</v>
      </c>
      <c r="B1673" t="str">
        <f>"22.9729"</f>
        <v>22.9729</v>
      </c>
      <c r="C1673">
        <v>1671</v>
      </c>
      <c r="D1673" s="7">
        <v>22.972899999999999</v>
      </c>
      <c r="E1673" s="7">
        <f t="shared" si="52"/>
        <v>38387.715899999996</v>
      </c>
      <c r="F1673" s="7">
        <f t="shared" si="53"/>
        <v>2792241</v>
      </c>
      <c r="G1673" s="7"/>
    </row>
    <row r="1674" spans="1:7" x14ac:dyDescent="0.35">
      <c r="A1674" t="str">
        <f>"2011-10-17"</f>
        <v>2011-10-17</v>
      </c>
      <c r="B1674" t="str">
        <f>"22.8002"</f>
        <v>22.8002</v>
      </c>
      <c r="C1674">
        <v>1672</v>
      </c>
      <c r="D1674" s="7">
        <v>22.8002</v>
      </c>
      <c r="E1674" s="7">
        <f t="shared" si="52"/>
        <v>38121.934399999998</v>
      </c>
      <c r="F1674" s="7">
        <f t="shared" si="53"/>
        <v>2795584</v>
      </c>
      <c r="G1674" s="7"/>
    </row>
    <row r="1675" spans="1:7" x14ac:dyDescent="0.35">
      <c r="A1675" t="str">
        <f>"2011-10-18"</f>
        <v>2011-10-18</v>
      </c>
      <c r="B1675" t="str">
        <f>"22.5613"</f>
        <v>22.5613</v>
      </c>
      <c r="C1675">
        <v>1673</v>
      </c>
      <c r="D1675" s="7">
        <v>22.561299999999999</v>
      </c>
      <c r="E1675" s="7">
        <f t="shared" si="52"/>
        <v>37745.054899999996</v>
      </c>
      <c r="F1675" s="7">
        <f t="shared" si="53"/>
        <v>2798929</v>
      </c>
      <c r="G1675" s="7"/>
    </row>
    <row r="1676" spans="1:7" x14ac:dyDescent="0.35">
      <c r="A1676" t="str">
        <f>"2011-10-19"</f>
        <v>2011-10-19</v>
      </c>
      <c r="B1676" t="str">
        <f>"22.3235"</f>
        <v>22.3235</v>
      </c>
      <c r="C1676">
        <v>1674</v>
      </c>
      <c r="D1676" s="7">
        <v>22.323499999999999</v>
      </c>
      <c r="E1676" s="7">
        <f t="shared" si="52"/>
        <v>37369.538999999997</v>
      </c>
      <c r="F1676" s="7">
        <f t="shared" si="53"/>
        <v>2802276</v>
      </c>
      <c r="G1676" s="7"/>
    </row>
    <row r="1677" spans="1:7" x14ac:dyDescent="0.35">
      <c r="A1677" t="str">
        <f>"2011-10-20"</f>
        <v>2011-10-20</v>
      </c>
      <c r="B1677" t="str">
        <f>"22.3916"</f>
        <v>22.3916</v>
      </c>
      <c r="C1677">
        <v>1675</v>
      </c>
      <c r="D1677" s="7">
        <v>22.3916</v>
      </c>
      <c r="E1677" s="7">
        <f t="shared" si="52"/>
        <v>37505.93</v>
      </c>
      <c r="F1677" s="7">
        <f t="shared" si="53"/>
        <v>2805625</v>
      </c>
      <c r="G1677" s="7"/>
    </row>
    <row r="1678" spans="1:7" x14ac:dyDescent="0.35">
      <c r="A1678" t="str">
        <f>"2011-10-21"</f>
        <v>2011-10-21</v>
      </c>
      <c r="B1678" t="str">
        <f>"22.6238"</f>
        <v>22.6238</v>
      </c>
      <c r="C1678">
        <v>1676</v>
      </c>
      <c r="D1678" s="7">
        <v>22.623799999999999</v>
      </c>
      <c r="E1678" s="7">
        <f t="shared" si="52"/>
        <v>37917.488799999999</v>
      </c>
      <c r="F1678" s="7">
        <f t="shared" si="53"/>
        <v>2808976</v>
      </c>
      <c r="G1678" s="7"/>
    </row>
    <row r="1679" spans="1:7" x14ac:dyDescent="0.35">
      <c r="A1679" t="str">
        <f>"2011-10-24"</f>
        <v>2011-10-24</v>
      </c>
      <c r="B1679" t="str">
        <f>"22.5538"</f>
        <v>22.5538</v>
      </c>
      <c r="C1679">
        <v>1677</v>
      </c>
      <c r="D1679" s="7">
        <v>22.553799999999999</v>
      </c>
      <c r="E1679" s="7">
        <f t="shared" si="52"/>
        <v>37822.722600000001</v>
      </c>
      <c r="F1679" s="7">
        <f t="shared" si="53"/>
        <v>2812329</v>
      </c>
      <c r="G1679" s="7"/>
    </row>
    <row r="1680" spans="1:7" x14ac:dyDescent="0.35">
      <c r="A1680" t="str">
        <f>"2011-10-25"</f>
        <v>2011-10-25</v>
      </c>
      <c r="B1680" t="str">
        <f>"22.4894"</f>
        <v>22.4894</v>
      </c>
      <c r="C1680">
        <v>1678</v>
      </c>
      <c r="D1680" s="7">
        <v>22.4894</v>
      </c>
      <c r="E1680" s="7">
        <f t="shared" si="52"/>
        <v>37737.213199999998</v>
      </c>
      <c r="F1680" s="7">
        <f t="shared" si="53"/>
        <v>2815684</v>
      </c>
      <c r="G1680" s="7"/>
    </row>
    <row r="1681" spans="1:7" x14ac:dyDescent="0.35">
      <c r="A1681" t="str">
        <f>"2011-10-26"</f>
        <v>2011-10-26</v>
      </c>
      <c r="B1681" t="str">
        <f>"22.1028"</f>
        <v>22.1028</v>
      </c>
      <c r="C1681">
        <v>1679</v>
      </c>
      <c r="D1681" s="7">
        <v>22.102799999999998</v>
      </c>
      <c r="E1681" s="7">
        <f t="shared" si="52"/>
        <v>37110.601199999997</v>
      </c>
      <c r="F1681" s="7">
        <f t="shared" si="53"/>
        <v>2819041</v>
      </c>
      <c r="G1681" s="7"/>
    </row>
    <row r="1682" spans="1:7" x14ac:dyDescent="0.35">
      <c r="A1682" t="str">
        <f>"2011-10-27"</f>
        <v>2011-10-27</v>
      </c>
      <c r="B1682" t="str">
        <f>"22.8333"</f>
        <v>22.8333</v>
      </c>
      <c r="C1682">
        <v>1680</v>
      </c>
      <c r="D1682" s="7">
        <v>22.833300000000001</v>
      </c>
      <c r="E1682" s="7">
        <f t="shared" si="52"/>
        <v>38359.944000000003</v>
      </c>
      <c r="F1682" s="7">
        <f t="shared" si="53"/>
        <v>2822400</v>
      </c>
      <c r="G1682" s="7"/>
    </row>
    <row r="1683" spans="1:7" x14ac:dyDescent="0.35">
      <c r="A1683" t="str">
        <f>"2011-10-28"</f>
        <v>2011-10-28</v>
      </c>
      <c r="B1683" t="str">
        <f>"23.3401"</f>
        <v>23.3401</v>
      </c>
      <c r="C1683">
        <v>1681</v>
      </c>
      <c r="D1683" s="7">
        <v>23.3401</v>
      </c>
      <c r="E1683" s="7">
        <f t="shared" si="52"/>
        <v>39234.708099999996</v>
      </c>
      <c r="F1683" s="7">
        <f t="shared" si="53"/>
        <v>2825761</v>
      </c>
      <c r="G1683" s="7"/>
    </row>
    <row r="1684" spans="1:7" x14ac:dyDescent="0.35">
      <c r="A1684" t="str">
        <f>"2011-10-31"</f>
        <v>2011-10-31</v>
      </c>
      <c r="B1684" t="str">
        <f>"22.9663"</f>
        <v>22.9663</v>
      </c>
      <c r="C1684">
        <v>1682</v>
      </c>
      <c r="D1684" s="7">
        <v>22.9663</v>
      </c>
      <c r="E1684" s="7">
        <f t="shared" si="52"/>
        <v>38629.316599999998</v>
      </c>
      <c r="F1684" s="7">
        <f t="shared" si="53"/>
        <v>2829124</v>
      </c>
      <c r="G1684" s="7"/>
    </row>
    <row r="1685" spans="1:7" x14ac:dyDescent="0.35">
      <c r="A1685" t="str">
        <f>"2011-11-01"</f>
        <v>2011-11-01</v>
      </c>
      <c r="B1685" t="str">
        <f>"22.1758"</f>
        <v>22.1758</v>
      </c>
      <c r="C1685">
        <v>1683</v>
      </c>
      <c r="D1685" s="7">
        <v>22.175799999999999</v>
      </c>
      <c r="E1685" s="7">
        <f t="shared" si="52"/>
        <v>37321.871399999996</v>
      </c>
      <c r="F1685" s="7">
        <f t="shared" si="53"/>
        <v>2832489</v>
      </c>
      <c r="G1685" s="7"/>
    </row>
    <row r="1686" spans="1:7" x14ac:dyDescent="0.35">
      <c r="A1686" t="str">
        <f>"2011-11-02"</f>
        <v>2011-11-02</v>
      </c>
      <c r="B1686" t="str">
        <f>"21.73"</f>
        <v>21.73</v>
      </c>
      <c r="C1686">
        <v>1684</v>
      </c>
      <c r="D1686" s="7">
        <v>21.73</v>
      </c>
      <c r="E1686" s="7">
        <f t="shared" si="52"/>
        <v>36593.32</v>
      </c>
      <c r="F1686" s="7">
        <f t="shared" si="53"/>
        <v>2835856</v>
      </c>
      <c r="G1686" s="7"/>
    </row>
    <row r="1687" spans="1:7" x14ac:dyDescent="0.35">
      <c r="A1687" t="str">
        <f>"2011-11-03"</f>
        <v>2011-11-03</v>
      </c>
      <c r="B1687" t="str">
        <f>"21.6205"</f>
        <v>21.6205</v>
      </c>
      <c r="C1687">
        <v>1685</v>
      </c>
      <c r="D1687" s="7">
        <v>21.6205</v>
      </c>
      <c r="E1687" s="7">
        <f t="shared" si="52"/>
        <v>36430.542500000003</v>
      </c>
      <c r="F1687" s="7">
        <f t="shared" si="53"/>
        <v>2839225</v>
      </c>
      <c r="G1687" s="7"/>
    </row>
    <row r="1688" spans="1:7" x14ac:dyDescent="0.35">
      <c r="A1688" t="str">
        <f>"2011-11-04"</f>
        <v>2011-11-04</v>
      </c>
      <c r="B1688" t="str">
        <f>"21.8123"</f>
        <v>21.8123</v>
      </c>
      <c r="C1688">
        <v>1686</v>
      </c>
      <c r="D1688" s="7">
        <v>21.8123</v>
      </c>
      <c r="E1688" s="7">
        <f t="shared" si="52"/>
        <v>36775.537799999998</v>
      </c>
      <c r="F1688" s="7">
        <f t="shared" si="53"/>
        <v>2842596</v>
      </c>
      <c r="G1688" s="7"/>
    </row>
    <row r="1689" spans="1:7" x14ac:dyDescent="0.35">
      <c r="A1689" t="str">
        <f>"2011-11-07"</f>
        <v>2011-11-07</v>
      </c>
      <c r="B1689" t="str">
        <f>"21.2621"</f>
        <v>21.2621</v>
      </c>
      <c r="C1689">
        <v>1687</v>
      </c>
      <c r="D1689" s="7">
        <v>21.2621</v>
      </c>
      <c r="E1689" s="7">
        <f t="shared" si="52"/>
        <v>35869.162700000001</v>
      </c>
      <c r="F1689" s="7">
        <f t="shared" si="53"/>
        <v>2845969</v>
      </c>
      <c r="G1689" s="7"/>
    </row>
    <row r="1690" spans="1:7" x14ac:dyDescent="0.35">
      <c r="A1690" t="str">
        <f>"2011-11-08"</f>
        <v>2011-11-08</v>
      </c>
      <c r="B1690" t="str">
        <f>"21.0102"</f>
        <v>21.0102</v>
      </c>
      <c r="C1690">
        <v>1688</v>
      </c>
      <c r="D1690" s="7">
        <v>21.010200000000001</v>
      </c>
      <c r="E1690" s="7">
        <f t="shared" si="52"/>
        <v>35465.217600000004</v>
      </c>
      <c r="F1690" s="7">
        <f t="shared" si="53"/>
        <v>2849344</v>
      </c>
      <c r="G1690" s="7"/>
    </row>
    <row r="1691" spans="1:7" x14ac:dyDescent="0.35">
      <c r="A1691" t="str">
        <f>"2011-11-09"</f>
        <v>2011-11-09</v>
      </c>
      <c r="B1691" t="str">
        <f>"21.1829"</f>
        <v>21.1829</v>
      </c>
      <c r="C1691">
        <v>1689</v>
      </c>
      <c r="D1691" s="7">
        <v>21.1829</v>
      </c>
      <c r="E1691" s="7">
        <f t="shared" si="52"/>
        <v>35777.918100000003</v>
      </c>
      <c r="F1691" s="7">
        <f t="shared" si="53"/>
        <v>2852721</v>
      </c>
      <c r="G1691" s="7"/>
    </row>
    <row r="1692" spans="1:7" x14ac:dyDescent="0.35">
      <c r="A1692" t="str">
        <f>"2011-11-10"</f>
        <v>2011-11-10</v>
      </c>
      <c r="B1692" t="str">
        <f>"20.7658"</f>
        <v>20.7658</v>
      </c>
      <c r="C1692">
        <v>1690</v>
      </c>
      <c r="D1692" s="7">
        <v>20.765799999999999</v>
      </c>
      <c r="E1692" s="7">
        <f t="shared" si="52"/>
        <v>35094.201999999997</v>
      </c>
      <c r="F1692" s="7">
        <f t="shared" si="53"/>
        <v>2856100</v>
      </c>
      <c r="G1692" s="7"/>
    </row>
    <row r="1693" spans="1:7" x14ac:dyDescent="0.35">
      <c r="A1693" t="str">
        <f>"2011-11-11"</f>
        <v>2011-11-11</v>
      </c>
      <c r="B1693" t="str">
        <f>"20.6173"</f>
        <v>20.6173</v>
      </c>
      <c r="C1693">
        <v>1691</v>
      </c>
      <c r="D1693" s="7">
        <v>20.6173</v>
      </c>
      <c r="E1693" s="7">
        <f t="shared" si="52"/>
        <v>34863.854299999999</v>
      </c>
      <c r="F1693" s="7">
        <f t="shared" si="53"/>
        <v>2859481</v>
      </c>
      <c r="G1693" s="7"/>
    </row>
    <row r="1694" spans="1:7" x14ac:dyDescent="0.35">
      <c r="A1694" t="str">
        <f>"2011-11-14"</f>
        <v>2011-11-14</v>
      </c>
      <c r="B1694" t="str">
        <f>"21.5776"</f>
        <v>21.5776</v>
      </c>
      <c r="C1694">
        <v>1692</v>
      </c>
      <c r="D1694" s="7">
        <v>21.5776</v>
      </c>
      <c r="E1694" s="7">
        <f t="shared" si="52"/>
        <v>36509.299200000001</v>
      </c>
      <c r="F1694" s="7">
        <f t="shared" si="53"/>
        <v>2862864</v>
      </c>
      <c r="G1694" s="7"/>
    </row>
    <row r="1695" spans="1:7" x14ac:dyDescent="0.35">
      <c r="A1695" t="str">
        <f>"2011-11-15"</f>
        <v>2011-11-15</v>
      </c>
      <c r="B1695" t="str">
        <f>"22.0077"</f>
        <v>22.0077</v>
      </c>
      <c r="C1695">
        <v>1693</v>
      </c>
      <c r="D1695" s="7">
        <v>22.0077</v>
      </c>
      <c r="E1695" s="7">
        <f t="shared" si="52"/>
        <v>37259.036099999998</v>
      </c>
      <c r="F1695" s="7">
        <f t="shared" si="53"/>
        <v>2866249</v>
      </c>
      <c r="G1695" s="7"/>
    </row>
    <row r="1696" spans="1:7" x14ac:dyDescent="0.35">
      <c r="A1696" t="str">
        <f>"2011-11-16"</f>
        <v>2011-11-16</v>
      </c>
      <c r="B1696" t="str">
        <f>"22.0503"</f>
        <v>22.0503</v>
      </c>
      <c r="C1696">
        <v>1694</v>
      </c>
      <c r="D1696" s="7">
        <v>22.0503</v>
      </c>
      <c r="E1696" s="7">
        <f t="shared" si="52"/>
        <v>37353.208200000001</v>
      </c>
      <c r="F1696" s="7">
        <f t="shared" si="53"/>
        <v>2869636</v>
      </c>
      <c r="G1696" s="7"/>
    </row>
    <row r="1697" spans="1:7" x14ac:dyDescent="0.35">
      <c r="A1697" t="str">
        <f>"2011-11-17"</f>
        <v>2011-11-17</v>
      </c>
      <c r="B1697" t="str">
        <f>"22.5386"</f>
        <v>22.5386</v>
      </c>
      <c r="C1697">
        <v>1695</v>
      </c>
      <c r="D1697" s="7">
        <v>22.538599999999999</v>
      </c>
      <c r="E1697" s="7">
        <f t="shared" si="52"/>
        <v>38202.926999999996</v>
      </c>
      <c r="F1697" s="7">
        <f t="shared" si="53"/>
        <v>2873025</v>
      </c>
      <c r="G1697" s="7"/>
    </row>
    <row r="1698" spans="1:7" x14ac:dyDescent="0.35">
      <c r="A1698" t="str">
        <f>"2011-11-18"</f>
        <v>2011-11-18</v>
      </c>
      <c r="B1698" t="str">
        <f>"21.8377"</f>
        <v>21.8377</v>
      </c>
      <c r="C1698">
        <v>1696</v>
      </c>
      <c r="D1698" s="7">
        <v>21.837700000000002</v>
      </c>
      <c r="E1698" s="7">
        <f t="shared" si="52"/>
        <v>37036.739200000004</v>
      </c>
      <c r="F1698" s="7">
        <f t="shared" si="53"/>
        <v>2876416</v>
      </c>
      <c r="G1698" s="7"/>
    </row>
    <row r="1699" spans="1:7" x14ac:dyDescent="0.35">
      <c r="A1699" t="str">
        <f>"2011-11-21"</f>
        <v>2011-11-21</v>
      </c>
      <c r="B1699" t="str">
        <f>"21.1859"</f>
        <v>21.1859</v>
      </c>
      <c r="C1699">
        <v>1697</v>
      </c>
      <c r="D1699" s="7">
        <v>21.1859</v>
      </c>
      <c r="E1699" s="7">
        <f t="shared" si="52"/>
        <v>35952.472300000001</v>
      </c>
      <c r="F1699" s="7">
        <f t="shared" si="53"/>
        <v>2879809</v>
      </c>
      <c r="G1699" s="7"/>
    </row>
    <row r="1700" spans="1:7" x14ac:dyDescent="0.35">
      <c r="A1700" t="str">
        <f>"2011-11-22"</f>
        <v>2011-11-22</v>
      </c>
      <c r="B1700" t="str">
        <f>"20.5286"</f>
        <v>20.5286</v>
      </c>
      <c r="C1700">
        <v>1698</v>
      </c>
      <c r="D1700" s="7">
        <v>20.528600000000001</v>
      </c>
      <c r="E1700" s="7">
        <f t="shared" si="52"/>
        <v>34857.5628</v>
      </c>
      <c r="F1700" s="7">
        <f t="shared" si="53"/>
        <v>2883204</v>
      </c>
      <c r="G1700" s="7"/>
    </row>
    <row r="1701" spans="1:7" x14ac:dyDescent="0.35">
      <c r="A1701" t="str">
        <f>"2011-11-23"</f>
        <v>2011-11-23</v>
      </c>
      <c r="B1701" t="str">
        <f>"20.3493"</f>
        <v>20.3493</v>
      </c>
      <c r="C1701">
        <v>1699</v>
      </c>
      <c r="D1701" s="7">
        <v>20.349299999999999</v>
      </c>
      <c r="E1701" s="7">
        <f t="shared" si="52"/>
        <v>34573.460699999996</v>
      </c>
      <c r="F1701" s="7">
        <f t="shared" si="53"/>
        <v>2886601</v>
      </c>
      <c r="G1701" s="7"/>
    </row>
    <row r="1702" spans="1:7" x14ac:dyDescent="0.35">
      <c r="A1702" t="str">
        <f>"2011-11-25"</f>
        <v>2011-11-25</v>
      </c>
      <c r="B1702" t="str">
        <f>"19.8392"</f>
        <v>19.8392</v>
      </c>
      <c r="C1702">
        <v>1700</v>
      </c>
      <c r="D1702" s="7">
        <v>19.839200000000002</v>
      </c>
      <c r="E1702" s="7">
        <f t="shared" si="52"/>
        <v>33726.639999999999</v>
      </c>
      <c r="F1702" s="7">
        <f t="shared" si="53"/>
        <v>2890000</v>
      </c>
      <c r="G1702" s="7"/>
    </row>
    <row r="1703" spans="1:7" x14ac:dyDescent="0.35">
      <c r="A1703" t="str">
        <f>"2011-11-28"</f>
        <v>2011-11-28</v>
      </c>
      <c r="B1703" t="str">
        <f>"19.8111"</f>
        <v>19.8111</v>
      </c>
      <c r="C1703">
        <v>1701</v>
      </c>
      <c r="D1703" s="7">
        <v>19.8111</v>
      </c>
      <c r="E1703" s="7">
        <f t="shared" si="52"/>
        <v>33698.681100000002</v>
      </c>
      <c r="F1703" s="7">
        <f t="shared" si="53"/>
        <v>2893401</v>
      </c>
      <c r="G1703" s="7"/>
    </row>
    <row r="1704" spans="1:7" x14ac:dyDescent="0.35">
      <c r="A1704" t="str">
        <f>"2011-11-29"</f>
        <v>2011-11-29</v>
      </c>
      <c r="B1704" t="str">
        <f>"19.5468"</f>
        <v>19.5468</v>
      </c>
      <c r="C1704">
        <v>1702</v>
      </c>
      <c r="D1704" s="7">
        <v>19.546800000000001</v>
      </c>
      <c r="E1704" s="7">
        <f t="shared" si="52"/>
        <v>33268.653600000005</v>
      </c>
      <c r="F1704" s="7">
        <f t="shared" si="53"/>
        <v>2896804</v>
      </c>
      <c r="G1704" s="7"/>
    </row>
    <row r="1705" spans="1:7" x14ac:dyDescent="0.35">
      <c r="A1705" t="str">
        <f>"2011-11-30"</f>
        <v>2011-11-30</v>
      </c>
      <c r="B1705" t="str">
        <f>"19.8503"</f>
        <v>19.8503</v>
      </c>
      <c r="C1705">
        <v>1703</v>
      </c>
      <c r="D1705" s="7">
        <v>19.850300000000001</v>
      </c>
      <c r="E1705" s="7">
        <f t="shared" si="52"/>
        <v>33805.060900000004</v>
      </c>
      <c r="F1705" s="7">
        <f t="shared" si="53"/>
        <v>2900209</v>
      </c>
      <c r="G1705" s="7"/>
    </row>
    <row r="1706" spans="1:7" x14ac:dyDescent="0.35">
      <c r="A1706" t="str">
        <f>"2011-12-01"</f>
        <v>2011-12-01</v>
      </c>
      <c r="B1706" t="str">
        <f>"20.2417"</f>
        <v>20.2417</v>
      </c>
      <c r="C1706">
        <v>1704</v>
      </c>
      <c r="D1706" s="7">
        <v>20.241700000000002</v>
      </c>
      <c r="E1706" s="7">
        <f t="shared" si="52"/>
        <v>34491.856800000001</v>
      </c>
      <c r="F1706" s="7">
        <f t="shared" si="53"/>
        <v>2903616</v>
      </c>
      <c r="G1706" s="7"/>
    </row>
    <row r="1707" spans="1:7" x14ac:dyDescent="0.35">
      <c r="A1707" t="str">
        <f>"2011-12-02"</f>
        <v>2011-12-02</v>
      </c>
      <c r="B1707" t="str">
        <f>"20.0081"</f>
        <v>20.0081</v>
      </c>
      <c r="C1707">
        <v>1705</v>
      </c>
      <c r="D1707" s="7">
        <v>20.008099999999999</v>
      </c>
      <c r="E1707" s="7">
        <f t="shared" si="52"/>
        <v>34113.8105</v>
      </c>
      <c r="F1707" s="7">
        <f t="shared" si="53"/>
        <v>2907025</v>
      </c>
      <c r="G1707" s="7"/>
    </row>
    <row r="1708" spans="1:7" x14ac:dyDescent="0.35">
      <c r="A1708" t="str">
        <f>"2011-12-05"</f>
        <v>2011-12-05</v>
      </c>
      <c r="B1708" t="str">
        <f>"20.39"</f>
        <v>20.39</v>
      </c>
      <c r="C1708">
        <v>1706</v>
      </c>
      <c r="D1708" s="7">
        <v>20.39</v>
      </c>
      <c r="E1708" s="7">
        <f t="shared" si="52"/>
        <v>34785.340000000004</v>
      </c>
      <c r="F1708" s="7">
        <f t="shared" si="53"/>
        <v>2910436</v>
      </c>
      <c r="G1708" s="7"/>
    </row>
    <row r="1709" spans="1:7" x14ac:dyDescent="0.35">
      <c r="A1709" t="str">
        <f>"2011-12-06"</f>
        <v>2011-12-06</v>
      </c>
      <c r="B1709" t="str">
        <f>"20.0743"</f>
        <v>20.0743</v>
      </c>
      <c r="C1709">
        <v>1707</v>
      </c>
      <c r="D1709" s="7">
        <v>20.074300000000001</v>
      </c>
      <c r="E1709" s="7">
        <f t="shared" si="52"/>
        <v>34266.830099999999</v>
      </c>
      <c r="F1709" s="7">
        <f t="shared" si="53"/>
        <v>2913849</v>
      </c>
      <c r="G1709" s="7"/>
    </row>
    <row r="1710" spans="1:7" x14ac:dyDescent="0.35">
      <c r="A1710" t="str">
        <f>"2011-12-07"</f>
        <v>2011-12-07</v>
      </c>
      <c r="B1710" t="str">
        <f>"19.9972"</f>
        <v>19.9972</v>
      </c>
      <c r="C1710">
        <v>1708</v>
      </c>
      <c r="D1710" s="7">
        <v>19.997199999999999</v>
      </c>
      <c r="E1710" s="7">
        <f t="shared" si="52"/>
        <v>34155.217599999996</v>
      </c>
      <c r="F1710" s="7">
        <f t="shared" si="53"/>
        <v>2917264</v>
      </c>
      <c r="G1710" s="7"/>
    </row>
    <row r="1711" spans="1:7" x14ac:dyDescent="0.35">
      <c r="A1711" t="str">
        <f>"2011-12-08"</f>
        <v>2011-12-08</v>
      </c>
      <c r="B1711" t="str">
        <f>"19.8034"</f>
        <v>19.8034</v>
      </c>
      <c r="C1711">
        <v>1709</v>
      </c>
      <c r="D1711" s="7">
        <v>19.8034</v>
      </c>
      <c r="E1711" s="7">
        <f t="shared" si="52"/>
        <v>33844.010600000001</v>
      </c>
      <c r="F1711" s="7">
        <f t="shared" si="53"/>
        <v>2920681</v>
      </c>
      <c r="G1711" s="7"/>
    </row>
    <row r="1712" spans="1:7" x14ac:dyDescent="0.35">
      <c r="A1712" t="str">
        <f>"2011-12-09"</f>
        <v>2011-12-09</v>
      </c>
      <c r="B1712" t="str">
        <f>"19.6548"</f>
        <v>19.6548</v>
      </c>
      <c r="C1712">
        <v>1710</v>
      </c>
      <c r="D1712" s="7">
        <v>19.654800000000002</v>
      </c>
      <c r="E1712" s="7">
        <f t="shared" si="52"/>
        <v>33609.708000000006</v>
      </c>
      <c r="F1712" s="7">
        <f t="shared" si="53"/>
        <v>2924100</v>
      </c>
      <c r="G1712" s="7"/>
    </row>
    <row r="1713" spans="1:7" x14ac:dyDescent="0.35">
      <c r="A1713" t="str">
        <f>"2011-12-12"</f>
        <v>2011-12-12</v>
      </c>
      <c r="B1713" t="str">
        <f>"19.7827"</f>
        <v>19.7827</v>
      </c>
      <c r="C1713">
        <v>1711</v>
      </c>
      <c r="D1713" s="7">
        <v>19.782699999999998</v>
      </c>
      <c r="E1713" s="7">
        <f t="shared" si="52"/>
        <v>33848.199699999997</v>
      </c>
      <c r="F1713" s="7">
        <f t="shared" si="53"/>
        <v>2927521</v>
      </c>
      <c r="G1713" s="7"/>
    </row>
    <row r="1714" spans="1:7" x14ac:dyDescent="0.35">
      <c r="A1714" t="str">
        <f>"2011-12-13"</f>
        <v>2011-12-13</v>
      </c>
      <c r="B1714" t="str">
        <f>"19.7303"</f>
        <v>19.7303</v>
      </c>
      <c r="C1714">
        <v>1712</v>
      </c>
      <c r="D1714" s="7">
        <v>19.7303</v>
      </c>
      <c r="E1714" s="7">
        <f t="shared" si="52"/>
        <v>33778.2736</v>
      </c>
      <c r="F1714" s="7">
        <f t="shared" si="53"/>
        <v>2930944</v>
      </c>
      <c r="G1714" s="7"/>
    </row>
    <row r="1715" spans="1:7" x14ac:dyDescent="0.35">
      <c r="A1715" t="str">
        <f>"2011-12-14"</f>
        <v>2011-12-14</v>
      </c>
      <c r="B1715" t="str">
        <f>"19.4305"</f>
        <v>19.4305</v>
      </c>
      <c r="C1715">
        <v>1713</v>
      </c>
      <c r="D1715" s="7">
        <v>19.430499999999999</v>
      </c>
      <c r="E1715" s="7">
        <f t="shared" si="52"/>
        <v>33284.446499999998</v>
      </c>
      <c r="F1715" s="7">
        <f t="shared" si="53"/>
        <v>2934369</v>
      </c>
      <c r="G1715" s="7"/>
    </row>
    <row r="1716" spans="1:7" x14ac:dyDescent="0.35">
      <c r="A1716" t="str">
        <f>"2011-12-15"</f>
        <v>2011-12-15</v>
      </c>
      <c r="B1716" t="str">
        <f>"19.9677"</f>
        <v>19.9677</v>
      </c>
      <c r="C1716">
        <v>1714</v>
      </c>
      <c r="D1716" s="7">
        <v>19.967700000000001</v>
      </c>
      <c r="E1716" s="7">
        <f t="shared" si="52"/>
        <v>34224.637800000004</v>
      </c>
      <c r="F1716" s="7">
        <f t="shared" si="53"/>
        <v>2937796</v>
      </c>
      <c r="G1716" s="7"/>
    </row>
    <row r="1717" spans="1:7" x14ac:dyDescent="0.35">
      <c r="A1717" t="str">
        <f>"2011-12-16"</f>
        <v>2011-12-16</v>
      </c>
      <c r="B1717" t="str">
        <f>"20.2342"</f>
        <v>20.2342</v>
      </c>
      <c r="C1717">
        <v>1715</v>
      </c>
      <c r="D1717" s="7">
        <v>20.234200000000001</v>
      </c>
      <c r="E1717" s="7">
        <f t="shared" si="52"/>
        <v>34701.653000000006</v>
      </c>
      <c r="F1717" s="7">
        <f t="shared" si="53"/>
        <v>2941225</v>
      </c>
      <c r="G1717" s="7"/>
    </row>
    <row r="1718" spans="1:7" x14ac:dyDescent="0.35">
      <c r="A1718" t="str">
        <f>"2011-12-19"</f>
        <v>2011-12-19</v>
      </c>
      <c r="B1718" t="str">
        <f>"19.8087"</f>
        <v>19.8087</v>
      </c>
      <c r="C1718">
        <v>1716</v>
      </c>
      <c r="D1718" s="7">
        <v>19.808700000000002</v>
      </c>
      <c r="E1718" s="7">
        <f t="shared" si="52"/>
        <v>33991.729200000002</v>
      </c>
      <c r="F1718" s="7">
        <f t="shared" si="53"/>
        <v>2944656</v>
      </c>
      <c r="G1718" s="7"/>
    </row>
    <row r="1719" spans="1:7" x14ac:dyDescent="0.35">
      <c r="A1719" t="str">
        <f>"2011-12-20"</f>
        <v>2011-12-20</v>
      </c>
      <c r="B1719" t="str">
        <f>"19.9097"</f>
        <v>19.9097</v>
      </c>
      <c r="C1719">
        <v>1717</v>
      </c>
      <c r="D1719" s="7">
        <v>19.909700000000001</v>
      </c>
      <c r="E1719" s="7">
        <f t="shared" si="52"/>
        <v>34184.954900000004</v>
      </c>
      <c r="F1719" s="7">
        <f t="shared" si="53"/>
        <v>2948089</v>
      </c>
      <c r="G1719" s="7"/>
    </row>
    <row r="1720" spans="1:7" x14ac:dyDescent="0.35">
      <c r="A1720" t="str">
        <f>"2011-12-21"</f>
        <v>2011-12-21</v>
      </c>
      <c r="B1720" t="str">
        <f>"19.7833"</f>
        <v>19.7833</v>
      </c>
      <c r="C1720">
        <v>1718</v>
      </c>
      <c r="D1720" s="7">
        <v>19.783300000000001</v>
      </c>
      <c r="E1720" s="7">
        <f t="shared" si="52"/>
        <v>33987.7094</v>
      </c>
      <c r="F1720" s="7">
        <f t="shared" si="53"/>
        <v>2951524</v>
      </c>
      <c r="G1720" s="7"/>
    </row>
    <row r="1721" spans="1:7" x14ac:dyDescent="0.35">
      <c r="A1721" t="str">
        <f>"2011-12-22"</f>
        <v>2011-12-22</v>
      </c>
      <c r="B1721" t="str">
        <f>"19.8139"</f>
        <v>19.8139</v>
      </c>
      <c r="C1721">
        <v>1719</v>
      </c>
      <c r="D1721" s="7">
        <v>19.8139</v>
      </c>
      <c r="E1721" s="7">
        <f t="shared" si="52"/>
        <v>34060.094100000002</v>
      </c>
      <c r="F1721" s="7">
        <f t="shared" si="53"/>
        <v>2954961</v>
      </c>
      <c r="G1721" s="7"/>
    </row>
    <row r="1722" spans="1:7" x14ac:dyDescent="0.35">
      <c r="A1722" t="str">
        <f>"2011-12-23"</f>
        <v>2011-12-23</v>
      </c>
      <c r="B1722" t="str">
        <f>"19.8236"</f>
        <v>19.8236</v>
      </c>
      <c r="C1722">
        <v>1720</v>
      </c>
      <c r="D1722" s="7">
        <v>19.823599999999999</v>
      </c>
      <c r="E1722" s="7">
        <f t="shared" si="52"/>
        <v>34096.591999999997</v>
      </c>
      <c r="F1722" s="7">
        <f t="shared" si="53"/>
        <v>2958400</v>
      </c>
      <c r="G1722" s="7"/>
    </row>
    <row r="1723" spans="1:7" x14ac:dyDescent="0.35">
      <c r="A1723" t="str">
        <f>"2011-12-27"</f>
        <v>2011-12-27</v>
      </c>
      <c r="B1723" t="str">
        <f>"19.7504"</f>
        <v>19.7504</v>
      </c>
      <c r="C1723">
        <v>1721</v>
      </c>
      <c r="D1723" s="7">
        <v>19.750399999999999</v>
      </c>
      <c r="E1723" s="7">
        <f t="shared" si="52"/>
        <v>33990.438399999999</v>
      </c>
      <c r="F1723" s="7">
        <f t="shared" si="53"/>
        <v>2961841</v>
      </c>
      <c r="G1723" s="7"/>
    </row>
    <row r="1724" spans="1:7" x14ac:dyDescent="0.35">
      <c r="A1724" t="str">
        <f>"2011-12-28"</f>
        <v>2011-12-28</v>
      </c>
      <c r="B1724" t="str">
        <f>"19.7077"</f>
        <v>19.7077</v>
      </c>
      <c r="C1724">
        <v>1722</v>
      </c>
      <c r="D1724" s="7">
        <v>19.707699999999999</v>
      </c>
      <c r="E1724" s="7">
        <f t="shared" si="52"/>
        <v>33936.659399999997</v>
      </c>
      <c r="F1724" s="7">
        <f t="shared" si="53"/>
        <v>2965284</v>
      </c>
      <c r="G1724" s="7"/>
    </row>
    <row r="1725" spans="1:7" x14ac:dyDescent="0.35">
      <c r="A1725" t="str">
        <f>"2011-12-29"</f>
        <v>2011-12-29</v>
      </c>
      <c r="B1725" t="str">
        <f>"19.5967"</f>
        <v>19.5967</v>
      </c>
      <c r="C1725">
        <v>1723</v>
      </c>
      <c r="D1725" s="7">
        <v>19.596699999999998</v>
      </c>
      <c r="E1725" s="7">
        <f t="shared" si="52"/>
        <v>33765.114099999999</v>
      </c>
      <c r="F1725" s="7">
        <f t="shared" si="53"/>
        <v>2968729</v>
      </c>
      <c r="G1725" s="7"/>
    </row>
    <row r="1726" spans="1:7" x14ac:dyDescent="0.35">
      <c r="A1726" t="str">
        <f>"2011-12-30"</f>
        <v>2011-12-30</v>
      </c>
      <c r="B1726" t="str">
        <f>"19.2086"</f>
        <v>19.2086</v>
      </c>
      <c r="C1726">
        <v>1724</v>
      </c>
      <c r="D1726" s="7">
        <v>19.208600000000001</v>
      </c>
      <c r="E1726" s="7">
        <f t="shared" si="52"/>
        <v>33115.626400000001</v>
      </c>
      <c r="F1726" s="7">
        <f t="shared" si="53"/>
        <v>2972176</v>
      </c>
      <c r="G1726" s="7"/>
    </row>
    <row r="1727" spans="1:7" x14ac:dyDescent="0.35">
      <c r="A1727" t="str">
        <f>"2012-01-03"</f>
        <v>2012-01-03</v>
      </c>
      <c r="B1727" t="str">
        <f>"19.795"</f>
        <v>19.795</v>
      </c>
      <c r="C1727">
        <v>1725</v>
      </c>
      <c r="D1727" s="7">
        <v>19.795000000000002</v>
      </c>
      <c r="E1727" s="7">
        <f t="shared" si="52"/>
        <v>34146.375</v>
      </c>
      <c r="F1727" s="7">
        <f t="shared" si="53"/>
        <v>2975625</v>
      </c>
      <c r="G1727" s="7"/>
    </row>
    <row r="1728" spans="1:7" x14ac:dyDescent="0.35">
      <c r="A1728" t="str">
        <f>"2012-01-04"</f>
        <v>2012-01-04</v>
      </c>
      <c r="B1728" t="str">
        <f>"19.27"</f>
        <v>19.27</v>
      </c>
      <c r="C1728">
        <v>1726</v>
      </c>
      <c r="D1728" s="7">
        <v>19.27</v>
      </c>
      <c r="E1728" s="7">
        <f t="shared" si="52"/>
        <v>33260.019999999997</v>
      </c>
      <c r="F1728" s="7">
        <f t="shared" si="53"/>
        <v>2979076</v>
      </c>
      <c r="G1728" s="7"/>
    </row>
    <row r="1729" spans="1:7" x14ac:dyDescent="0.35">
      <c r="A1729" t="str">
        <f>"2012-01-05"</f>
        <v>2012-01-05</v>
      </c>
      <c r="B1729" t="str">
        <f>"18.7618"</f>
        <v>18.7618</v>
      </c>
      <c r="C1729">
        <v>1727</v>
      </c>
      <c r="D1729" s="7">
        <v>18.761800000000001</v>
      </c>
      <c r="E1729" s="7">
        <f t="shared" si="52"/>
        <v>32401.6286</v>
      </c>
      <c r="F1729" s="7">
        <f t="shared" si="53"/>
        <v>2982529</v>
      </c>
      <c r="G1729" s="7"/>
    </row>
    <row r="1730" spans="1:7" x14ac:dyDescent="0.35">
      <c r="A1730" t="str">
        <f>"2012-01-06"</f>
        <v>2012-01-06</v>
      </c>
      <c r="B1730" t="str">
        <f>"18.3449"</f>
        <v>18.3449</v>
      </c>
      <c r="C1730">
        <v>1728</v>
      </c>
      <c r="D1730" s="7">
        <v>18.344899999999999</v>
      </c>
      <c r="E1730" s="7">
        <f t="shared" si="52"/>
        <v>31699.9872</v>
      </c>
      <c r="F1730" s="7">
        <f t="shared" si="53"/>
        <v>2985984</v>
      </c>
      <c r="G1730" s="7"/>
    </row>
    <row r="1731" spans="1:7" x14ac:dyDescent="0.35">
      <c r="A1731" t="str">
        <f>"2012-01-09"</f>
        <v>2012-01-09</v>
      </c>
      <c r="B1731" t="str">
        <f>"17.9039"</f>
        <v>17.9039</v>
      </c>
      <c r="C1731">
        <v>1729</v>
      </c>
      <c r="D1731" s="7">
        <v>17.9039</v>
      </c>
      <c r="E1731" s="7">
        <f t="shared" si="52"/>
        <v>30955.843100000002</v>
      </c>
      <c r="F1731" s="7">
        <f t="shared" si="53"/>
        <v>2989441</v>
      </c>
      <c r="G1731" s="7"/>
    </row>
    <row r="1732" spans="1:7" x14ac:dyDescent="0.35">
      <c r="A1732" t="str">
        <f>"2012-01-10"</f>
        <v>2012-01-10</v>
      </c>
      <c r="B1732" t="str">
        <f>"18.0219"</f>
        <v>18.0219</v>
      </c>
      <c r="C1732">
        <v>1730</v>
      </c>
      <c r="D1732" s="7">
        <v>18.021899999999999</v>
      </c>
      <c r="E1732" s="7">
        <f t="shared" ref="E1732:E1795" si="54">C1732*D1732</f>
        <v>31177.886999999999</v>
      </c>
      <c r="F1732" s="7">
        <f t="shared" ref="F1732:F1795" si="55">C1732*C1732</f>
        <v>2992900</v>
      </c>
      <c r="G1732" s="7"/>
    </row>
    <row r="1733" spans="1:7" x14ac:dyDescent="0.35">
      <c r="A1733" t="str">
        <f>"2012-01-11"</f>
        <v>2012-01-11</v>
      </c>
      <c r="B1733" t="str">
        <f>"18.1987"</f>
        <v>18.1987</v>
      </c>
      <c r="C1733">
        <v>1731</v>
      </c>
      <c r="D1733" s="7">
        <v>18.198699999999999</v>
      </c>
      <c r="E1733" s="7">
        <f t="shared" si="54"/>
        <v>31501.949699999997</v>
      </c>
      <c r="F1733" s="7">
        <f t="shared" si="55"/>
        <v>2996361</v>
      </c>
      <c r="G1733" s="7"/>
    </row>
    <row r="1734" spans="1:7" x14ac:dyDescent="0.35">
      <c r="A1734" t="str">
        <f>"2012-01-12"</f>
        <v>2012-01-12</v>
      </c>
      <c r="B1734" t="str">
        <f>"18.7845"</f>
        <v>18.7845</v>
      </c>
      <c r="C1734">
        <v>1732</v>
      </c>
      <c r="D1734" s="7">
        <v>18.784500000000001</v>
      </c>
      <c r="E1734" s="7">
        <f t="shared" si="54"/>
        <v>32534.754000000001</v>
      </c>
      <c r="F1734" s="7">
        <f t="shared" si="55"/>
        <v>2999824</v>
      </c>
      <c r="G1734" s="7"/>
    </row>
    <row r="1735" spans="1:7" x14ac:dyDescent="0.35">
      <c r="A1735" t="str">
        <f>"2012-01-13"</f>
        <v>2012-01-13</v>
      </c>
      <c r="B1735" t="str">
        <f>"18.454"</f>
        <v>18.454</v>
      </c>
      <c r="C1735">
        <v>1733</v>
      </c>
      <c r="D1735" s="7">
        <v>18.454000000000001</v>
      </c>
      <c r="E1735" s="7">
        <f t="shared" si="54"/>
        <v>31980.782000000003</v>
      </c>
      <c r="F1735" s="7">
        <f t="shared" si="55"/>
        <v>3003289</v>
      </c>
      <c r="G1735" s="7"/>
    </row>
    <row r="1736" spans="1:7" x14ac:dyDescent="0.35">
      <c r="A1736" t="str">
        <f>"2012-01-17"</f>
        <v>2012-01-17</v>
      </c>
      <c r="B1736" t="str">
        <f>"18.8135"</f>
        <v>18.8135</v>
      </c>
      <c r="C1736">
        <v>1734</v>
      </c>
      <c r="D1736" s="7">
        <v>18.813500000000001</v>
      </c>
      <c r="E1736" s="7">
        <f t="shared" si="54"/>
        <v>32622.609</v>
      </c>
      <c r="F1736" s="7">
        <f t="shared" si="55"/>
        <v>3006756</v>
      </c>
      <c r="G1736" s="7"/>
    </row>
    <row r="1737" spans="1:7" x14ac:dyDescent="0.35">
      <c r="A1737" t="str">
        <f>"2012-01-18"</f>
        <v>2012-01-18</v>
      </c>
      <c r="B1737" t="str">
        <f>"19.3117"</f>
        <v>19.3117</v>
      </c>
      <c r="C1737">
        <v>1735</v>
      </c>
      <c r="D1737" s="7">
        <v>19.311699999999998</v>
      </c>
      <c r="E1737" s="7">
        <f t="shared" si="54"/>
        <v>33505.799499999994</v>
      </c>
      <c r="F1737" s="7">
        <f t="shared" si="55"/>
        <v>3010225</v>
      </c>
      <c r="G1737" s="7"/>
    </row>
    <row r="1738" spans="1:7" x14ac:dyDescent="0.35">
      <c r="A1738" t="str">
        <f>"2012-01-19"</f>
        <v>2012-01-19</v>
      </c>
      <c r="B1738" t="str">
        <f>"19.3881"</f>
        <v>19.3881</v>
      </c>
      <c r="C1738">
        <v>1736</v>
      </c>
      <c r="D1738" s="7">
        <v>19.388100000000001</v>
      </c>
      <c r="E1738" s="7">
        <f t="shared" si="54"/>
        <v>33657.741600000001</v>
      </c>
      <c r="F1738" s="7">
        <f t="shared" si="55"/>
        <v>3013696</v>
      </c>
      <c r="G1738" s="7"/>
    </row>
    <row r="1739" spans="1:7" x14ac:dyDescent="0.35">
      <c r="A1739" t="str">
        <f>"2012-01-20"</f>
        <v>2012-01-20</v>
      </c>
      <c r="B1739" t="str">
        <f>"19.5018"</f>
        <v>19.5018</v>
      </c>
      <c r="C1739">
        <v>1737</v>
      </c>
      <c r="D1739" s="7">
        <v>19.501799999999999</v>
      </c>
      <c r="E1739" s="7">
        <f t="shared" si="54"/>
        <v>33874.626599999996</v>
      </c>
      <c r="F1739" s="7">
        <f t="shared" si="55"/>
        <v>3017169</v>
      </c>
      <c r="G1739" s="7"/>
    </row>
    <row r="1740" spans="1:7" x14ac:dyDescent="0.35">
      <c r="A1740" t="str">
        <f>"2012-01-23"</f>
        <v>2012-01-23</v>
      </c>
      <c r="B1740" t="str">
        <f>"19.9752"</f>
        <v>19.9752</v>
      </c>
      <c r="C1740">
        <v>1738</v>
      </c>
      <c r="D1740" s="7">
        <v>19.975200000000001</v>
      </c>
      <c r="E1740" s="7">
        <f t="shared" si="54"/>
        <v>34716.897600000004</v>
      </c>
      <c r="F1740" s="7">
        <f t="shared" si="55"/>
        <v>3020644</v>
      </c>
      <c r="G1740" s="7"/>
    </row>
    <row r="1741" spans="1:7" x14ac:dyDescent="0.35">
      <c r="A1741" t="str">
        <f>"2012-01-24"</f>
        <v>2012-01-24</v>
      </c>
      <c r="B1741" t="str">
        <f>"19.7758"</f>
        <v>19.7758</v>
      </c>
      <c r="C1741">
        <v>1739</v>
      </c>
      <c r="D1741" s="7">
        <v>19.7758</v>
      </c>
      <c r="E1741" s="7">
        <f t="shared" si="54"/>
        <v>34390.116200000004</v>
      </c>
      <c r="F1741" s="7">
        <f t="shared" si="55"/>
        <v>3024121</v>
      </c>
      <c r="G1741" s="7"/>
    </row>
    <row r="1742" spans="1:7" x14ac:dyDescent="0.35">
      <c r="A1742" t="str">
        <f>"2012-01-25"</f>
        <v>2012-01-25</v>
      </c>
      <c r="B1742" t="str">
        <f>"19.2433"</f>
        <v>19.2433</v>
      </c>
      <c r="C1742">
        <v>1740</v>
      </c>
      <c r="D1742" s="7">
        <v>19.243300000000001</v>
      </c>
      <c r="E1742" s="7">
        <f t="shared" si="54"/>
        <v>33483.342000000004</v>
      </c>
      <c r="F1742" s="7">
        <f t="shared" si="55"/>
        <v>3027600</v>
      </c>
      <c r="G1742" s="7"/>
    </row>
    <row r="1743" spans="1:7" x14ac:dyDescent="0.35">
      <c r="A1743" t="str">
        <f>"2012-01-26"</f>
        <v>2012-01-26</v>
      </c>
      <c r="B1743" t="str">
        <f>"20.1442"</f>
        <v>20.1442</v>
      </c>
      <c r="C1743">
        <v>1741</v>
      </c>
      <c r="D1743" s="7">
        <v>20.144200000000001</v>
      </c>
      <c r="E1743" s="7">
        <f t="shared" si="54"/>
        <v>35071.052200000006</v>
      </c>
      <c r="F1743" s="7">
        <f t="shared" si="55"/>
        <v>3031081</v>
      </c>
      <c r="G1743" s="7"/>
    </row>
    <row r="1744" spans="1:7" x14ac:dyDescent="0.35">
      <c r="A1744" t="str">
        <f>"2012-01-27"</f>
        <v>2012-01-27</v>
      </c>
      <c r="B1744" t="str">
        <f>"20.3007"</f>
        <v>20.3007</v>
      </c>
      <c r="C1744">
        <v>1742</v>
      </c>
      <c r="D1744" s="7">
        <v>20.300699999999999</v>
      </c>
      <c r="E1744" s="7">
        <f t="shared" si="54"/>
        <v>35363.8194</v>
      </c>
      <c r="F1744" s="7">
        <f t="shared" si="55"/>
        <v>3034564</v>
      </c>
      <c r="G1744" s="7"/>
    </row>
    <row r="1745" spans="1:7" x14ac:dyDescent="0.35">
      <c r="A1745" t="str">
        <f>"2012-01-30"</f>
        <v>2012-01-30</v>
      </c>
      <c r="B1745" t="str">
        <f>"20.8895"</f>
        <v>20.8895</v>
      </c>
      <c r="C1745">
        <v>1743</v>
      </c>
      <c r="D1745" s="7">
        <v>20.889500000000002</v>
      </c>
      <c r="E1745" s="7">
        <f t="shared" si="54"/>
        <v>36410.398500000003</v>
      </c>
      <c r="F1745" s="7">
        <f t="shared" si="55"/>
        <v>3038049</v>
      </c>
      <c r="G1745" s="7"/>
    </row>
    <row r="1746" spans="1:7" x14ac:dyDescent="0.35">
      <c r="A1746" t="str">
        <f>"2012-01-31"</f>
        <v>2012-01-31</v>
      </c>
      <c r="B1746" t="str">
        <f>"20.4773"</f>
        <v>20.4773</v>
      </c>
      <c r="C1746">
        <v>1744</v>
      </c>
      <c r="D1746" s="7">
        <v>20.4773</v>
      </c>
      <c r="E1746" s="7">
        <f t="shared" si="54"/>
        <v>35712.411200000002</v>
      </c>
      <c r="F1746" s="7">
        <f t="shared" si="55"/>
        <v>3041536</v>
      </c>
      <c r="G1746" s="7"/>
    </row>
    <row r="1747" spans="1:7" x14ac:dyDescent="0.35">
      <c r="A1747" t="str">
        <f>"2012-02-01"</f>
        <v>2012-02-01</v>
      </c>
      <c r="B1747" t="str">
        <f>"21.8113"</f>
        <v>21.8113</v>
      </c>
      <c r="C1747">
        <v>1745</v>
      </c>
      <c r="D1747" s="7">
        <v>21.811299999999999</v>
      </c>
      <c r="E1747" s="7">
        <f t="shared" si="54"/>
        <v>38060.718499999995</v>
      </c>
      <c r="F1747" s="7">
        <f t="shared" si="55"/>
        <v>3045025</v>
      </c>
      <c r="G1747" s="7"/>
    </row>
    <row r="1748" spans="1:7" x14ac:dyDescent="0.35">
      <c r="A1748" t="str">
        <f>"2012-02-02"</f>
        <v>2012-02-02</v>
      </c>
      <c r="B1748" t="str">
        <f>"23.1641"</f>
        <v>23.1641</v>
      </c>
      <c r="C1748">
        <v>1746</v>
      </c>
      <c r="D1748" s="7">
        <v>23.164100000000001</v>
      </c>
      <c r="E1748" s="7">
        <f t="shared" si="54"/>
        <v>40444.518600000003</v>
      </c>
      <c r="F1748" s="7">
        <f t="shared" si="55"/>
        <v>3048516</v>
      </c>
      <c r="G1748" s="7"/>
    </row>
    <row r="1749" spans="1:7" x14ac:dyDescent="0.35">
      <c r="A1749" t="str">
        <f>"2012-02-03"</f>
        <v>2012-02-03</v>
      </c>
      <c r="B1749" t="str">
        <f>"23.9209"</f>
        <v>23.9209</v>
      </c>
      <c r="C1749">
        <v>1747</v>
      </c>
      <c r="D1749" s="7">
        <v>23.9209</v>
      </c>
      <c r="E1749" s="7">
        <f t="shared" si="54"/>
        <v>41789.812299999998</v>
      </c>
      <c r="F1749" s="7">
        <f t="shared" si="55"/>
        <v>3052009</v>
      </c>
      <c r="G1749" s="7"/>
    </row>
    <row r="1750" spans="1:7" x14ac:dyDescent="0.35">
      <c r="A1750" t="str">
        <f>"2012-02-06"</f>
        <v>2012-02-06</v>
      </c>
      <c r="B1750" t="str">
        <f>"24.9079"</f>
        <v>24.9079</v>
      </c>
      <c r="C1750">
        <v>1748</v>
      </c>
      <c r="D1750" s="7">
        <v>24.907900000000001</v>
      </c>
      <c r="E1750" s="7">
        <f t="shared" si="54"/>
        <v>43539.0092</v>
      </c>
      <c r="F1750" s="7">
        <f t="shared" si="55"/>
        <v>3055504</v>
      </c>
      <c r="G1750" s="7"/>
    </row>
    <row r="1751" spans="1:7" x14ac:dyDescent="0.35">
      <c r="A1751" t="str">
        <f>"2012-02-07"</f>
        <v>2012-02-07</v>
      </c>
      <c r="B1751" t="str">
        <f>"24.2425"</f>
        <v>24.2425</v>
      </c>
      <c r="C1751">
        <v>1749</v>
      </c>
      <c r="D1751" s="7">
        <v>24.2425</v>
      </c>
      <c r="E1751" s="7">
        <f t="shared" si="54"/>
        <v>42400.1325</v>
      </c>
      <c r="F1751" s="7">
        <f t="shared" si="55"/>
        <v>3059001</v>
      </c>
      <c r="G1751" s="7"/>
    </row>
    <row r="1752" spans="1:7" x14ac:dyDescent="0.35">
      <c r="A1752" t="str">
        <f>"2012-02-08"</f>
        <v>2012-02-08</v>
      </c>
      <c r="B1752" t="str">
        <f>"24.8029"</f>
        <v>24.8029</v>
      </c>
      <c r="C1752">
        <v>1750</v>
      </c>
      <c r="D1752" s="7">
        <v>24.802900000000001</v>
      </c>
      <c r="E1752" s="7">
        <f t="shared" si="54"/>
        <v>43405.075000000004</v>
      </c>
      <c r="F1752" s="7">
        <f t="shared" si="55"/>
        <v>3062500</v>
      </c>
      <c r="G1752" s="7"/>
    </row>
    <row r="1753" spans="1:7" x14ac:dyDescent="0.35">
      <c r="A1753" t="str">
        <f>"2012-02-09"</f>
        <v>2012-02-09</v>
      </c>
      <c r="B1753" t="str">
        <f>"23.6323"</f>
        <v>23.6323</v>
      </c>
      <c r="C1753">
        <v>1751</v>
      </c>
      <c r="D1753" s="7">
        <v>23.632300000000001</v>
      </c>
      <c r="E1753" s="7">
        <f t="shared" si="54"/>
        <v>41380.157299999999</v>
      </c>
      <c r="F1753" s="7">
        <f t="shared" si="55"/>
        <v>3066001</v>
      </c>
      <c r="G1753" s="7"/>
    </row>
    <row r="1754" spans="1:7" x14ac:dyDescent="0.35">
      <c r="A1754" t="str">
        <f>"2012-02-10"</f>
        <v>2012-02-10</v>
      </c>
      <c r="B1754" t="str">
        <f>"23.6589"</f>
        <v>23.6589</v>
      </c>
      <c r="C1754">
        <v>1752</v>
      </c>
      <c r="D1754" s="7">
        <v>23.658899999999999</v>
      </c>
      <c r="E1754" s="7">
        <f t="shared" si="54"/>
        <v>41450.392800000001</v>
      </c>
      <c r="F1754" s="7">
        <f t="shared" si="55"/>
        <v>3069504</v>
      </c>
      <c r="G1754" s="7"/>
    </row>
    <row r="1755" spans="1:7" x14ac:dyDescent="0.35">
      <c r="A1755" t="str">
        <f>"2012-02-13"</f>
        <v>2012-02-13</v>
      </c>
      <c r="B1755" t="str">
        <f>"24.3667"</f>
        <v>24.3667</v>
      </c>
      <c r="C1755">
        <v>1753</v>
      </c>
      <c r="D1755" s="7">
        <v>24.366700000000002</v>
      </c>
      <c r="E1755" s="7">
        <f t="shared" si="54"/>
        <v>42714.825100000002</v>
      </c>
      <c r="F1755" s="7">
        <f t="shared" si="55"/>
        <v>3073009</v>
      </c>
      <c r="G1755" s="7"/>
    </row>
    <row r="1756" spans="1:7" x14ac:dyDescent="0.35">
      <c r="A1756" t="str">
        <f>"2012-02-14"</f>
        <v>2012-02-14</v>
      </c>
      <c r="B1756" t="str">
        <f>"23.9066"</f>
        <v>23.9066</v>
      </c>
      <c r="C1756">
        <v>1754</v>
      </c>
      <c r="D1756" s="7">
        <v>23.906600000000001</v>
      </c>
      <c r="E1756" s="7">
        <f t="shared" si="54"/>
        <v>41932.176400000004</v>
      </c>
      <c r="F1756" s="7">
        <f t="shared" si="55"/>
        <v>3076516</v>
      </c>
      <c r="G1756" s="7"/>
    </row>
    <row r="1757" spans="1:7" x14ac:dyDescent="0.35">
      <c r="A1757" t="str">
        <f>"2012-02-15"</f>
        <v>2012-02-15</v>
      </c>
      <c r="B1757" t="str">
        <f>"24.1118"</f>
        <v>24.1118</v>
      </c>
      <c r="C1757">
        <v>1755</v>
      </c>
      <c r="D1757" s="7">
        <v>24.111799999999999</v>
      </c>
      <c r="E1757" s="7">
        <f t="shared" si="54"/>
        <v>42316.208999999995</v>
      </c>
      <c r="F1757" s="7">
        <f t="shared" si="55"/>
        <v>3080025</v>
      </c>
      <c r="G1757" s="7"/>
    </row>
    <row r="1758" spans="1:7" x14ac:dyDescent="0.35">
      <c r="A1758" t="str">
        <f>"2012-02-16"</f>
        <v>2012-02-16</v>
      </c>
      <c r="B1758" t="str">
        <f>"23.9873"</f>
        <v>23.9873</v>
      </c>
      <c r="C1758">
        <v>1756</v>
      </c>
      <c r="D1758" s="7">
        <v>23.987300000000001</v>
      </c>
      <c r="E1758" s="7">
        <f t="shared" si="54"/>
        <v>42121.698800000006</v>
      </c>
      <c r="F1758" s="7">
        <f t="shared" si="55"/>
        <v>3083536</v>
      </c>
      <c r="G1758" s="7"/>
    </row>
    <row r="1759" spans="1:7" x14ac:dyDescent="0.35">
      <c r="A1759" t="str">
        <f>"2012-02-17"</f>
        <v>2012-02-17</v>
      </c>
      <c r="B1759" t="str">
        <f>"24.5851"</f>
        <v>24.5851</v>
      </c>
      <c r="C1759">
        <v>1757</v>
      </c>
      <c r="D1759" s="7">
        <v>24.585100000000001</v>
      </c>
      <c r="E1759" s="7">
        <f t="shared" si="54"/>
        <v>43196.020700000001</v>
      </c>
      <c r="F1759" s="7">
        <f t="shared" si="55"/>
        <v>3087049</v>
      </c>
      <c r="G1759" s="7"/>
    </row>
    <row r="1760" spans="1:7" x14ac:dyDescent="0.35">
      <c r="A1760" t="str">
        <f>"2012-02-21"</f>
        <v>2012-02-21</v>
      </c>
      <c r="B1760" t="str">
        <f>"25.4279"</f>
        <v>25.4279</v>
      </c>
      <c r="C1760">
        <v>1758</v>
      </c>
      <c r="D1760" s="7">
        <v>25.427900000000001</v>
      </c>
      <c r="E1760" s="7">
        <f t="shared" si="54"/>
        <v>44702.248200000002</v>
      </c>
      <c r="F1760" s="7">
        <f t="shared" si="55"/>
        <v>3090564</v>
      </c>
      <c r="G1760" s="7"/>
    </row>
    <row r="1761" spans="1:7" x14ac:dyDescent="0.35">
      <c r="A1761" t="str">
        <f>"2012-02-22"</f>
        <v>2012-02-22</v>
      </c>
      <c r="B1761" t="str">
        <f>"24.349"</f>
        <v>24.349</v>
      </c>
      <c r="C1761">
        <v>1759</v>
      </c>
      <c r="D1761" s="7">
        <v>24.349</v>
      </c>
      <c r="E1761" s="7">
        <f t="shared" si="54"/>
        <v>42829.891000000003</v>
      </c>
      <c r="F1761" s="7">
        <f t="shared" si="55"/>
        <v>3094081</v>
      </c>
      <c r="G1761" s="7"/>
    </row>
    <row r="1762" spans="1:7" x14ac:dyDescent="0.35">
      <c r="A1762" t="str">
        <f>"2012-02-23"</f>
        <v>2012-02-23</v>
      </c>
      <c r="B1762" t="str">
        <f>"23.4649"</f>
        <v>23.4649</v>
      </c>
      <c r="C1762">
        <v>1760</v>
      </c>
      <c r="D1762" s="7">
        <v>23.4649</v>
      </c>
      <c r="E1762" s="7">
        <f t="shared" si="54"/>
        <v>41298.224000000002</v>
      </c>
      <c r="F1762" s="7">
        <f t="shared" si="55"/>
        <v>3097600</v>
      </c>
      <c r="G1762" s="7"/>
    </row>
    <row r="1763" spans="1:7" x14ac:dyDescent="0.35">
      <c r="A1763" t="str">
        <f>"2012-02-24"</f>
        <v>2012-02-24</v>
      </c>
      <c r="B1763" t="str">
        <f>"23.6005"</f>
        <v>23.6005</v>
      </c>
      <c r="C1763">
        <v>1761</v>
      </c>
      <c r="D1763" s="7">
        <v>23.6005</v>
      </c>
      <c r="E1763" s="7">
        <f t="shared" si="54"/>
        <v>41560.480499999998</v>
      </c>
      <c r="F1763" s="7">
        <f t="shared" si="55"/>
        <v>3101121</v>
      </c>
      <c r="G1763" s="7"/>
    </row>
    <row r="1764" spans="1:7" x14ac:dyDescent="0.35">
      <c r="A1764" t="str">
        <f>"2012-02-27"</f>
        <v>2012-02-27</v>
      </c>
      <c r="B1764" t="str">
        <f>"22.2475"</f>
        <v>22.2475</v>
      </c>
      <c r="C1764">
        <v>1762</v>
      </c>
      <c r="D1764" s="7">
        <v>22.247499999999999</v>
      </c>
      <c r="E1764" s="7">
        <f t="shared" si="54"/>
        <v>39200.095000000001</v>
      </c>
      <c r="F1764" s="7">
        <f t="shared" si="55"/>
        <v>3104644</v>
      </c>
      <c r="G1764" s="7"/>
    </row>
    <row r="1765" spans="1:7" x14ac:dyDescent="0.35">
      <c r="A1765" t="str">
        <f>"2012-02-28"</f>
        <v>2012-02-28</v>
      </c>
      <c r="B1765" t="str">
        <f>"22.5642"</f>
        <v>22.5642</v>
      </c>
      <c r="C1765">
        <v>1763</v>
      </c>
      <c r="D1765" s="7">
        <v>22.5642</v>
      </c>
      <c r="E1765" s="7">
        <f t="shared" si="54"/>
        <v>39780.684600000001</v>
      </c>
      <c r="F1765" s="7">
        <f t="shared" si="55"/>
        <v>3108169</v>
      </c>
      <c r="G1765" s="7"/>
    </row>
    <row r="1766" spans="1:7" x14ac:dyDescent="0.35">
      <c r="A1766" t="str">
        <f>"2012-02-29"</f>
        <v>2012-02-29</v>
      </c>
      <c r="B1766" t="str">
        <f>"24.0359"</f>
        <v>24.0359</v>
      </c>
      <c r="C1766">
        <v>1764</v>
      </c>
      <c r="D1766" s="7">
        <v>24.035900000000002</v>
      </c>
      <c r="E1766" s="7">
        <f t="shared" si="54"/>
        <v>42399.327600000004</v>
      </c>
      <c r="F1766" s="7">
        <f t="shared" si="55"/>
        <v>3111696</v>
      </c>
      <c r="G1766" s="7"/>
    </row>
    <row r="1767" spans="1:7" x14ac:dyDescent="0.35">
      <c r="A1767" t="str">
        <f>"2012-03-01"</f>
        <v>2012-03-01</v>
      </c>
      <c r="B1767" t="str">
        <f>"23.6372"</f>
        <v>23.6372</v>
      </c>
      <c r="C1767">
        <v>1765</v>
      </c>
      <c r="D1767" s="7">
        <v>23.6372</v>
      </c>
      <c r="E1767" s="7">
        <f t="shared" si="54"/>
        <v>41719.658000000003</v>
      </c>
      <c r="F1767" s="7">
        <f t="shared" si="55"/>
        <v>3115225</v>
      </c>
      <c r="G1767" s="7"/>
    </row>
    <row r="1768" spans="1:7" x14ac:dyDescent="0.35">
      <c r="A1768" t="str">
        <f>"2012-03-02"</f>
        <v>2012-03-02</v>
      </c>
      <c r="B1768" t="str">
        <f>"23.6721"</f>
        <v>23.6721</v>
      </c>
      <c r="C1768">
        <v>1766</v>
      </c>
      <c r="D1768" s="7">
        <v>23.6721</v>
      </c>
      <c r="E1768" s="7">
        <f t="shared" si="54"/>
        <v>41804.928599999999</v>
      </c>
      <c r="F1768" s="7">
        <f t="shared" si="55"/>
        <v>3118756</v>
      </c>
      <c r="G1768" s="7"/>
    </row>
    <row r="1769" spans="1:7" x14ac:dyDescent="0.35">
      <c r="A1769" t="str">
        <f>"2012-03-05"</f>
        <v>2012-03-05</v>
      </c>
      <c r="B1769" t="str">
        <f>"22.9218"</f>
        <v>22.9218</v>
      </c>
      <c r="C1769">
        <v>1767</v>
      </c>
      <c r="D1769" s="7">
        <v>22.921800000000001</v>
      </c>
      <c r="E1769" s="7">
        <f t="shared" si="54"/>
        <v>40502.820599999999</v>
      </c>
      <c r="F1769" s="7">
        <f t="shared" si="55"/>
        <v>3122289</v>
      </c>
      <c r="G1769" s="7"/>
    </row>
    <row r="1770" spans="1:7" x14ac:dyDescent="0.35">
      <c r="A1770" t="str">
        <f>"2012-03-06"</f>
        <v>2012-03-06</v>
      </c>
      <c r="B1770" t="str">
        <f>"23.2163"</f>
        <v>23.2163</v>
      </c>
      <c r="C1770">
        <v>1768</v>
      </c>
      <c r="D1770" s="7">
        <v>23.2163</v>
      </c>
      <c r="E1770" s="7">
        <f t="shared" si="54"/>
        <v>41046.418400000002</v>
      </c>
      <c r="F1770" s="7">
        <f t="shared" si="55"/>
        <v>3125824</v>
      </c>
      <c r="G1770" s="7"/>
    </row>
    <row r="1771" spans="1:7" x14ac:dyDescent="0.35">
      <c r="A1771" t="str">
        <f>"2012-03-07"</f>
        <v>2012-03-07</v>
      </c>
      <c r="B1771" t="str">
        <f>"22.9626"</f>
        <v>22.9626</v>
      </c>
      <c r="C1771">
        <v>1769</v>
      </c>
      <c r="D1771" s="7">
        <v>22.962599999999998</v>
      </c>
      <c r="E1771" s="7">
        <f t="shared" si="54"/>
        <v>40620.839399999997</v>
      </c>
      <c r="F1771" s="7">
        <f t="shared" si="55"/>
        <v>3129361</v>
      </c>
      <c r="G1771" s="7"/>
    </row>
    <row r="1772" spans="1:7" x14ac:dyDescent="0.35">
      <c r="A1772" t="str">
        <f>"2012-03-08"</f>
        <v>2012-03-08</v>
      </c>
      <c r="B1772" t="str">
        <f>"22.7293"</f>
        <v>22.7293</v>
      </c>
      <c r="C1772">
        <v>1770</v>
      </c>
      <c r="D1772" s="7">
        <v>22.729299999999999</v>
      </c>
      <c r="E1772" s="7">
        <f t="shared" si="54"/>
        <v>40230.860999999997</v>
      </c>
      <c r="F1772" s="7">
        <f t="shared" si="55"/>
        <v>3132900</v>
      </c>
      <c r="G1772" s="7"/>
    </row>
    <row r="1773" spans="1:7" x14ac:dyDescent="0.35">
      <c r="A1773" t="str">
        <f>"2012-03-09"</f>
        <v>2012-03-09</v>
      </c>
      <c r="B1773" t="str">
        <f>"22.4548"</f>
        <v>22.4548</v>
      </c>
      <c r="C1773">
        <v>1771</v>
      </c>
      <c r="D1773" s="7">
        <v>22.454799999999999</v>
      </c>
      <c r="E1773" s="7">
        <f t="shared" si="54"/>
        <v>39767.450799999999</v>
      </c>
      <c r="F1773" s="7">
        <f t="shared" si="55"/>
        <v>3136441</v>
      </c>
      <c r="G1773" s="7"/>
    </row>
    <row r="1774" spans="1:7" x14ac:dyDescent="0.35">
      <c r="A1774" t="str">
        <f>"2012-03-12"</f>
        <v>2012-03-12</v>
      </c>
      <c r="B1774" t="str">
        <f>"22.1184"</f>
        <v>22.1184</v>
      </c>
      <c r="C1774">
        <v>1772</v>
      </c>
      <c r="D1774" s="7">
        <v>22.118400000000001</v>
      </c>
      <c r="E1774" s="7">
        <f t="shared" si="54"/>
        <v>39193.804800000005</v>
      </c>
      <c r="F1774" s="7">
        <f t="shared" si="55"/>
        <v>3139984</v>
      </c>
      <c r="G1774" s="7"/>
    </row>
    <row r="1775" spans="1:7" x14ac:dyDescent="0.35">
      <c r="A1775" t="str">
        <f>"2012-03-13"</f>
        <v>2012-03-13</v>
      </c>
      <c r="B1775" t="str">
        <f>"22.0838"</f>
        <v>22.0838</v>
      </c>
      <c r="C1775">
        <v>1773</v>
      </c>
      <c r="D1775" s="7">
        <v>22.0838</v>
      </c>
      <c r="E1775" s="7">
        <f t="shared" si="54"/>
        <v>39154.577400000002</v>
      </c>
      <c r="F1775" s="7">
        <f t="shared" si="55"/>
        <v>3143529</v>
      </c>
      <c r="G1775" s="7"/>
    </row>
    <row r="1776" spans="1:7" x14ac:dyDescent="0.35">
      <c r="A1776" t="str">
        <f>"2012-03-14"</f>
        <v>2012-03-14</v>
      </c>
      <c r="B1776" t="str">
        <f>"23.4224"</f>
        <v>23.4224</v>
      </c>
      <c r="C1776">
        <v>1774</v>
      </c>
      <c r="D1776" s="7">
        <v>23.4224</v>
      </c>
      <c r="E1776" s="7">
        <f t="shared" si="54"/>
        <v>41551.337599999999</v>
      </c>
      <c r="F1776" s="7">
        <f t="shared" si="55"/>
        <v>3147076</v>
      </c>
      <c r="G1776" s="7"/>
    </row>
    <row r="1777" spans="1:7" x14ac:dyDescent="0.35">
      <c r="A1777" t="str">
        <f>"2012-03-15"</f>
        <v>2012-03-15</v>
      </c>
      <c r="B1777" t="str">
        <f>"23.4781"</f>
        <v>23.4781</v>
      </c>
      <c r="C1777">
        <v>1775</v>
      </c>
      <c r="D1777" s="7">
        <v>23.478100000000001</v>
      </c>
      <c r="E1777" s="7">
        <f t="shared" si="54"/>
        <v>41673.627500000002</v>
      </c>
      <c r="F1777" s="7">
        <f t="shared" si="55"/>
        <v>3150625</v>
      </c>
      <c r="G1777" s="7"/>
    </row>
    <row r="1778" spans="1:7" x14ac:dyDescent="0.35">
      <c r="A1778" t="str">
        <f>"2012-03-16"</f>
        <v>2012-03-16</v>
      </c>
      <c r="B1778" t="str">
        <f>"24.1125"</f>
        <v>24.1125</v>
      </c>
      <c r="C1778">
        <v>1776</v>
      </c>
      <c r="D1778" s="7">
        <v>24.112500000000001</v>
      </c>
      <c r="E1778" s="7">
        <f t="shared" si="54"/>
        <v>42823.8</v>
      </c>
      <c r="F1778" s="7">
        <f t="shared" si="55"/>
        <v>3154176</v>
      </c>
      <c r="G1778" s="7"/>
    </row>
    <row r="1779" spans="1:7" x14ac:dyDescent="0.35">
      <c r="A1779" t="str">
        <f>"2012-03-19"</f>
        <v>2012-03-19</v>
      </c>
      <c r="B1779" t="str">
        <f>"23.7921"</f>
        <v>23.7921</v>
      </c>
      <c r="C1779">
        <v>1777</v>
      </c>
      <c r="D1779" s="7">
        <v>23.792100000000001</v>
      </c>
      <c r="E1779" s="7">
        <f t="shared" si="54"/>
        <v>42278.561700000006</v>
      </c>
      <c r="F1779" s="7">
        <f t="shared" si="55"/>
        <v>3157729</v>
      </c>
      <c r="G1779" s="7"/>
    </row>
    <row r="1780" spans="1:7" x14ac:dyDescent="0.35">
      <c r="A1780" t="str">
        <f>"2012-03-20"</f>
        <v>2012-03-20</v>
      </c>
      <c r="B1780" t="str">
        <f>"23.59"</f>
        <v>23.59</v>
      </c>
      <c r="C1780">
        <v>1778</v>
      </c>
      <c r="D1780" s="7">
        <v>23.59</v>
      </c>
      <c r="E1780" s="7">
        <f t="shared" si="54"/>
        <v>41943.019999999997</v>
      </c>
      <c r="F1780" s="7">
        <f t="shared" si="55"/>
        <v>3161284</v>
      </c>
      <c r="G1780" s="7"/>
    </row>
    <row r="1781" spans="1:7" x14ac:dyDescent="0.35">
      <c r="A1781" t="str">
        <f>"2012-03-21"</f>
        <v>2012-03-21</v>
      </c>
      <c r="B1781" t="str">
        <f>"23.6819"</f>
        <v>23.6819</v>
      </c>
      <c r="C1781">
        <v>1779</v>
      </c>
      <c r="D1781" s="7">
        <v>23.681899999999999</v>
      </c>
      <c r="E1781" s="7">
        <f t="shared" si="54"/>
        <v>42130.100099999996</v>
      </c>
      <c r="F1781" s="7">
        <f t="shared" si="55"/>
        <v>3164841</v>
      </c>
      <c r="G1781" s="7"/>
    </row>
    <row r="1782" spans="1:7" x14ac:dyDescent="0.35">
      <c r="A1782" t="str">
        <f>"2012-03-22"</f>
        <v>2012-03-22</v>
      </c>
      <c r="B1782" t="str">
        <f>"24.1705"</f>
        <v>24.1705</v>
      </c>
      <c r="C1782">
        <v>1780</v>
      </c>
      <c r="D1782" s="7">
        <v>24.170500000000001</v>
      </c>
      <c r="E1782" s="7">
        <f t="shared" si="54"/>
        <v>43023.49</v>
      </c>
      <c r="F1782" s="7">
        <f t="shared" si="55"/>
        <v>3168400</v>
      </c>
      <c r="G1782" s="7"/>
    </row>
    <row r="1783" spans="1:7" x14ac:dyDescent="0.35">
      <c r="A1783" t="str">
        <f>"2012-03-23"</f>
        <v>2012-03-23</v>
      </c>
      <c r="B1783" t="str">
        <f>"23.2308"</f>
        <v>23.2308</v>
      </c>
      <c r="C1783">
        <v>1781</v>
      </c>
      <c r="D1783" s="7">
        <v>23.230799999999999</v>
      </c>
      <c r="E1783" s="7">
        <f t="shared" si="54"/>
        <v>41374.054799999998</v>
      </c>
      <c r="F1783" s="7">
        <f t="shared" si="55"/>
        <v>3171961</v>
      </c>
      <c r="G1783" s="7"/>
    </row>
    <row r="1784" spans="1:7" x14ac:dyDescent="0.35">
      <c r="A1784" t="str">
        <f>"2012-03-26"</f>
        <v>2012-03-26</v>
      </c>
      <c r="B1784" t="str">
        <f>"23.4615"</f>
        <v>23.4615</v>
      </c>
      <c r="C1784">
        <v>1782</v>
      </c>
      <c r="D1784" s="7">
        <v>23.461500000000001</v>
      </c>
      <c r="E1784" s="7">
        <f t="shared" si="54"/>
        <v>41808.393000000004</v>
      </c>
      <c r="F1784" s="7">
        <f t="shared" si="55"/>
        <v>3175524</v>
      </c>
      <c r="G1784" s="7"/>
    </row>
    <row r="1785" spans="1:7" x14ac:dyDescent="0.35">
      <c r="A1785" t="str">
        <f>"2012-03-27"</f>
        <v>2012-03-27</v>
      </c>
      <c r="B1785" t="str">
        <f>"23.7466"</f>
        <v>23.7466</v>
      </c>
      <c r="C1785">
        <v>1783</v>
      </c>
      <c r="D1785" s="7">
        <v>23.746600000000001</v>
      </c>
      <c r="E1785" s="7">
        <f t="shared" si="54"/>
        <v>42340.1878</v>
      </c>
      <c r="F1785" s="7">
        <f t="shared" si="55"/>
        <v>3179089</v>
      </c>
      <c r="G1785" s="7"/>
    </row>
    <row r="1786" spans="1:7" x14ac:dyDescent="0.35">
      <c r="A1786" t="str">
        <f>"2012-03-28"</f>
        <v>2012-03-28</v>
      </c>
      <c r="B1786" t="str">
        <f>"23.6378"</f>
        <v>23.6378</v>
      </c>
      <c r="C1786">
        <v>1784</v>
      </c>
      <c r="D1786" s="7">
        <v>23.637799999999999</v>
      </c>
      <c r="E1786" s="7">
        <f t="shared" si="54"/>
        <v>42169.835199999994</v>
      </c>
      <c r="F1786" s="7">
        <f t="shared" si="55"/>
        <v>3182656</v>
      </c>
      <c r="G1786" s="7"/>
    </row>
    <row r="1787" spans="1:7" x14ac:dyDescent="0.35">
      <c r="A1787" t="str">
        <f>"2012-03-29"</f>
        <v>2012-03-29</v>
      </c>
      <c r="B1787" t="str">
        <f>"23.5447"</f>
        <v>23.5447</v>
      </c>
      <c r="C1787">
        <v>1785</v>
      </c>
      <c r="D1787" s="7">
        <v>23.544699999999999</v>
      </c>
      <c r="E1787" s="7">
        <f t="shared" si="54"/>
        <v>42027.289499999999</v>
      </c>
      <c r="F1787" s="7">
        <f t="shared" si="55"/>
        <v>3186225</v>
      </c>
      <c r="G1787" s="7"/>
    </row>
    <row r="1788" spans="1:7" x14ac:dyDescent="0.35">
      <c r="A1788" t="str">
        <f>"2012-03-30"</f>
        <v>2012-03-30</v>
      </c>
      <c r="B1788" t="str">
        <f>"23.6159"</f>
        <v>23.6159</v>
      </c>
      <c r="C1788">
        <v>1786</v>
      </c>
      <c r="D1788" s="7">
        <v>23.6159</v>
      </c>
      <c r="E1788" s="7">
        <f t="shared" si="54"/>
        <v>42177.9974</v>
      </c>
      <c r="F1788" s="7">
        <f t="shared" si="55"/>
        <v>3189796</v>
      </c>
      <c r="G1788" s="7"/>
    </row>
    <row r="1789" spans="1:7" x14ac:dyDescent="0.35">
      <c r="A1789" t="str">
        <f>"2012-04-02"</f>
        <v>2012-04-02</v>
      </c>
      <c r="B1789" t="str">
        <f>"24.0089"</f>
        <v>24.0089</v>
      </c>
      <c r="C1789">
        <v>1787</v>
      </c>
      <c r="D1789" s="7">
        <v>24.008900000000001</v>
      </c>
      <c r="E1789" s="7">
        <f t="shared" si="54"/>
        <v>42903.904300000002</v>
      </c>
      <c r="F1789" s="7">
        <f t="shared" si="55"/>
        <v>3193369</v>
      </c>
      <c r="G1789" s="7"/>
    </row>
    <row r="1790" spans="1:7" x14ac:dyDescent="0.35">
      <c r="A1790" t="str">
        <f>"2012-04-03"</f>
        <v>2012-04-03</v>
      </c>
      <c r="B1790" t="str">
        <f>"24.6327"</f>
        <v>24.6327</v>
      </c>
      <c r="C1790">
        <v>1788</v>
      </c>
      <c r="D1790" s="7">
        <v>24.6327</v>
      </c>
      <c r="E1790" s="7">
        <f t="shared" si="54"/>
        <v>44043.267599999999</v>
      </c>
      <c r="F1790" s="7">
        <f t="shared" si="55"/>
        <v>3196944</v>
      </c>
      <c r="G1790" s="7"/>
    </row>
    <row r="1791" spans="1:7" x14ac:dyDescent="0.35">
      <c r="A1791" t="str">
        <f>"2012-04-04"</f>
        <v>2012-04-04</v>
      </c>
      <c r="B1791" t="str">
        <f>"24.956"</f>
        <v>24.956</v>
      </c>
      <c r="C1791">
        <v>1789</v>
      </c>
      <c r="D1791" s="7">
        <v>24.956</v>
      </c>
      <c r="E1791" s="7">
        <f t="shared" si="54"/>
        <v>44646.284</v>
      </c>
      <c r="F1791" s="7">
        <f t="shared" si="55"/>
        <v>3200521</v>
      </c>
      <c r="G1791" s="7"/>
    </row>
    <row r="1792" spans="1:7" x14ac:dyDescent="0.35">
      <c r="A1792" t="str">
        <f>"2012-04-05"</f>
        <v>2012-04-05</v>
      </c>
      <c r="B1792" t="str">
        <f>"24.5574"</f>
        <v>24.5574</v>
      </c>
      <c r="C1792">
        <v>1790</v>
      </c>
      <c r="D1792" s="7">
        <v>24.557400000000001</v>
      </c>
      <c r="E1792" s="7">
        <f t="shared" si="54"/>
        <v>43957.745999999999</v>
      </c>
      <c r="F1792" s="7">
        <f t="shared" si="55"/>
        <v>3204100</v>
      </c>
      <c r="G1792" s="7"/>
    </row>
    <row r="1793" spans="1:7" x14ac:dyDescent="0.35">
      <c r="A1793" t="str">
        <f>"2012-04-09"</f>
        <v>2012-04-09</v>
      </c>
      <c r="B1793" t="str">
        <f>"24.2454"</f>
        <v>24.2454</v>
      </c>
      <c r="C1793">
        <v>1791</v>
      </c>
      <c r="D1793" s="7">
        <v>24.2454</v>
      </c>
      <c r="E1793" s="7">
        <f t="shared" si="54"/>
        <v>43423.511400000003</v>
      </c>
      <c r="F1793" s="7">
        <f t="shared" si="55"/>
        <v>3207681</v>
      </c>
      <c r="G1793" s="7"/>
    </row>
    <row r="1794" spans="1:7" x14ac:dyDescent="0.35">
      <c r="A1794" t="str">
        <f>"2012-04-10"</f>
        <v>2012-04-10</v>
      </c>
      <c r="B1794" t="str">
        <f>"23.6663"</f>
        <v>23.6663</v>
      </c>
      <c r="C1794">
        <v>1792</v>
      </c>
      <c r="D1794" s="7">
        <v>23.6663</v>
      </c>
      <c r="E1794" s="7">
        <f t="shared" si="54"/>
        <v>42410.009599999998</v>
      </c>
      <c r="F1794" s="7">
        <f t="shared" si="55"/>
        <v>3211264</v>
      </c>
      <c r="G1794" s="7"/>
    </row>
    <row r="1795" spans="1:7" x14ac:dyDescent="0.35">
      <c r="A1795" t="str">
        <f>"2012-04-11"</f>
        <v>2012-04-11</v>
      </c>
      <c r="B1795" t="str">
        <f>"23.836"</f>
        <v>23.836</v>
      </c>
      <c r="C1795">
        <v>1793</v>
      </c>
      <c r="D1795" s="7">
        <v>23.835999999999999</v>
      </c>
      <c r="E1795" s="7">
        <f t="shared" si="54"/>
        <v>42737.947999999997</v>
      </c>
      <c r="F1795" s="7">
        <f t="shared" si="55"/>
        <v>3214849</v>
      </c>
      <c r="G1795" s="7"/>
    </row>
    <row r="1796" spans="1:7" x14ac:dyDescent="0.35">
      <c r="A1796" t="str">
        <f>"2012-04-12"</f>
        <v>2012-04-12</v>
      </c>
      <c r="B1796" t="str">
        <f>"24.5147"</f>
        <v>24.5147</v>
      </c>
      <c r="C1796">
        <v>1794</v>
      </c>
      <c r="D1796" s="7">
        <v>24.514700000000001</v>
      </c>
      <c r="E1796" s="7">
        <f t="shared" ref="E1796:E1859" si="56">C1796*D1796</f>
        <v>43979.371800000001</v>
      </c>
      <c r="F1796" s="7">
        <f t="shared" ref="F1796:F1859" si="57">C1796*C1796</f>
        <v>3218436</v>
      </c>
      <c r="G1796" s="7"/>
    </row>
    <row r="1797" spans="1:7" x14ac:dyDescent="0.35">
      <c r="A1797" t="str">
        <f>"2012-04-13"</f>
        <v>2012-04-13</v>
      </c>
      <c r="B1797" t="str">
        <f>"25.9179"</f>
        <v>25.9179</v>
      </c>
      <c r="C1797">
        <v>1795</v>
      </c>
      <c r="D1797" s="7">
        <v>25.917899999999999</v>
      </c>
      <c r="E1797" s="7">
        <f t="shared" si="56"/>
        <v>46522.630499999999</v>
      </c>
      <c r="F1797" s="7">
        <f t="shared" si="57"/>
        <v>3222025</v>
      </c>
      <c r="G1797" s="7"/>
    </row>
    <row r="1798" spans="1:7" x14ac:dyDescent="0.35">
      <c r="A1798" t="str">
        <f>"2012-04-16"</f>
        <v>2012-04-16</v>
      </c>
      <c r="B1798" t="str">
        <f>"25.7551"</f>
        <v>25.7551</v>
      </c>
      <c r="C1798">
        <v>1796</v>
      </c>
      <c r="D1798" s="7">
        <v>25.755099999999999</v>
      </c>
      <c r="E1798" s="7">
        <f t="shared" si="56"/>
        <v>46256.159599999999</v>
      </c>
      <c r="F1798" s="7">
        <f t="shared" si="57"/>
        <v>3225616</v>
      </c>
      <c r="G1798" s="7"/>
    </row>
    <row r="1799" spans="1:7" x14ac:dyDescent="0.35">
      <c r="A1799" t="str">
        <f>"2012-04-17"</f>
        <v>2012-04-17</v>
      </c>
      <c r="B1799" t="str">
        <f>"25.4579"</f>
        <v>25.4579</v>
      </c>
      <c r="C1799">
        <v>1797</v>
      </c>
      <c r="D1799" s="7">
        <v>25.457899999999999</v>
      </c>
      <c r="E1799" s="7">
        <f t="shared" si="56"/>
        <v>45747.846299999997</v>
      </c>
      <c r="F1799" s="7">
        <f t="shared" si="57"/>
        <v>3229209</v>
      </c>
      <c r="G1799" s="7"/>
    </row>
    <row r="1800" spans="1:7" x14ac:dyDescent="0.35">
      <c r="A1800" t="str">
        <f>"2012-04-18"</f>
        <v>2012-04-18</v>
      </c>
      <c r="B1800" t="str">
        <f>"25.2087"</f>
        <v>25.2087</v>
      </c>
      <c r="C1800">
        <v>1798</v>
      </c>
      <c r="D1800" s="7">
        <v>25.2087</v>
      </c>
      <c r="E1800" s="7">
        <f t="shared" si="56"/>
        <v>45325.242599999998</v>
      </c>
      <c r="F1800" s="7">
        <f t="shared" si="57"/>
        <v>3232804</v>
      </c>
      <c r="G1800" s="7"/>
    </row>
    <row r="1801" spans="1:7" x14ac:dyDescent="0.35">
      <c r="A1801" t="str">
        <f>"2012-04-19"</f>
        <v>2012-04-19</v>
      </c>
      <c r="B1801" t="str">
        <f>"24.742"</f>
        <v>24.742</v>
      </c>
      <c r="C1801">
        <v>1799</v>
      </c>
      <c r="D1801" s="7">
        <v>24.742000000000001</v>
      </c>
      <c r="E1801" s="7">
        <f t="shared" si="56"/>
        <v>44510.858</v>
      </c>
      <c r="F1801" s="7">
        <f t="shared" si="57"/>
        <v>3236401</v>
      </c>
      <c r="G1801" s="7"/>
    </row>
    <row r="1802" spans="1:7" x14ac:dyDescent="0.35">
      <c r="A1802" t="str">
        <f>"2012-04-20"</f>
        <v>2012-04-20</v>
      </c>
      <c r="B1802" t="str">
        <f>"24.8191"</f>
        <v>24.8191</v>
      </c>
      <c r="C1802">
        <v>1800</v>
      </c>
      <c r="D1802" s="7">
        <v>24.819099999999999</v>
      </c>
      <c r="E1802" s="7">
        <f t="shared" si="56"/>
        <v>44674.38</v>
      </c>
      <c r="F1802" s="7">
        <f t="shared" si="57"/>
        <v>3240000</v>
      </c>
      <c r="G1802" s="7"/>
    </row>
    <row r="1803" spans="1:7" x14ac:dyDescent="0.35">
      <c r="A1803" t="str">
        <f>"2012-04-23"</f>
        <v>2012-04-23</v>
      </c>
      <c r="B1803" t="str">
        <f>"24.9979"</f>
        <v>24.9979</v>
      </c>
      <c r="C1803">
        <v>1801</v>
      </c>
      <c r="D1803" s="7">
        <v>24.997900000000001</v>
      </c>
      <c r="E1803" s="7">
        <f t="shared" si="56"/>
        <v>45021.217900000003</v>
      </c>
      <c r="F1803" s="7">
        <f t="shared" si="57"/>
        <v>3243601</v>
      </c>
      <c r="G1803" s="7"/>
    </row>
    <row r="1804" spans="1:7" x14ac:dyDescent="0.35">
      <c r="A1804" t="str">
        <f>"2012-04-24"</f>
        <v>2012-04-24</v>
      </c>
      <c r="B1804" t="str">
        <f>"24.1247"</f>
        <v>24.1247</v>
      </c>
      <c r="C1804">
        <v>1802</v>
      </c>
      <c r="D1804" s="7">
        <v>24.124700000000001</v>
      </c>
      <c r="E1804" s="7">
        <f t="shared" si="56"/>
        <v>43472.7094</v>
      </c>
      <c r="F1804" s="7">
        <f t="shared" si="57"/>
        <v>3247204</v>
      </c>
      <c r="G1804" s="7"/>
    </row>
    <row r="1805" spans="1:7" x14ac:dyDescent="0.35">
      <c r="A1805" t="str">
        <f>"2012-04-25"</f>
        <v>2012-04-25</v>
      </c>
      <c r="B1805" t="str">
        <f>"24.53"</f>
        <v>24.53</v>
      </c>
      <c r="C1805">
        <v>1803</v>
      </c>
      <c r="D1805" s="7">
        <v>24.53</v>
      </c>
      <c r="E1805" s="7">
        <f t="shared" si="56"/>
        <v>44227.590000000004</v>
      </c>
      <c r="F1805" s="7">
        <f t="shared" si="57"/>
        <v>3250809</v>
      </c>
      <c r="G1805" s="7"/>
    </row>
    <row r="1806" spans="1:7" x14ac:dyDescent="0.35">
      <c r="A1806" t="str">
        <f>"2012-04-26"</f>
        <v>2012-04-26</v>
      </c>
      <c r="B1806" t="str">
        <f>"25.0539"</f>
        <v>25.0539</v>
      </c>
      <c r="C1806">
        <v>1804</v>
      </c>
      <c r="D1806" s="7">
        <v>25.053899999999999</v>
      </c>
      <c r="E1806" s="7">
        <f t="shared" si="56"/>
        <v>45197.2356</v>
      </c>
      <c r="F1806" s="7">
        <f t="shared" si="57"/>
        <v>3254416</v>
      </c>
      <c r="G1806" s="7"/>
    </row>
    <row r="1807" spans="1:7" x14ac:dyDescent="0.35">
      <c r="A1807" t="str">
        <f>"2012-04-27"</f>
        <v>2012-04-27</v>
      </c>
      <c r="B1807" t="str">
        <f>"24.7779"</f>
        <v>24.7779</v>
      </c>
      <c r="C1807">
        <v>1805</v>
      </c>
      <c r="D1807" s="7">
        <v>24.777899999999999</v>
      </c>
      <c r="E1807" s="7">
        <f t="shared" si="56"/>
        <v>44724.109499999999</v>
      </c>
      <c r="F1807" s="7">
        <f t="shared" si="57"/>
        <v>3258025</v>
      </c>
      <c r="G1807" s="7"/>
    </row>
    <row r="1808" spans="1:7" x14ac:dyDescent="0.35">
      <c r="A1808" t="str">
        <f>"2012-04-30"</f>
        <v>2012-04-30</v>
      </c>
      <c r="B1808" t="str">
        <f>"24.8643"</f>
        <v>24.8643</v>
      </c>
      <c r="C1808">
        <v>1806</v>
      </c>
      <c r="D1808" s="7">
        <v>24.8643</v>
      </c>
      <c r="E1808" s="7">
        <f t="shared" si="56"/>
        <v>44904.925799999997</v>
      </c>
      <c r="F1808" s="7">
        <f t="shared" si="57"/>
        <v>3261636</v>
      </c>
      <c r="G1808" s="7"/>
    </row>
    <row r="1809" spans="1:7" x14ac:dyDescent="0.35">
      <c r="A1809" t="str">
        <f>"2012-05-01"</f>
        <v>2012-05-01</v>
      </c>
      <c r="B1809" t="str">
        <f>"24.9323"</f>
        <v>24.9323</v>
      </c>
      <c r="C1809">
        <v>1807</v>
      </c>
      <c r="D1809" s="7">
        <v>24.932300000000001</v>
      </c>
      <c r="E1809" s="7">
        <f t="shared" si="56"/>
        <v>45052.666100000002</v>
      </c>
      <c r="F1809" s="7">
        <f t="shared" si="57"/>
        <v>3265249</v>
      </c>
      <c r="G1809" s="7"/>
    </row>
    <row r="1810" spans="1:7" x14ac:dyDescent="0.35">
      <c r="A1810" t="str">
        <f>"2012-05-02"</f>
        <v>2012-05-02</v>
      </c>
      <c r="B1810" t="str">
        <f>"24.3455"</f>
        <v>24.3455</v>
      </c>
      <c r="C1810">
        <v>1808</v>
      </c>
      <c r="D1810" s="7">
        <v>24.345500000000001</v>
      </c>
      <c r="E1810" s="7">
        <f t="shared" si="56"/>
        <v>44016.664000000004</v>
      </c>
      <c r="F1810" s="7">
        <f t="shared" si="57"/>
        <v>3268864</v>
      </c>
      <c r="G1810" s="7"/>
    </row>
    <row r="1811" spans="1:7" x14ac:dyDescent="0.35">
      <c r="A1811" t="str">
        <f>"2012-05-03"</f>
        <v>2012-05-03</v>
      </c>
      <c r="B1811" t="str">
        <f>"24.8325"</f>
        <v>24.8325</v>
      </c>
      <c r="C1811">
        <v>1809</v>
      </c>
      <c r="D1811" s="7">
        <v>24.8325</v>
      </c>
      <c r="E1811" s="7">
        <f t="shared" si="56"/>
        <v>44921.9925</v>
      </c>
      <c r="F1811" s="7">
        <f t="shared" si="57"/>
        <v>3272481</v>
      </c>
      <c r="G1811" s="7"/>
    </row>
    <row r="1812" spans="1:7" x14ac:dyDescent="0.35">
      <c r="A1812" t="str">
        <f>"2012-05-04"</f>
        <v>2012-05-04</v>
      </c>
      <c r="B1812" t="str">
        <f>"25.1227"</f>
        <v>25.1227</v>
      </c>
      <c r="C1812">
        <v>1810</v>
      </c>
      <c r="D1812" s="7">
        <v>25.122699999999998</v>
      </c>
      <c r="E1812" s="7">
        <f t="shared" si="56"/>
        <v>45472.087</v>
      </c>
      <c r="F1812" s="7">
        <f t="shared" si="57"/>
        <v>3276100</v>
      </c>
      <c r="G1812" s="7"/>
    </row>
    <row r="1813" spans="1:7" x14ac:dyDescent="0.35">
      <c r="A1813" t="str">
        <f>"2012-05-07"</f>
        <v>2012-05-07</v>
      </c>
      <c r="B1813" t="str">
        <f>"25.6795"</f>
        <v>25.6795</v>
      </c>
      <c r="C1813">
        <v>1811</v>
      </c>
      <c r="D1813" s="7">
        <v>25.679500000000001</v>
      </c>
      <c r="E1813" s="7">
        <f t="shared" si="56"/>
        <v>46505.574500000002</v>
      </c>
      <c r="F1813" s="7">
        <f t="shared" si="57"/>
        <v>3279721</v>
      </c>
      <c r="G1813" s="7"/>
    </row>
    <row r="1814" spans="1:7" x14ac:dyDescent="0.35">
      <c r="A1814" t="str">
        <f>"2012-05-08"</f>
        <v>2012-05-08</v>
      </c>
      <c r="B1814" t="str">
        <f>"26.5399"</f>
        <v>26.5399</v>
      </c>
      <c r="C1814">
        <v>1812</v>
      </c>
      <c r="D1814" s="7">
        <v>26.539899999999999</v>
      </c>
      <c r="E1814" s="7">
        <f t="shared" si="56"/>
        <v>48090.298799999997</v>
      </c>
      <c r="F1814" s="7">
        <f t="shared" si="57"/>
        <v>3283344</v>
      </c>
      <c r="G1814" s="7"/>
    </row>
    <row r="1815" spans="1:7" x14ac:dyDescent="0.35">
      <c r="A1815" t="str">
        <f>"2012-05-09"</f>
        <v>2012-05-09</v>
      </c>
      <c r="B1815" t="str">
        <f>"25.7815"</f>
        <v>25.7815</v>
      </c>
      <c r="C1815">
        <v>1813</v>
      </c>
      <c r="D1815" s="7">
        <v>25.781500000000001</v>
      </c>
      <c r="E1815" s="7">
        <f t="shared" si="56"/>
        <v>46741.859499999999</v>
      </c>
      <c r="F1815" s="7">
        <f t="shared" si="57"/>
        <v>3286969</v>
      </c>
      <c r="G1815" s="7"/>
    </row>
    <row r="1816" spans="1:7" x14ac:dyDescent="0.35">
      <c r="A1816" t="str">
        <f>"2012-05-10"</f>
        <v>2012-05-10</v>
      </c>
      <c r="B1816" t="str">
        <f>"25.9931"</f>
        <v>25.9931</v>
      </c>
      <c r="C1816">
        <v>1814</v>
      </c>
      <c r="D1816" s="7">
        <v>25.993099999999998</v>
      </c>
      <c r="E1816" s="7">
        <f t="shared" si="56"/>
        <v>47151.483399999997</v>
      </c>
      <c r="F1816" s="7">
        <f t="shared" si="57"/>
        <v>3290596</v>
      </c>
      <c r="G1816" s="7"/>
    </row>
    <row r="1817" spans="1:7" x14ac:dyDescent="0.35">
      <c r="A1817" t="str">
        <f>"2012-05-11"</f>
        <v>2012-05-11</v>
      </c>
      <c r="B1817" t="str">
        <f>"26.5831"</f>
        <v>26.5831</v>
      </c>
      <c r="C1817">
        <v>1815</v>
      </c>
      <c r="D1817" s="7">
        <v>26.583100000000002</v>
      </c>
      <c r="E1817" s="7">
        <f t="shared" si="56"/>
        <v>48248.326500000003</v>
      </c>
      <c r="F1817" s="7">
        <f t="shared" si="57"/>
        <v>3294225</v>
      </c>
      <c r="G1817" s="7"/>
    </row>
    <row r="1818" spans="1:7" x14ac:dyDescent="0.35">
      <c r="A1818" t="str">
        <f>"2012-05-14"</f>
        <v>2012-05-14</v>
      </c>
      <c r="B1818" t="str">
        <f>"26.9839"</f>
        <v>26.9839</v>
      </c>
      <c r="C1818">
        <v>1816</v>
      </c>
      <c r="D1818" s="7">
        <v>26.983899999999998</v>
      </c>
      <c r="E1818" s="7">
        <f t="shared" si="56"/>
        <v>49002.7624</v>
      </c>
      <c r="F1818" s="7">
        <f t="shared" si="57"/>
        <v>3297856</v>
      </c>
      <c r="G1818" s="7"/>
    </row>
    <row r="1819" spans="1:7" x14ac:dyDescent="0.35">
      <c r="A1819" t="str">
        <f>"2012-05-15"</f>
        <v>2012-05-15</v>
      </c>
      <c r="B1819" t="str">
        <f>"26.2008"</f>
        <v>26.2008</v>
      </c>
      <c r="C1819">
        <v>1817</v>
      </c>
      <c r="D1819" s="7">
        <v>26.200800000000001</v>
      </c>
      <c r="E1819" s="7">
        <f t="shared" si="56"/>
        <v>47606.853600000002</v>
      </c>
      <c r="F1819" s="7">
        <f t="shared" si="57"/>
        <v>3301489</v>
      </c>
      <c r="G1819" s="7"/>
    </row>
    <row r="1820" spans="1:7" x14ac:dyDescent="0.35">
      <c r="A1820" t="str">
        <f>"2012-05-16"</f>
        <v>2012-05-16</v>
      </c>
      <c r="B1820" t="str">
        <f>"26.5647"</f>
        <v>26.5647</v>
      </c>
      <c r="C1820">
        <v>1818</v>
      </c>
      <c r="D1820" s="7">
        <v>26.564699999999998</v>
      </c>
      <c r="E1820" s="7">
        <f t="shared" si="56"/>
        <v>48294.624599999996</v>
      </c>
      <c r="F1820" s="7">
        <f t="shared" si="57"/>
        <v>3305124</v>
      </c>
      <c r="G1820" s="7"/>
    </row>
    <row r="1821" spans="1:7" x14ac:dyDescent="0.35">
      <c r="A1821" t="str">
        <f>"2012-05-17"</f>
        <v>2012-05-17</v>
      </c>
      <c r="B1821" t="str">
        <f>"25.5457"</f>
        <v>25.5457</v>
      </c>
      <c r="C1821">
        <v>1819</v>
      </c>
      <c r="D1821" s="7">
        <v>25.5457</v>
      </c>
      <c r="E1821" s="7">
        <f t="shared" si="56"/>
        <v>46467.628299999997</v>
      </c>
      <c r="F1821" s="7">
        <f t="shared" si="57"/>
        <v>3308761</v>
      </c>
      <c r="G1821" s="7"/>
    </row>
    <row r="1822" spans="1:7" x14ac:dyDescent="0.35">
      <c r="A1822" t="str">
        <f>"2012-05-18"</f>
        <v>2012-05-18</v>
      </c>
      <c r="B1822" t="str">
        <f>"24.9108"</f>
        <v>24.9108</v>
      </c>
      <c r="C1822">
        <v>1820</v>
      </c>
      <c r="D1822" s="7">
        <v>24.910799999999998</v>
      </c>
      <c r="E1822" s="7">
        <f t="shared" si="56"/>
        <v>45337.655999999995</v>
      </c>
      <c r="F1822" s="7">
        <f t="shared" si="57"/>
        <v>3312400</v>
      </c>
      <c r="G1822" s="7"/>
    </row>
    <row r="1823" spans="1:7" x14ac:dyDescent="0.35">
      <c r="A1823" t="str">
        <f>"2012-05-21"</f>
        <v>2012-05-21</v>
      </c>
      <c r="B1823" t="str">
        <f>"25.539"</f>
        <v>25.539</v>
      </c>
      <c r="C1823">
        <v>1821</v>
      </c>
      <c r="D1823" s="7">
        <v>25.539000000000001</v>
      </c>
      <c r="E1823" s="7">
        <f t="shared" si="56"/>
        <v>46506.519</v>
      </c>
      <c r="F1823" s="7">
        <f t="shared" si="57"/>
        <v>3316041</v>
      </c>
      <c r="G1823" s="7"/>
    </row>
    <row r="1824" spans="1:7" x14ac:dyDescent="0.35">
      <c r="A1824" t="str">
        <f>"2012-05-22"</f>
        <v>2012-05-22</v>
      </c>
      <c r="B1824" t="str">
        <f>"25.9603"</f>
        <v>25.9603</v>
      </c>
      <c r="C1824">
        <v>1822</v>
      </c>
      <c r="D1824" s="7">
        <v>25.9603</v>
      </c>
      <c r="E1824" s="7">
        <f t="shared" si="56"/>
        <v>47299.666599999997</v>
      </c>
      <c r="F1824" s="7">
        <f t="shared" si="57"/>
        <v>3319684</v>
      </c>
      <c r="G1824" s="7"/>
    </row>
    <row r="1825" spans="1:7" x14ac:dyDescent="0.35">
      <c r="A1825" t="str">
        <f>"2012-05-23"</f>
        <v>2012-05-23</v>
      </c>
      <c r="B1825" t="str">
        <f>"25.5809"</f>
        <v>25.5809</v>
      </c>
      <c r="C1825">
        <v>1823</v>
      </c>
      <c r="D1825" s="7">
        <v>25.5809</v>
      </c>
      <c r="E1825" s="7">
        <f t="shared" si="56"/>
        <v>46633.9807</v>
      </c>
      <c r="F1825" s="7">
        <f t="shared" si="57"/>
        <v>3323329</v>
      </c>
      <c r="G1825" s="7"/>
    </row>
    <row r="1826" spans="1:7" x14ac:dyDescent="0.35">
      <c r="A1826" t="str">
        <f>"2012-05-24"</f>
        <v>2012-05-24</v>
      </c>
      <c r="B1826" t="str">
        <f>"24.4124"</f>
        <v>24.4124</v>
      </c>
      <c r="C1826">
        <v>1824</v>
      </c>
      <c r="D1826" s="7">
        <v>24.412400000000002</v>
      </c>
      <c r="E1826" s="7">
        <f t="shared" si="56"/>
        <v>44528.217600000004</v>
      </c>
      <c r="F1826" s="7">
        <f t="shared" si="57"/>
        <v>3326976</v>
      </c>
      <c r="G1826" s="7"/>
    </row>
    <row r="1827" spans="1:7" x14ac:dyDescent="0.35">
      <c r="A1827" t="str">
        <f>"2012-05-25"</f>
        <v>2012-05-25</v>
      </c>
      <c r="B1827" t="str">
        <f>"23.6258"</f>
        <v>23.6258</v>
      </c>
      <c r="C1827">
        <v>1825</v>
      </c>
      <c r="D1827" s="7">
        <v>23.625800000000002</v>
      </c>
      <c r="E1827" s="7">
        <f t="shared" si="56"/>
        <v>43117.085000000006</v>
      </c>
      <c r="F1827" s="7">
        <f t="shared" si="57"/>
        <v>3330625</v>
      </c>
      <c r="G1827" s="7"/>
    </row>
    <row r="1828" spans="1:7" x14ac:dyDescent="0.35">
      <c r="A1828" t="str">
        <f>"2012-05-29"</f>
        <v>2012-05-29</v>
      </c>
      <c r="B1828" t="str">
        <f>"24.3549"</f>
        <v>24.3549</v>
      </c>
      <c r="C1828">
        <v>1826</v>
      </c>
      <c r="D1828" s="7">
        <v>24.354900000000001</v>
      </c>
      <c r="E1828" s="7">
        <f t="shared" si="56"/>
        <v>44472.047400000003</v>
      </c>
      <c r="F1828" s="7">
        <f t="shared" si="57"/>
        <v>3334276</v>
      </c>
      <c r="G1828" s="7"/>
    </row>
    <row r="1829" spans="1:7" x14ac:dyDescent="0.35">
      <c r="A1829" t="str">
        <f>"2012-05-30"</f>
        <v>2012-05-30</v>
      </c>
      <c r="B1829" t="str">
        <f>"23.824"</f>
        <v>23.824</v>
      </c>
      <c r="C1829">
        <v>1827</v>
      </c>
      <c r="D1829" s="7">
        <v>23.824000000000002</v>
      </c>
      <c r="E1829" s="7">
        <f t="shared" si="56"/>
        <v>43526.448000000004</v>
      </c>
      <c r="F1829" s="7">
        <f t="shared" si="57"/>
        <v>3337929</v>
      </c>
      <c r="G1829" s="7"/>
    </row>
    <row r="1830" spans="1:7" x14ac:dyDescent="0.35">
      <c r="A1830" t="str">
        <f>"2012-05-31"</f>
        <v>2012-05-31</v>
      </c>
      <c r="B1830" t="str">
        <f>"23.5137"</f>
        <v>23.5137</v>
      </c>
      <c r="C1830">
        <v>1828</v>
      </c>
      <c r="D1830" s="7">
        <v>23.5137</v>
      </c>
      <c r="E1830" s="7">
        <f t="shared" si="56"/>
        <v>42983.043599999997</v>
      </c>
      <c r="F1830" s="7">
        <f t="shared" si="57"/>
        <v>3341584</v>
      </c>
      <c r="G1830" s="7"/>
    </row>
    <row r="1831" spans="1:7" x14ac:dyDescent="0.35">
      <c r="A1831" t="str">
        <f>"2012-06-01"</f>
        <v>2012-06-01</v>
      </c>
      <c r="B1831" t="str">
        <f>"23.1871"</f>
        <v>23.1871</v>
      </c>
      <c r="C1831">
        <v>1829</v>
      </c>
      <c r="D1831" s="7">
        <v>23.187100000000001</v>
      </c>
      <c r="E1831" s="7">
        <f t="shared" si="56"/>
        <v>42409.205900000001</v>
      </c>
      <c r="F1831" s="7">
        <f t="shared" si="57"/>
        <v>3345241</v>
      </c>
      <c r="G1831" s="7"/>
    </row>
    <row r="1832" spans="1:7" x14ac:dyDescent="0.35">
      <c r="A1832" t="str">
        <f>"2012-06-04"</f>
        <v>2012-06-04</v>
      </c>
      <c r="B1832" t="str">
        <f>"23.5521"</f>
        <v>23.5521</v>
      </c>
      <c r="C1832">
        <v>1830</v>
      </c>
      <c r="D1832" s="7">
        <v>23.552099999999999</v>
      </c>
      <c r="E1832" s="7">
        <f t="shared" si="56"/>
        <v>43100.343000000001</v>
      </c>
      <c r="F1832" s="7">
        <f t="shared" si="57"/>
        <v>3348900</v>
      </c>
      <c r="G1832" s="7"/>
    </row>
    <row r="1833" spans="1:7" x14ac:dyDescent="0.35">
      <c r="A1833" t="str">
        <f>"2012-06-05"</f>
        <v>2012-06-05</v>
      </c>
      <c r="B1833" t="str">
        <f>"23.6915"</f>
        <v>23.6915</v>
      </c>
      <c r="C1833">
        <v>1831</v>
      </c>
      <c r="D1833" s="7">
        <v>23.691500000000001</v>
      </c>
      <c r="E1833" s="7">
        <f t="shared" si="56"/>
        <v>43379.136500000001</v>
      </c>
      <c r="F1833" s="7">
        <f t="shared" si="57"/>
        <v>3352561</v>
      </c>
      <c r="G1833" s="7"/>
    </row>
    <row r="1834" spans="1:7" x14ac:dyDescent="0.35">
      <c r="A1834" t="str">
        <f>"2012-06-06"</f>
        <v>2012-06-06</v>
      </c>
      <c r="B1834" t="str">
        <f>"24.2355"</f>
        <v>24.2355</v>
      </c>
      <c r="C1834">
        <v>1832</v>
      </c>
      <c r="D1834" s="7">
        <v>24.235499999999998</v>
      </c>
      <c r="E1834" s="7">
        <f t="shared" si="56"/>
        <v>44399.435999999994</v>
      </c>
      <c r="F1834" s="7">
        <f t="shared" si="57"/>
        <v>3356224</v>
      </c>
      <c r="G1834" s="7"/>
    </row>
    <row r="1835" spans="1:7" x14ac:dyDescent="0.35">
      <c r="A1835" t="str">
        <f>"2012-06-07"</f>
        <v>2012-06-07</v>
      </c>
      <c r="B1835" t="str">
        <f>"25.0853"</f>
        <v>25.0853</v>
      </c>
      <c r="C1835">
        <v>1833</v>
      </c>
      <c r="D1835" s="7">
        <v>25.0853</v>
      </c>
      <c r="E1835" s="7">
        <f t="shared" si="56"/>
        <v>45981.354899999998</v>
      </c>
      <c r="F1835" s="7">
        <f t="shared" si="57"/>
        <v>3359889</v>
      </c>
      <c r="G1835" s="7"/>
    </row>
    <row r="1836" spans="1:7" x14ac:dyDescent="0.35">
      <c r="A1836" t="str">
        <f>"2012-06-08"</f>
        <v>2012-06-08</v>
      </c>
      <c r="B1836" t="str">
        <f>"25.4385"</f>
        <v>25.4385</v>
      </c>
      <c r="C1836">
        <v>1834</v>
      </c>
      <c r="D1836" s="7">
        <v>25.438500000000001</v>
      </c>
      <c r="E1836" s="7">
        <f t="shared" si="56"/>
        <v>46654.209000000003</v>
      </c>
      <c r="F1836" s="7">
        <f t="shared" si="57"/>
        <v>3363556</v>
      </c>
      <c r="G1836" s="7"/>
    </row>
    <row r="1837" spans="1:7" x14ac:dyDescent="0.35">
      <c r="A1837" t="str">
        <f>"2012-06-11"</f>
        <v>2012-06-11</v>
      </c>
      <c r="B1837" t="str">
        <f>"25.6035"</f>
        <v>25.6035</v>
      </c>
      <c r="C1837">
        <v>1835</v>
      </c>
      <c r="D1837" s="7">
        <v>25.6035</v>
      </c>
      <c r="E1837" s="7">
        <f t="shared" si="56"/>
        <v>46982.422500000001</v>
      </c>
      <c r="F1837" s="7">
        <f t="shared" si="57"/>
        <v>3367225</v>
      </c>
      <c r="G1837" s="7"/>
    </row>
    <row r="1838" spans="1:7" x14ac:dyDescent="0.35">
      <c r="A1838" t="str">
        <f>"2012-06-12"</f>
        <v>2012-06-12</v>
      </c>
      <c r="B1838" t="str">
        <f>"25.2215"</f>
        <v>25.2215</v>
      </c>
      <c r="C1838">
        <v>1836</v>
      </c>
      <c r="D1838" s="7">
        <v>25.221499999999999</v>
      </c>
      <c r="E1838" s="7">
        <f t="shared" si="56"/>
        <v>46306.673999999999</v>
      </c>
      <c r="F1838" s="7">
        <f t="shared" si="57"/>
        <v>3370896</v>
      </c>
      <c r="G1838" s="7"/>
    </row>
    <row r="1839" spans="1:7" x14ac:dyDescent="0.35">
      <c r="A1839" t="str">
        <f>"2012-06-13"</f>
        <v>2012-06-13</v>
      </c>
      <c r="B1839" t="str">
        <f>"25.298"</f>
        <v>25.298</v>
      </c>
      <c r="C1839">
        <v>1837</v>
      </c>
      <c r="D1839" s="7">
        <v>25.297999999999998</v>
      </c>
      <c r="E1839" s="7">
        <f t="shared" si="56"/>
        <v>46472.425999999999</v>
      </c>
      <c r="F1839" s="7">
        <f t="shared" si="57"/>
        <v>3374569</v>
      </c>
      <c r="G1839" s="7"/>
    </row>
    <row r="1840" spans="1:7" x14ac:dyDescent="0.35">
      <c r="A1840" t="str">
        <f>"2012-06-14"</f>
        <v>2012-06-14</v>
      </c>
      <c r="B1840" t="str">
        <f>"25.8265"</f>
        <v>25.8265</v>
      </c>
      <c r="C1840">
        <v>1838</v>
      </c>
      <c r="D1840" s="7">
        <v>25.826499999999999</v>
      </c>
      <c r="E1840" s="7">
        <f t="shared" si="56"/>
        <v>47469.106999999996</v>
      </c>
      <c r="F1840" s="7">
        <f t="shared" si="57"/>
        <v>3378244</v>
      </c>
      <c r="G1840" s="7"/>
    </row>
    <row r="1841" spans="1:7" x14ac:dyDescent="0.35">
      <c r="A1841" t="str">
        <f>"2012-06-15"</f>
        <v>2012-06-15</v>
      </c>
      <c r="B1841" t="str">
        <f>"25.397"</f>
        <v>25.397</v>
      </c>
      <c r="C1841">
        <v>1839</v>
      </c>
      <c r="D1841" s="7">
        <v>25.396999999999998</v>
      </c>
      <c r="E1841" s="7">
        <f t="shared" si="56"/>
        <v>46705.082999999999</v>
      </c>
      <c r="F1841" s="7">
        <f t="shared" si="57"/>
        <v>3381921</v>
      </c>
      <c r="G1841" s="7"/>
    </row>
    <row r="1842" spans="1:7" x14ac:dyDescent="0.35">
      <c r="A1842" t="str">
        <f>"2012-06-18"</f>
        <v>2012-06-18</v>
      </c>
      <c r="B1842" t="str">
        <f>"26.0196"</f>
        <v>26.0196</v>
      </c>
      <c r="C1842">
        <v>1840</v>
      </c>
      <c r="D1842" s="7">
        <v>26.019600000000001</v>
      </c>
      <c r="E1842" s="7">
        <f t="shared" si="56"/>
        <v>47876.063999999998</v>
      </c>
      <c r="F1842" s="7">
        <f t="shared" si="57"/>
        <v>3385600</v>
      </c>
      <c r="G1842" s="7"/>
    </row>
    <row r="1843" spans="1:7" x14ac:dyDescent="0.35">
      <c r="A1843" t="str">
        <f>"2012-06-19"</f>
        <v>2012-06-19</v>
      </c>
      <c r="B1843" t="str">
        <f>"26.6167"</f>
        <v>26.6167</v>
      </c>
      <c r="C1843">
        <v>1841</v>
      </c>
      <c r="D1843" s="7">
        <v>26.616700000000002</v>
      </c>
      <c r="E1843" s="7">
        <f t="shared" si="56"/>
        <v>49001.344700000001</v>
      </c>
      <c r="F1843" s="7">
        <f t="shared" si="57"/>
        <v>3389281</v>
      </c>
      <c r="G1843" s="7"/>
    </row>
    <row r="1844" spans="1:7" x14ac:dyDescent="0.35">
      <c r="A1844" t="str">
        <f>"2012-06-20"</f>
        <v>2012-06-20</v>
      </c>
      <c r="B1844" t="str">
        <f>"26.8061"</f>
        <v>26.8061</v>
      </c>
      <c r="C1844">
        <v>1842</v>
      </c>
      <c r="D1844" s="7">
        <v>26.806100000000001</v>
      </c>
      <c r="E1844" s="7">
        <f t="shared" si="56"/>
        <v>49376.836199999998</v>
      </c>
      <c r="F1844" s="7">
        <f t="shared" si="57"/>
        <v>3392964</v>
      </c>
      <c r="G1844" s="7"/>
    </row>
    <row r="1845" spans="1:7" x14ac:dyDescent="0.35">
      <c r="A1845" t="str">
        <f>"2012-06-21"</f>
        <v>2012-06-21</v>
      </c>
      <c r="B1845" t="str">
        <f>"29.1998"</f>
        <v>29.1998</v>
      </c>
      <c r="C1845">
        <v>1843</v>
      </c>
      <c r="D1845" s="7">
        <v>29.1998</v>
      </c>
      <c r="E1845" s="7">
        <f t="shared" si="56"/>
        <v>53815.231399999997</v>
      </c>
      <c r="F1845" s="7">
        <f t="shared" si="57"/>
        <v>3396649</v>
      </c>
      <c r="G1845" s="7"/>
    </row>
    <row r="1846" spans="1:7" x14ac:dyDescent="0.35">
      <c r="A1846" t="str">
        <f>"2012-06-22"</f>
        <v>2012-06-22</v>
      </c>
      <c r="B1846" t="str">
        <f>"29.0166"</f>
        <v>29.0166</v>
      </c>
      <c r="C1846">
        <v>1844</v>
      </c>
      <c r="D1846" s="7">
        <v>29.0166</v>
      </c>
      <c r="E1846" s="7">
        <f t="shared" si="56"/>
        <v>53506.610399999998</v>
      </c>
      <c r="F1846" s="7">
        <f t="shared" si="57"/>
        <v>3400336</v>
      </c>
      <c r="G1846" s="7"/>
    </row>
    <row r="1847" spans="1:7" x14ac:dyDescent="0.35">
      <c r="A1847" t="str">
        <f>"2012-06-25"</f>
        <v>2012-06-25</v>
      </c>
      <c r="B1847" t="str">
        <f>"27.5369"</f>
        <v>27.5369</v>
      </c>
      <c r="C1847">
        <v>1845</v>
      </c>
      <c r="D1847" s="7">
        <v>27.536899999999999</v>
      </c>
      <c r="E1847" s="7">
        <f t="shared" si="56"/>
        <v>50805.580499999996</v>
      </c>
      <c r="F1847" s="7">
        <f t="shared" si="57"/>
        <v>3404025</v>
      </c>
      <c r="G1847" s="7"/>
    </row>
    <row r="1848" spans="1:7" x14ac:dyDescent="0.35">
      <c r="A1848" t="str">
        <f>"2012-06-26"</f>
        <v>2012-06-26</v>
      </c>
      <c r="B1848" t="str">
        <f>"28.5286"</f>
        <v>28.5286</v>
      </c>
      <c r="C1848">
        <v>1846</v>
      </c>
      <c r="D1848" s="7">
        <v>28.528600000000001</v>
      </c>
      <c r="E1848" s="7">
        <f t="shared" si="56"/>
        <v>52663.795600000005</v>
      </c>
      <c r="F1848" s="7">
        <f t="shared" si="57"/>
        <v>3407716</v>
      </c>
      <c r="G1848" s="7"/>
    </row>
    <row r="1849" spans="1:7" x14ac:dyDescent="0.35">
      <c r="A1849" t="str">
        <f>"2012-06-27"</f>
        <v>2012-06-27</v>
      </c>
      <c r="B1849" t="str">
        <f>"29.9661"</f>
        <v>29.9661</v>
      </c>
      <c r="C1849">
        <v>1847</v>
      </c>
      <c r="D1849" s="7">
        <v>29.966100000000001</v>
      </c>
      <c r="E1849" s="7">
        <f t="shared" si="56"/>
        <v>55347.386700000003</v>
      </c>
      <c r="F1849" s="7">
        <f t="shared" si="57"/>
        <v>3411409</v>
      </c>
      <c r="G1849" s="7"/>
    </row>
    <row r="1850" spans="1:7" x14ac:dyDescent="0.35">
      <c r="A1850" t="str">
        <f>"2012-06-28"</f>
        <v>2012-06-28</v>
      </c>
      <c r="B1850" t="str">
        <f>"30.8063"</f>
        <v>30.8063</v>
      </c>
      <c r="C1850">
        <v>1848</v>
      </c>
      <c r="D1850" s="7">
        <v>30.8063</v>
      </c>
      <c r="E1850" s="7">
        <f t="shared" si="56"/>
        <v>56930.042399999998</v>
      </c>
      <c r="F1850" s="7">
        <f t="shared" si="57"/>
        <v>3415104</v>
      </c>
      <c r="G1850" s="7"/>
    </row>
    <row r="1851" spans="1:7" x14ac:dyDescent="0.35">
      <c r="A1851" t="str">
        <f>"2012-06-29"</f>
        <v>2012-06-29</v>
      </c>
      <c r="B1851" t="str">
        <f>"29.3631"</f>
        <v>29.3631</v>
      </c>
      <c r="C1851">
        <v>1849</v>
      </c>
      <c r="D1851" s="7">
        <v>29.363099999999999</v>
      </c>
      <c r="E1851" s="7">
        <f t="shared" si="56"/>
        <v>54292.371899999998</v>
      </c>
      <c r="F1851" s="7">
        <f t="shared" si="57"/>
        <v>3418801</v>
      </c>
      <c r="G1851" s="7"/>
    </row>
    <row r="1852" spans="1:7" x14ac:dyDescent="0.35">
      <c r="A1852" t="str">
        <f>"2012-07-02"</f>
        <v>2012-07-02</v>
      </c>
      <c r="B1852" t="str">
        <f>"30.1265"</f>
        <v>30.1265</v>
      </c>
      <c r="C1852">
        <v>1850</v>
      </c>
      <c r="D1852" s="7">
        <v>30.1265</v>
      </c>
      <c r="E1852" s="7">
        <f t="shared" si="56"/>
        <v>55734.025000000001</v>
      </c>
      <c r="F1852" s="7">
        <f t="shared" si="57"/>
        <v>3422500</v>
      </c>
      <c r="G1852" s="7"/>
    </row>
    <row r="1853" spans="1:7" x14ac:dyDescent="0.35">
      <c r="A1853" t="str">
        <f>"2012-07-03"</f>
        <v>2012-07-03</v>
      </c>
      <c r="B1853" t="str">
        <f>"29.4078"</f>
        <v>29.4078</v>
      </c>
      <c r="C1853">
        <v>1851</v>
      </c>
      <c r="D1853" s="7">
        <v>29.407800000000002</v>
      </c>
      <c r="E1853" s="7">
        <f t="shared" si="56"/>
        <v>54433.837800000001</v>
      </c>
      <c r="F1853" s="7">
        <f t="shared" si="57"/>
        <v>3426201</v>
      </c>
      <c r="G1853" s="7"/>
    </row>
    <row r="1854" spans="1:7" x14ac:dyDescent="0.35">
      <c r="A1854" t="str">
        <f>"2012-07-05"</f>
        <v>2012-07-05</v>
      </c>
      <c r="B1854" t="str">
        <f>"29.2471"</f>
        <v>29.2471</v>
      </c>
      <c r="C1854">
        <v>1852</v>
      </c>
      <c r="D1854" s="7">
        <v>29.2471</v>
      </c>
      <c r="E1854" s="7">
        <f t="shared" si="56"/>
        <v>54165.629199999996</v>
      </c>
      <c r="F1854" s="7">
        <f t="shared" si="57"/>
        <v>3429904</v>
      </c>
      <c r="G1854" s="7"/>
    </row>
    <row r="1855" spans="1:7" x14ac:dyDescent="0.35">
      <c r="A1855" t="str">
        <f>"2012-07-06"</f>
        <v>2012-07-06</v>
      </c>
      <c r="B1855" t="str">
        <f>"30.205"</f>
        <v>30.205</v>
      </c>
      <c r="C1855">
        <v>1853</v>
      </c>
      <c r="D1855" s="7">
        <v>30.204999999999998</v>
      </c>
      <c r="E1855" s="7">
        <f t="shared" si="56"/>
        <v>55969.864999999998</v>
      </c>
      <c r="F1855" s="7">
        <f t="shared" si="57"/>
        <v>3433609</v>
      </c>
      <c r="G1855" s="7"/>
    </row>
    <row r="1856" spans="1:7" x14ac:dyDescent="0.35">
      <c r="A1856" t="str">
        <f>"2012-07-09"</f>
        <v>2012-07-09</v>
      </c>
      <c r="B1856" t="str">
        <f>"29.7705"</f>
        <v>29.7705</v>
      </c>
      <c r="C1856">
        <v>1854</v>
      </c>
      <c r="D1856" s="7">
        <v>29.770499999999998</v>
      </c>
      <c r="E1856" s="7">
        <f t="shared" si="56"/>
        <v>55194.506999999998</v>
      </c>
      <c r="F1856" s="7">
        <f t="shared" si="57"/>
        <v>3437316</v>
      </c>
      <c r="G1856" s="7"/>
    </row>
    <row r="1857" spans="1:7" x14ac:dyDescent="0.35">
      <c r="A1857" t="str">
        <f>"2012-07-10"</f>
        <v>2012-07-10</v>
      </c>
      <c r="B1857" t="str">
        <f>"30.7241"</f>
        <v>30.7241</v>
      </c>
      <c r="C1857">
        <v>1855</v>
      </c>
      <c r="D1857" s="7">
        <v>30.7241</v>
      </c>
      <c r="E1857" s="7">
        <f t="shared" si="56"/>
        <v>56993.205499999996</v>
      </c>
      <c r="F1857" s="7">
        <f t="shared" si="57"/>
        <v>3441025</v>
      </c>
      <c r="G1857" s="7"/>
    </row>
    <row r="1858" spans="1:7" x14ac:dyDescent="0.35">
      <c r="A1858" t="str">
        <f>"2012-07-11"</f>
        <v>2012-07-11</v>
      </c>
      <c r="B1858" t="str">
        <f>"31.8896"</f>
        <v>31.8896</v>
      </c>
      <c r="C1858">
        <v>1856</v>
      </c>
      <c r="D1858" s="7">
        <v>31.889600000000002</v>
      </c>
      <c r="E1858" s="7">
        <f t="shared" si="56"/>
        <v>59187.097600000001</v>
      </c>
      <c r="F1858" s="7">
        <f t="shared" si="57"/>
        <v>3444736</v>
      </c>
      <c r="G1858" s="7"/>
    </row>
    <row r="1859" spans="1:7" x14ac:dyDescent="0.35">
      <c r="A1859" t="str">
        <f>"2012-07-12"</f>
        <v>2012-07-12</v>
      </c>
      <c r="B1859" t="str">
        <f>"32.0662"</f>
        <v>32.0662</v>
      </c>
      <c r="C1859">
        <v>1857</v>
      </c>
      <c r="D1859" s="7">
        <v>32.066200000000002</v>
      </c>
      <c r="E1859" s="7">
        <f t="shared" si="56"/>
        <v>59546.933400000002</v>
      </c>
      <c r="F1859" s="7">
        <f t="shared" si="57"/>
        <v>3448449</v>
      </c>
      <c r="G1859" s="7"/>
    </row>
    <row r="1860" spans="1:7" x14ac:dyDescent="0.35">
      <c r="A1860" t="str">
        <f>"2012-07-13"</f>
        <v>2012-07-13</v>
      </c>
      <c r="B1860" t="str">
        <f>"30.8374"</f>
        <v>30.8374</v>
      </c>
      <c r="C1860">
        <v>1858</v>
      </c>
      <c r="D1860" s="7">
        <v>30.837399999999999</v>
      </c>
      <c r="E1860" s="7">
        <f t="shared" ref="E1860:E1923" si="58">C1860*D1860</f>
        <v>57295.889199999998</v>
      </c>
      <c r="F1860" s="7">
        <f t="shared" ref="F1860:F1923" si="59">C1860*C1860</f>
        <v>3452164</v>
      </c>
      <c r="G1860" s="7"/>
    </row>
    <row r="1861" spans="1:7" x14ac:dyDescent="0.35">
      <c r="A1861" t="str">
        <f>"2012-07-16"</f>
        <v>2012-07-16</v>
      </c>
      <c r="B1861" t="str">
        <f>"30.3461"</f>
        <v>30.3461</v>
      </c>
      <c r="C1861">
        <v>1859</v>
      </c>
      <c r="D1861" s="7">
        <v>30.3461</v>
      </c>
      <c r="E1861" s="7">
        <f t="shared" si="58"/>
        <v>56413.399899999997</v>
      </c>
      <c r="F1861" s="7">
        <f t="shared" si="59"/>
        <v>3455881</v>
      </c>
      <c r="G1861" s="7"/>
    </row>
    <row r="1862" spans="1:7" x14ac:dyDescent="0.35">
      <c r="A1862" t="str">
        <f>"2012-07-17"</f>
        <v>2012-07-17</v>
      </c>
      <c r="B1862" t="str">
        <f>"29.7639"</f>
        <v>29.7639</v>
      </c>
      <c r="C1862">
        <v>1860</v>
      </c>
      <c r="D1862" s="7">
        <v>29.7639</v>
      </c>
      <c r="E1862" s="7">
        <f t="shared" si="58"/>
        <v>55360.853999999999</v>
      </c>
      <c r="F1862" s="7">
        <f t="shared" si="59"/>
        <v>3459600</v>
      </c>
      <c r="G1862" s="7"/>
    </row>
    <row r="1863" spans="1:7" x14ac:dyDescent="0.35">
      <c r="A1863" t="str">
        <f>"2012-07-18"</f>
        <v>2012-07-18</v>
      </c>
      <c r="B1863" t="str">
        <f>"30.9424"</f>
        <v>30.9424</v>
      </c>
      <c r="C1863">
        <v>1861</v>
      </c>
      <c r="D1863" s="7">
        <v>30.942399999999999</v>
      </c>
      <c r="E1863" s="7">
        <f t="shared" si="58"/>
        <v>57583.806400000001</v>
      </c>
      <c r="F1863" s="7">
        <f t="shared" si="59"/>
        <v>3463321</v>
      </c>
      <c r="G1863" s="7"/>
    </row>
    <row r="1864" spans="1:7" x14ac:dyDescent="0.35">
      <c r="A1864" t="str">
        <f>"2012-07-19"</f>
        <v>2012-07-19</v>
      </c>
      <c r="B1864" t="str">
        <f>"30.6984"</f>
        <v>30.6984</v>
      </c>
      <c r="C1864">
        <v>1862</v>
      </c>
      <c r="D1864" s="7">
        <v>30.698399999999999</v>
      </c>
      <c r="E1864" s="7">
        <f t="shared" si="58"/>
        <v>57160.4208</v>
      </c>
      <c r="F1864" s="7">
        <f t="shared" si="59"/>
        <v>3467044</v>
      </c>
      <c r="G1864" s="7"/>
    </row>
    <row r="1865" spans="1:7" x14ac:dyDescent="0.35">
      <c r="A1865" t="str">
        <f>"2012-07-20"</f>
        <v>2012-07-20</v>
      </c>
      <c r="B1865" t="str">
        <f>"30.1606"</f>
        <v>30.1606</v>
      </c>
      <c r="C1865">
        <v>1863</v>
      </c>
      <c r="D1865" s="7">
        <v>30.160599999999999</v>
      </c>
      <c r="E1865" s="7">
        <f t="shared" si="58"/>
        <v>56189.197799999994</v>
      </c>
      <c r="F1865" s="7">
        <f t="shared" si="59"/>
        <v>3470769</v>
      </c>
      <c r="G1865" s="7"/>
    </row>
    <row r="1866" spans="1:7" x14ac:dyDescent="0.35">
      <c r="A1866" t="str">
        <f>"2012-07-23"</f>
        <v>2012-07-23</v>
      </c>
      <c r="B1866" t="str">
        <f>"29.9691"</f>
        <v>29.9691</v>
      </c>
      <c r="C1866">
        <v>1864</v>
      </c>
      <c r="D1866" s="7">
        <v>29.969100000000001</v>
      </c>
      <c r="E1866" s="7">
        <f t="shared" si="58"/>
        <v>55862.402399999999</v>
      </c>
      <c r="F1866" s="7">
        <f t="shared" si="59"/>
        <v>3474496</v>
      </c>
      <c r="G1866" s="7"/>
    </row>
    <row r="1867" spans="1:7" x14ac:dyDescent="0.35">
      <c r="A1867" t="str">
        <f>"2012-07-24"</f>
        <v>2012-07-24</v>
      </c>
      <c r="B1867" t="str">
        <f>"30.2006"</f>
        <v>30.2006</v>
      </c>
      <c r="C1867">
        <v>1865</v>
      </c>
      <c r="D1867" s="7">
        <v>30.200600000000001</v>
      </c>
      <c r="E1867" s="7">
        <f t="shared" si="58"/>
        <v>56324.119000000006</v>
      </c>
      <c r="F1867" s="7">
        <f t="shared" si="59"/>
        <v>3478225</v>
      </c>
      <c r="G1867" s="7"/>
    </row>
    <row r="1868" spans="1:7" x14ac:dyDescent="0.35">
      <c r="A1868" t="str">
        <f>"2012-07-25"</f>
        <v>2012-07-25</v>
      </c>
      <c r="B1868" t="str">
        <f>"29.8383"</f>
        <v>29.8383</v>
      </c>
      <c r="C1868">
        <v>1866</v>
      </c>
      <c r="D1868" s="7">
        <v>29.8383</v>
      </c>
      <c r="E1868" s="7">
        <f t="shared" si="58"/>
        <v>55678.267800000001</v>
      </c>
      <c r="F1868" s="7">
        <f t="shared" si="59"/>
        <v>3481956</v>
      </c>
      <c r="G1868" s="7"/>
    </row>
    <row r="1869" spans="1:7" x14ac:dyDescent="0.35">
      <c r="A1869" t="str">
        <f>"2012-07-26"</f>
        <v>2012-07-26</v>
      </c>
      <c r="B1869" t="str">
        <f>"30.6248"</f>
        <v>30.6248</v>
      </c>
      <c r="C1869">
        <v>1867</v>
      </c>
      <c r="D1869" s="7">
        <v>30.6248</v>
      </c>
      <c r="E1869" s="7">
        <f t="shared" si="58"/>
        <v>57176.501600000003</v>
      </c>
      <c r="F1869" s="7">
        <f t="shared" si="59"/>
        <v>3485689</v>
      </c>
      <c r="G1869" s="7"/>
    </row>
    <row r="1870" spans="1:7" x14ac:dyDescent="0.35">
      <c r="A1870" t="str">
        <f>"2012-07-27"</f>
        <v>2012-07-27</v>
      </c>
      <c r="B1870" t="str">
        <f>"30.8514"</f>
        <v>30.8514</v>
      </c>
      <c r="C1870">
        <v>1868</v>
      </c>
      <c r="D1870" s="7">
        <v>30.851400000000002</v>
      </c>
      <c r="E1870" s="7">
        <f t="shared" si="58"/>
        <v>57630.415200000003</v>
      </c>
      <c r="F1870" s="7">
        <f t="shared" si="59"/>
        <v>3489424</v>
      </c>
      <c r="G1870" s="7"/>
    </row>
    <row r="1871" spans="1:7" x14ac:dyDescent="0.35">
      <c r="A1871" t="str">
        <f>"2012-07-30"</f>
        <v>2012-07-30</v>
      </c>
      <c r="B1871" t="str">
        <f>"31.0425"</f>
        <v>31.0425</v>
      </c>
      <c r="C1871">
        <v>1869</v>
      </c>
      <c r="D1871" s="7">
        <v>31.0425</v>
      </c>
      <c r="E1871" s="7">
        <f t="shared" si="58"/>
        <v>58018.432500000003</v>
      </c>
      <c r="F1871" s="7">
        <f t="shared" si="59"/>
        <v>3493161</v>
      </c>
      <c r="G1871" s="7"/>
    </row>
    <row r="1872" spans="1:7" x14ac:dyDescent="0.35">
      <c r="A1872" t="str">
        <f>"2012-07-31"</f>
        <v>2012-07-31</v>
      </c>
      <c r="B1872" t="str">
        <f>"31.9874"</f>
        <v>31.9874</v>
      </c>
      <c r="C1872">
        <v>1870</v>
      </c>
      <c r="D1872" s="7">
        <v>31.987400000000001</v>
      </c>
      <c r="E1872" s="7">
        <f t="shared" si="58"/>
        <v>59816.438000000002</v>
      </c>
      <c r="F1872" s="7">
        <f t="shared" si="59"/>
        <v>3496900</v>
      </c>
      <c r="G1872" s="7"/>
    </row>
    <row r="1873" spans="1:7" x14ac:dyDescent="0.35">
      <c r="A1873" t="str">
        <f>"2012-08-01"</f>
        <v>2012-08-01</v>
      </c>
      <c r="B1873" t="str">
        <f>"31.977"</f>
        <v>31.977</v>
      </c>
      <c r="C1873">
        <v>1871</v>
      </c>
      <c r="D1873" s="7">
        <v>31.977</v>
      </c>
      <c r="E1873" s="7">
        <f t="shared" si="58"/>
        <v>59828.967000000004</v>
      </c>
      <c r="F1873" s="7">
        <f t="shared" si="59"/>
        <v>3500641</v>
      </c>
      <c r="G1873" s="7"/>
    </row>
    <row r="1874" spans="1:7" x14ac:dyDescent="0.35">
      <c r="A1874" t="str">
        <f>"2012-08-02"</f>
        <v>2012-08-02</v>
      </c>
      <c r="B1874" t="str">
        <f>"31.9125"</f>
        <v>31.9125</v>
      </c>
      <c r="C1874">
        <v>1872</v>
      </c>
      <c r="D1874" s="7">
        <v>31.912500000000001</v>
      </c>
      <c r="E1874" s="7">
        <f t="shared" si="58"/>
        <v>59740.200000000004</v>
      </c>
      <c r="F1874" s="7">
        <f t="shared" si="59"/>
        <v>3504384</v>
      </c>
      <c r="G1874" s="7"/>
    </row>
    <row r="1875" spans="1:7" x14ac:dyDescent="0.35">
      <c r="A1875" t="str">
        <f>"2012-08-03"</f>
        <v>2012-08-03</v>
      </c>
      <c r="B1875" t="str">
        <f>"32.102"</f>
        <v>32.102</v>
      </c>
      <c r="C1875">
        <v>1873</v>
      </c>
      <c r="D1875" s="7">
        <v>32.101999999999997</v>
      </c>
      <c r="E1875" s="7">
        <f t="shared" si="58"/>
        <v>60127.045999999995</v>
      </c>
      <c r="F1875" s="7">
        <f t="shared" si="59"/>
        <v>3508129</v>
      </c>
      <c r="G1875" s="7"/>
    </row>
    <row r="1876" spans="1:7" x14ac:dyDescent="0.35">
      <c r="A1876" t="str">
        <f>"2012-08-06"</f>
        <v>2012-08-06</v>
      </c>
      <c r="B1876" t="str">
        <f>"32.5362"</f>
        <v>32.5362</v>
      </c>
      <c r="C1876">
        <v>1874</v>
      </c>
      <c r="D1876" s="7">
        <v>32.536200000000001</v>
      </c>
      <c r="E1876" s="7">
        <f t="shared" si="58"/>
        <v>60972.838800000005</v>
      </c>
      <c r="F1876" s="7">
        <f t="shared" si="59"/>
        <v>3511876</v>
      </c>
      <c r="G1876" s="7"/>
    </row>
    <row r="1877" spans="1:7" x14ac:dyDescent="0.35">
      <c r="A1877" t="str">
        <f>"2012-08-07"</f>
        <v>2012-08-07</v>
      </c>
      <c r="B1877" t="str">
        <f>"32.0808"</f>
        <v>32.0808</v>
      </c>
      <c r="C1877">
        <v>1875</v>
      </c>
      <c r="D1877" s="7">
        <v>32.080800000000004</v>
      </c>
      <c r="E1877" s="7">
        <f t="shared" si="58"/>
        <v>60151.500000000007</v>
      </c>
      <c r="F1877" s="7">
        <f t="shared" si="59"/>
        <v>3515625</v>
      </c>
      <c r="G1877" s="7"/>
    </row>
    <row r="1878" spans="1:7" x14ac:dyDescent="0.35">
      <c r="A1878" t="str">
        <f>"2012-08-08"</f>
        <v>2012-08-08</v>
      </c>
      <c r="B1878" t="str">
        <f>"30.5316"</f>
        <v>30.5316</v>
      </c>
      <c r="C1878">
        <v>1876</v>
      </c>
      <c r="D1878" s="7">
        <v>30.531600000000001</v>
      </c>
      <c r="E1878" s="7">
        <f t="shared" si="58"/>
        <v>57277.281600000002</v>
      </c>
      <c r="F1878" s="7">
        <f t="shared" si="59"/>
        <v>3519376</v>
      </c>
      <c r="G1878" s="7"/>
    </row>
    <row r="1879" spans="1:7" x14ac:dyDescent="0.35">
      <c r="A1879" t="str">
        <f>"2012-08-09"</f>
        <v>2012-08-09</v>
      </c>
      <c r="B1879" t="str">
        <f>"30.8422"</f>
        <v>30.8422</v>
      </c>
      <c r="C1879">
        <v>1877</v>
      </c>
      <c r="D1879" s="7">
        <v>30.842199999999998</v>
      </c>
      <c r="E1879" s="7">
        <f t="shared" si="58"/>
        <v>57890.809399999998</v>
      </c>
      <c r="F1879" s="7">
        <f t="shared" si="59"/>
        <v>3523129</v>
      </c>
      <c r="G1879" s="7"/>
    </row>
    <row r="1880" spans="1:7" x14ac:dyDescent="0.35">
      <c r="A1880" t="str">
        <f>"2012-08-10"</f>
        <v>2012-08-10</v>
      </c>
      <c r="B1880" t="str">
        <f>"31.0133"</f>
        <v>31.0133</v>
      </c>
      <c r="C1880">
        <v>1878</v>
      </c>
      <c r="D1880" s="7">
        <v>31.013300000000001</v>
      </c>
      <c r="E1880" s="7">
        <f t="shared" si="58"/>
        <v>58242.977400000003</v>
      </c>
      <c r="F1880" s="7">
        <f t="shared" si="59"/>
        <v>3526884</v>
      </c>
      <c r="G1880" s="7"/>
    </row>
    <row r="1881" spans="1:7" x14ac:dyDescent="0.35">
      <c r="A1881" t="str">
        <f>"2012-08-13"</f>
        <v>2012-08-13</v>
      </c>
      <c r="B1881" t="str">
        <f>"30.613"</f>
        <v>30.613</v>
      </c>
      <c r="C1881">
        <v>1879</v>
      </c>
      <c r="D1881" s="7">
        <v>30.613</v>
      </c>
      <c r="E1881" s="7">
        <f t="shared" si="58"/>
        <v>57521.826999999997</v>
      </c>
      <c r="F1881" s="7">
        <f t="shared" si="59"/>
        <v>3530641</v>
      </c>
      <c r="G1881" s="7"/>
    </row>
    <row r="1882" spans="1:7" x14ac:dyDescent="0.35">
      <c r="A1882" t="str">
        <f>"2012-08-14"</f>
        <v>2012-08-14</v>
      </c>
      <c r="B1882" t="str">
        <f>"30.9297"</f>
        <v>30.9297</v>
      </c>
      <c r="C1882">
        <v>1880</v>
      </c>
      <c r="D1882" s="7">
        <v>30.9297</v>
      </c>
      <c r="E1882" s="7">
        <f t="shared" si="58"/>
        <v>58147.836000000003</v>
      </c>
      <c r="F1882" s="7">
        <f t="shared" si="59"/>
        <v>3534400</v>
      </c>
      <c r="G1882" s="7"/>
    </row>
    <row r="1883" spans="1:7" x14ac:dyDescent="0.35">
      <c r="A1883" t="str">
        <f>"2012-08-15"</f>
        <v>2012-08-15</v>
      </c>
      <c r="B1883" t="str">
        <f>"31.3825"</f>
        <v>31.3825</v>
      </c>
      <c r="C1883">
        <v>1881</v>
      </c>
      <c r="D1883" s="7">
        <v>31.3825</v>
      </c>
      <c r="E1883" s="7">
        <f t="shared" si="58"/>
        <v>59030.482499999998</v>
      </c>
      <c r="F1883" s="7">
        <f t="shared" si="59"/>
        <v>3538161</v>
      </c>
      <c r="G1883" s="7"/>
    </row>
    <row r="1884" spans="1:7" x14ac:dyDescent="0.35">
      <c r="A1884" t="str">
        <f>"2012-08-16"</f>
        <v>2012-08-16</v>
      </c>
      <c r="B1884" t="str">
        <f>"32.1356"</f>
        <v>32.1356</v>
      </c>
      <c r="C1884">
        <v>1882</v>
      </c>
      <c r="D1884" s="7">
        <v>32.135599999999997</v>
      </c>
      <c r="E1884" s="7">
        <f t="shared" si="58"/>
        <v>60479.199199999995</v>
      </c>
      <c r="F1884" s="7">
        <f t="shared" si="59"/>
        <v>3541924</v>
      </c>
      <c r="G1884" s="7"/>
    </row>
    <row r="1885" spans="1:7" x14ac:dyDescent="0.35">
      <c r="A1885" t="str">
        <f>"2012-08-17"</f>
        <v>2012-08-17</v>
      </c>
      <c r="B1885" t="str">
        <f>"32.8457"</f>
        <v>32.8457</v>
      </c>
      <c r="C1885">
        <v>1883</v>
      </c>
      <c r="D1885" s="7">
        <v>32.845700000000001</v>
      </c>
      <c r="E1885" s="7">
        <f t="shared" si="58"/>
        <v>61848.453099999999</v>
      </c>
      <c r="F1885" s="7">
        <f t="shared" si="59"/>
        <v>3545689</v>
      </c>
      <c r="G1885" s="7"/>
    </row>
    <row r="1886" spans="1:7" x14ac:dyDescent="0.35">
      <c r="A1886" t="str">
        <f>"2012-08-20"</f>
        <v>2012-08-20</v>
      </c>
      <c r="B1886" t="str">
        <f>"32.6358"</f>
        <v>32.6358</v>
      </c>
      <c r="C1886">
        <v>1884</v>
      </c>
      <c r="D1886" s="7">
        <v>32.635800000000003</v>
      </c>
      <c r="E1886" s="7">
        <f t="shared" si="58"/>
        <v>61485.847200000004</v>
      </c>
      <c r="F1886" s="7">
        <f t="shared" si="59"/>
        <v>3549456</v>
      </c>
      <c r="G1886" s="7"/>
    </row>
    <row r="1887" spans="1:7" x14ac:dyDescent="0.35">
      <c r="A1887" t="str">
        <f>"2012-08-21"</f>
        <v>2012-08-21</v>
      </c>
      <c r="B1887" t="str">
        <f>"32.2364"</f>
        <v>32.2364</v>
      </c>
      <c r="C1887">
        <v>1885</v>
      </c>
      <c r="D1887" s="7">
        <v>32.236400000000003</v>
      </c>
      <c r="E1887" s="7">
        <f t="shared" si="58"/>
        <v>60765.614000000009</v>
      </c>
      <c r="F1887" s="7">
        <f t="shared" si="59"/>
        <v>3553225</v>
      </c>
      <c r="G1887" s="7"/>
    </row>
    <row r="1888" spans="1:7" x14ac:dyDescent="0.35">
      <c r="A1888" t="str">
        <f>"2012-08-22"</f>
        <v>2012-08-22</v>
      </c>
      <c r="B1888" t="str">
        <f>"32.6879"</f>
        <v>32.6879</v>
      </c>
      <c r="C1888">
        <v>1886</v>
      </c>
      <c r="D1888" s="7">
        <v>32.687899999999999</v>
      </c>
      <c r="E1888" s="7">
        <f t="shared" si="58"/>
        <v>61649.379399999998</v>
      </c>
      <c r="F1888" s="7">
        <f t="shared" si="59"/>
        <v>3556996</v>
      </c>
      <c r="G1888" s="7"/>
    </row>
    <row r="1889" spans="1:7" x14ac:dyDescent="0.35">
      <c r="A1889" t="str">
        <f>"2012-08-23"</f>
        <v>2012-08-23</v>
      </c>
      <c r="B1889" t="str">
        <f>"31.6218"</f>
        <v>31.6218</v>
      </c>
      <c r="C1889">
        <v>1887</v>
      </c>
      <c r="D1889" s="7">
        <v>31.6218</v>
      </c>
      <c r="E1889" s="7">
        <f t="shared" si="58"/>
        <v>59670.336600000002</v>
      </c>
      <c r="F1889" s="7">
        <f t="shared" si="59"/>
        <v>3560769</v>
      </c>
      <c r="G1889" s="7"/>
    </row>
    <row r="1890" spans="1:7" x14ac:dyDescent="0.35">
      <c r="A1890" t="str">
        <f>"2012-08-24"</f>
        <v>2012-08-24</v>
      </c>
      <c r="B1890" t="str">
        <f>"31.7154"</f>
        <v>31.7154</v>
      </c>
      <c r="C1890">
        <v>1888</v>
      </c>
      <c r="D1890" s="7">
        <v>31.715399999999999</v>
      </c>
      <c r="E1890" s="7">
        <f t="shared" si="58"/>
        <v>59878.675199999998</v>
      </c>
      <c r="F1890" s="7">
        <f t="shared" si="59"/>
        <v>3564544</v>
      </c>
      <c r="G1890" s="7"/>
    </row>
    <row r="1891" spans="1:7" x14ac:dyDescent="0.35">
      <c r="A1891" t="str">
        <f>"2012-08-27"</f>
        <v>2012-08-27</v>
      </c>
      <c r="B1891" t="str">
        <f>"32.2978"</f>
        <v>32.2978</v>
      </c>
      <c r="C1891">
        <v>1889</v>
      </c>
      <c r="D1891" s="7">
        <v>32.297800000000002</v>
      </c>
      <c r="E1891" s="7">
        <f t="shared" si="58"/>
        <v>61010.544200000004</v>
      </c>
      <c r="F1891" s="7">
        <f t="shared" si="59"/>
        <v>3568321</v>
      </c>
      <c r="G1891" s="7"/>
    </row>
    <row r="1892" spans="1:7" x14ac:dyDescent="0.35">
      <c r="A1892" t="str">
        <f>"2012-08-28"</f>
        <v>2012-08-28</v>
      </c>
      <c r="B1892" t="str">
        <f>"32.333"</f>
        <v>32.333</v>
      </c>
      <c r="C1892">
        <v>1890</v>
      </c>
      <c r="D1892" s="7">
        <v>32.332999999999998</v>
      </c>
      <c r="E1892" s="7">
        <f t="shared" si="58"/>
        <v>61109.369999999995</v>
      </c>
      <c r="F1892" s="7">
        <f t="shared" si="59"/>
        <v>3572100</v>
      </c>
      <c r="G1892" s="7"/>
    </row>
    <row r="1893" spans="1:7" x14ac:dyDescent="0.35">
      <c r="A1893" t="str">
        <f>"2012-08-29"</f>
        <v>2012-08-29</v>
      </c>
      <c r="B1893" t="str">
        <f>"31.8062"</f>
        <v>31.8062</v>
      </c>
      <c r="C1893">
        <v>1891</v>
      </c>
      <c r="D1893" s="7">
        <v>31.8062</v>
      </c>
      <c r="E1893" s="7">
        <f t="shared" si="58"/>
        <v>60145.5242</v>
      </c>
      <c r="F1893" s="7">
        <f t="shared" si="59"/>
        <v>3575881</v>
      </c>
      <c r="G1893" s="7"/>
    </row>
    <row r="1894" spans="1:7" x14ac:dyDescent="0.35">
      <c r="A1894" t="str">
        <f>"2012-08-30"</f>
        <v>2012-08-30</v>
      </c>
      <c r="B1894" t="str">
        <f>"31.6985"</f>
        <v>31.6985</v>
      </c>
      <c r="C1894">
        <v>1892</v>
      </c>
      <c r="D1894" s="7">
        <v>31.698499999999999</v>
      </c>
      <c r="E1894" s="7">
        <f t="shared" si="58"/>
        <v>59973.561999999998</v>
      </c>
      <c r="F1894" s="7">
        <f t="shared" si="59"/>
        <v>3579664</v>
      </c>
      <c r="G1894" s="7"/>
    </row>
    <row r="1895" spans="1:7" x14ac:dyDescent="0.35">
      <c r="A1895" t="str">
        <f>"2012-08-31"</f>
        <v>2012-08-31</v>
      </c>
      <c r="B1895" t="str">
        <f>"31.6444"</f>
        <v>31.6444</v>
      </c>
      <c r="C1895">
        <v>1893</v>
      </c>
      <c r="D1895" s="7">
        <v>31.644400000000001</v>
      </c>
      <c r="E1895" s="7">
        <f t="shared" si="58"/>
        <v>59902.849200000004</v>
      </c>
      <c r="F1895" s="7">
        <f t="shared" si="59"/>
        <v>3583449</v>
      </c>
      <c r="G1895" s="7"/>
    </row>
    <row r="1896" spans="1:7" x14ac:dyDescent="0.35">
      <c r="A1896" t="str">
        <f>"2012-09-04"</f>
        <v>2012-09-04</v>
      </c>
      <c r="B1896" t="str">
        <f>"31.9801"</f>
        <v>31.9801</v>
      </c>
      <c r="C1896">
        <v>1894</v>
      </c>
      <c r="D1896" s="7">
        <v>31.9801</v>
      </c>
      <c r="E1896" s="7">
        <f t="shared" si="58"/>
        <v>60570.309399999998</v>
      </c>
      <c r="F1896" s="7">
        <f t="shared" si="59"/>
        <v>3587236</v>
      </c>
      <c r="G1896" s="7"/>
    </row>
    <row r="1897" spans="1:7" x14ac:dyDescent="0.35">
      <c r="A1897" t="str">
        <f>"2012-09-05"</f>
        <v>2012-09-05</v>
      </c>
      <c r="B1897" t="str">
        <f>"33.4157"</f>
        <v>33.4157</v>
      </c>
      <c r="C1897">
        <v>1895</v>
      </c>
      <c r="D1897" s="7">
        <v>33.415700000000001</v>
      </c>
      <c r="E1897" s="7">
        <f t="shared" si="58"/>
        <v>63322.751499999998</v>
      </c>
      <c r="F1897" s="7">
        <f t="shared" si="59"/>
        <v>3591025</v>
      </c>
      <c r="G1897" s="7"/>
    </row>
    <row r="1898" spans="1:7" x14ac:dyDescent="0.35">
      <c r="A1898" t="str">
        <f>"2012-09-06"</f>
        <v>2012-09-06</v>
      </c>
      <c r="B1898" t="str">
        <f>"33.2938"</f>
        <v>33.2938</v>
      </c>
      <c r="C1898">
        <v>1896</v>
      </c>
      <c r="D1898" s="7">
        <v>33.293799999999997</v>
      </c>
      <c r="E1898" s="7">
        <f t="shared" si="58"/>
        <v>63125.044799999996</v>
      </c>
      <c r="F1898" s="7">
        <f t="shared" si="59"/>
        <v>3594816</v>
      </c>
      <c r="G1898" s="7"/>
    </row>
    <row r="1899" spans="1:7" x14ac:dyDescent="0.35">
      <c r="A1899" t="str">
        <f>"2012-09-07"</f>
        <v>2012-09-07</v>
      </c>
      <c r="B1899" t="str">
        <f>"33.5561"</f>
        <v>33.5561</v>
      </c>
      <c r="C1899">
        <v>1897</v>
      </c>
      <c r="D1899" s="7">
        <v>33.556100000000001</v>
      </c>
      <c r="E1899" s="7">
        <f t="shared" si="58"/>
        <v>63655.921699999999</v>
      </c>
      <c r="F1899" s="7">
        <f t="shared" si="59"/>
        <v>3598609</v>
      </c>
      <c r="G1899" s="7"/>
    </row>
    <row r="1900" spans="1:7" x14ac:dyDescent="0.35">
      <c r="A1900" t="str">
        <f>"2012-09-10"</f>
        <v>2012-09-10</v>
      </c>
      <c r="B1900" t="str">
        <f>"33.7146"</f>
        <v>33.7146</v>
      </c>
      <c r="C1900">
        <v>1898</v>
      </c>
      <c r="D1900" s="7">
        <v>33.714599999999997</v>
      </c>
      <c r="E1900" s="7">
        <f t="shared" si="58"/>
        <v>63990.310799999992</v>
      </c>
      <c r="F1900" s="7">
        <f t="shared" si="59"/>
        <v>3602404</v>
      </c>
      <c r="G1900" s="7"/>
    </row>
    <row r="1901" spans="1:7" x14ac:dyDescent="0.35">
      <c r="A1901" t="str">
        <f>"2012-09-11"</f>
        <v>2012-09-11</v>
      </c>
      <c r="B1901" t="str">
        <f>"33.3655"</f>
        <v>33.3655</v>
      </c>
      <c r="C1901">
        <v>1899</v>
      </c>
      <c r="D1901" s="7">
        <v>33.365499999999997</v>
      </c>
      <c r="E1901" s="7">
        <f t="shared" si="58"/>
        <v>63361.084499999997</v>
      </c>
      <c r="F1901" s="7">
        <f t="shared" si="59"/>
        <v>3606201</v>
      </c>
      <c r="G1901" s="7"/>
    </row>
    <row r="1902" spans="1:7" x14ac:dyDescent="0.35">
      <c r="A1902" t="str">
        <f>"2012-09-12"</f>
        <v>2012-09-12</v>
      </c>
      <c r="B1902" t="str">
        <f>"33.7846"</f>
        <v>33.7846</v>
      </c>
      <c r="C1902">
        <v>1900</v>
      </c>
      <c r="D1902" s="7">
        <v>33.784599999999998</v>
      </c>
      <c r="E1902" s="7">
        <f t="shared" si="58"/>
        <v>64190.74</v>
      </c>
      <c r="F1902" s="7">
        <f t="shared" si="59"/>
        <v>3610000</v>
      </c>
      <c r="G1902" s="7"/>
    </row>
    <row r="1903" spans="1:7" x14ac:dyDescent="0.35">
      <c r="A1903" t="str">
        <f>"2012-09-13"</f>
        <v>2012-09-13</v>
      </c>
      <c r="B1903" t="str">
        <f>"32.6637"</f>
        <v>32.6637</v>
      </c>
      <c r="C1903">
        <v>1901</v>
      </c>
      <c r="D1903" s="7">
        <v>32.663699999999999</v>
      </c>
      <c r="E1903" s="7">
        <f t="shared" si="58"/>
        <v>62093.693699999996</v>
      </c>
      <c r="F1903" s="7">
        <f t="shared" si="59"/>
        <v>3613801</v>
      </c>
      <c r="G1903" s="7"/>
    </row>
    <row r="1904" spans="1:7" x14ac:dyDescent="0.35">
      <c r="A1904" t="str">
        <f>"2012-09-14"</f>
        <v>2012-09-14</v>
      </c>
      <c r="B1904" t="str">
        <f>"32.5427"</f>
        <v>32.5427</v>
      </c>
      <c r="C1904">
        <v>1902</v>
      </c>
      <c r="D1904" s="7">
        <v>32.542700000000004</v>
      </c>
      <c r="E1904" s="7">
        <f t="shared" si="58"/>
        <v>61896.215400000008</v>
      </c>
      <c r="F1904" s="7">
        <f t="shared" si="59"/>
        <v>3617604</v>
      </c>
      <c r="G1904" s="7"/>
    </row>
    <row r="1905" spans="1:7" x14ac:dyDescent="0.35">
      <c r="A1905" t="str">
        <f>"2012-09-17"</f>
        <v>2012-09-17</v>
      </c>
      <c r="B1905" t="str">
        <f>"33.3004"</f>
        <v>33.3004</v>
      </c>
      <c r="C1905">
        <v>1903</v>
      </c>
      <c r="D1905" s="7">
        <v>33.300400000000003</v>
      </c>
      <c r="E1905" s="7">
        <f t="shared" si="58"/>
        <v>63370.66120000001</v>
      </c>
      <c r="F1905" s="7">
        <f t="shared" si="59"/>
        <v>3621409</v>
      </c>
      <c r="G1905" s="7"/>
    </row>
    <row r="1906" spans="1:7" x14ac:dyDescent="0.35">
      <c r="A1906" t="str">
        <f>"2012-09-18"</f>
        <v>2012-09-18</v>
      </c>
      <c r="B1906" t="str">
        <f>"33.3735"</f>
        <v>33.3735</v>
      </c>
      <c r="C1906">
        <v>1904</v>
      </c>
      <c r="D1906" s="7">
        <v>33.3735</v>
      </c>
      <c r="E1906" s="7">
        <f t="shared" si="58"/>
        <v>63543.144</v>
      </c>
      <c r="F1906" s="7">
        <f t="shared" si="59"/>
        <v>3625216</v>
      </c>
      <c r="G1906" s="7"/>
    </row>
    <row r="1907" spans="1:7" x14ac:dyDescent="0.35">
      <c r="A1907" t="str">
        <f>"2012-09-19"</f>
        <v>2012-09-19</v>
      </c>
      <c r="B1907" t="str">
        <f>"33.5374"</f>
        <v>33.5374</v>
      </c>
      <c r="C1907">
        <v>1905</v>
      </c>
      <c r="D1907" s="7">
        <v>33.537399999999998</v>
      </c>
      <c r="E1907" s="7">
        <f t="shared" si="58"/>
        <v>63888.746999999996</v>
      </c>
      <c r="F1907" s="7">
        <f t="shared" si="59"/>
        <v>3629025</v>
      </c>
      <c r="G1907" s="7"/>
    </row>
    <row r="1908" spans="1:7" x14ac:dyDescent="0.35">
      <c r="A1908" t="str">
        <f>"2012-09-20"</f>
        <v>2012-09-20</v>
      </c>
      <c r="B1908" t="str">
        <f>"33.4678"</f>
        <v>33.4678</v>
      </c>
      <c r="C1908">
        <v>1906</v>
      </c>
      <c r="D1908" s="7">
        <v>33.467799999999997</v>
      </c>
      <c r="E1908" s="7">
        <f t="shared" si="58"/>
        <v>63789.626799999991</v>
      </c>
      <c r="F1908" s="7">
        <f t="shared" si="59"/>
        <v>3632836</v>
      </c>
      <c r="G1908" s="7"/>
    </row>
    <row r="1909" spans="1:7" x14ac:dyDescent="0.35">
      <c r="A1909" t="str">
        <f>"2012-09-21"</f>
        <v>2012-09-21</v>
      </c>
      <c r="B1909" t="str">
        <f>"33.4896"</f>
        <v>33.4896</v>
      </c>
      <c r="C1909">
        <v>1907</v>
      </c>
      <c r="D1909" s="7">
        <v>33.489600000000003</v>
      </c>
      <c r="E1909" s="7">
        <f t="shared" si="58"/>
        <v>63864.667200000004</v>
      </c>
      <c r="F1909" s="7">
        <f t="shared" si="59"/>
        <v>3636649</v>
      </c>
      <c r="G1909" s="7"/>
    </row>
    <row r="1910" spans="1:7" x14ac:dyDescent="0.35">
      <c r="A1910" t="str">
        <f>"2012-09-24"</f>
        <v>2012-09-24</v>
      </c>
      <c r="B1910" t="str">
        <f>"33.7794"</f>
        <v>33.7794</v>
      </c>
      <c r="C1910">
        <v>1908</v>
      </c>
      <c r="D1910" s="7">
        <v>33.779400000000003</v>
      </c>
      <c r="E1910" s="7">
        <f t="shared" si="58"/>
        <v>64451.095200000003</v>
      </c>
      <c r="F1910" s="7">
        <f t="shared" si="59"/>
        <v>3640464</v>
      </c>
      <c r="G1910" s="7"/>
    </row>
    <row r="1911" spans="1:7" x14ac:dyDescent="0.35">
      <c r="A1911" t="str">
        <f>"2012-09-25"</f>
        <v>2012-09-25</v>
      </c>
      <c r="B1911" t="str">
        <f>"34.2175"</f>
        <v>34.2175</v>
      </c>
      <c r="C1911">
        <v>1909</v>
      </c>
      <c r="D1911" s="7">
        <v>34.217500000000001</v>
      </c>
      <c r="E1911" s="7">
        <f t="shared" si="58"/>
        <v>65321.207500000004</v>
      </c>
      <c r="F1911" s="7">
        <f t="shared" si="59"/>
        <v>3644281</v>
      </c>
      <c r="G1911" s="7"/>
    </row>
    <row r="1912" spans="1:7" x14ac:dyDescent="0.35">
      <c r="A1912" t="str">
        <f>"2012-09-26"</f>
        <v>2012-09-26</v>
      </c>
      <c r="B1912" t="str">
        <f>"35.0294"</f>
        <v>35.0294</v>
      </c>
      <c r="C1912">
        <v>1910</v>
      </c>
      <c r="D1912" s="7">
        <v>35.029400000000003</v>
      </c>
      <c r="E1912" s="7">
        <f t="shared" si="58"/>
        <v>66906.15400000001</v>
      </c>
      <c r="F1912" s="7">
        <f t="shared" si="59"/>
        <v>3648100</v>
      </c>
      <c r="G1912" s="7"/>
    </row>
    <row r="1913" spans="1:7" x14ac:dyDescent="0.35">
      <c r="A1913" t="str">
        <f>"2012-09-27"</f>
        <v>2012-09-27</v>
      </c>
      <c r="B1913" t="str">
        <f>"32.7853"</f>
        <v>32.7853</v>
      </c>
      <c r="C1913">
        <v>1911</v>
      </c>
      <c r="D1913" s="7">
        <v>32.785299999999999</v>
      </c>
      <c r="E1913" s="7">
        <f t="shared" si="58"/>
        <v>62652.708299999998</v>
      </c>
      <c r="F1913" s="7">
        <f t="shared" si="59"/>
        <v>3651921</v>
      </c>
      <c r="G1913" s="7"/>
    </row>
    <row r="1914" spans="1:7" x14ac:dyDescent="0.35">
      <c r="A1914" t="str">
        <f>"2012-09-28"</f>
        <v>2012-09-28</v>
      </c>
      <c r="B1914" t="str">
        <f>"32.1215"</f>
        <v>32.1215</v>
      </c>
      <c r="C1914">
        <v>1912</v>
      </c>
      <c r="D1914" s="7">
        <v>32.121499999999997</v>
      </c>
      <c r="E1914" s="7">
        <f t="shared" si="58"/>
        <v>61416.307999999997</v>
      </c>
      <c r="F1914" s="7">
        <f t="shared" si="59"/>
        <v>3655744</v>
      </c>
      <c r="G1914" s="7"/>
    </row>
    <row r="1915" spans="1:7" x14ac:dyDescent="0.35">
      <c r="A1915" t="str">
        <f>"2012-10-01"</f>
        <v>2012-10-01</v>
      </c>
      <c r="B1915" t="str">
        <f>"32.637"</f>
        <v>32.637</v>
      </c>
      <c r="C1915">
        <v>1913</v>
      </c>
      <c r="D1915" s="7">
        <v>32.637</v>
      </c>
      <c r="E1915" s="7">
        <f t="shared" si="58"/>
        <v>62434.580999999998</v>
      </c>
      <c r="F1915" s="7">
        <f t="shared" si="59"/>
        <v>3659569</v>
      </c>
      <c r="G1915" s="7"/>
    </row>
    <row r="1916" spans="1:7" x14ac:dyDescent="0.35">
      <c r="A1916" t="str">
        <f>"2012-10-02"</f>
        <v>2012-10-02</v>
      </c>
      <c r="B1916" t="str">
        <f>"33.4783"</f>
        <v>33.4783</v>
      </c>
      <c r="C1916">
        <v>1914</v>
      </c>
      <c r="D1916" s="7">
        <v>33.478299999999997</v>
      </c>
      <c r="E1916" s="7">
        <f t="shared" si="58"/>
        <v>64077.466199999995</v>
      </c>
      <c r="F1916" s="7">
        <f t="shared" si="59"/>
        <v>3663396</v>
      </c>
      <c r="G1916" s="7"/>
    </row>
    <row r="1917" spans="1:7" x14ac:dyDescent="0.35">
      <c r="A1917" t="str">
        <f>"2012-10-03"</f>
        <v>2012-10-03</v>
      </c>
      <c r="B1917" t="str">
        <f>"33.1527"</f>
        <v>33.1527</v>
      </c>
      <c r="C1917">
        <v>1915</v>
      </c>
      <c r="D1917" s="7">
        <v>33.152700000000003</v>
      </c>
      <c r="E1917" s="7">
        <f t="shared" si="58"/>
        <v>63487.420500000007</v>
      </c>
      <c r="F1917" s="7">
        <f t="shared" si="59"/>
        <v>3667225</v>
      </c>
      <c r="G1917" s="7"/>
    </row>
    <row r="1918" spans="1:7" x14ac:dyDescent="0.35">
      <c r="A1918" t="str">
        <f>"2012-10-04"</f>
        <v>2012-10-04</v>
      </c>
      <c r="B1918" t="str">
        <f>"32.9293"</f>
        <v>32.9293</v>
      </c>
      <c r="C1918">
        <v>1916</v>
      </c>
      <c r="D1918" s="7">
        <v>32.929299999999998</v>
      </c>
      <c r="E1918" s="7">
        <f t="shared" si="58"/>
        <v>63092.538799999995</v>
      </c>
      <c r="F1918" s="7">
        <f t="shared" si="59"/>
        <v>3671056</v>
      </c>
      <c r="G1918" s="7"/>
    </row>
    <row r="1919" spans="1:7" x14ac:dyDescent="0.35">
      <c r="A1919" t="str">
        <f>"2012-10-05"</f>
        <v>2012-10-05</v>
      </c>
      <c r="B1919" t="str">
        <f>"33.6123"</f>
        <v>33.6123</v>
      </c>
      <c r="C1919">
        <v>1917</v>
      </c>
      <c r="D1919" s="7">
        <v>33.612299999999998</v>
      </c>
      <c r="E1919" s="7">
        <f t="shared" si="58"/>
        <v>64434.779099999992</v>
      </c>
      <c r="F1919" s="7">
        <f t="shared" si="59"/>
        <v>3674889</v>
      </c>
      <c r="G1919" s="7"/>
    </row>
    <row r="1920" spans="1:7" x14ac:dyDescent="0.35">
      <c r="A1920" t="str">
        <f>"2012-10-08"</f>
        <v>2012-10-08</v>
      </c>
      <c r="B1920" t="str">
        <f>"33.627"</f>
        <v>33.627</v>
      </c>
      <c r="C1920">
        <v>1918</v>
      </c>
      <c r="D1920" s="7">
        <v>33.627000000000002</v>
      </c>
      <c r="E1920" s="7">
        <f t="shared" si="58"/>
        <v>64496.586000000003</v>
      </c>
      <c r="F1920" s="7">
        <f t="shared" si="59"/>
        <v>3678724</v>
      </c>
      <c r="G1920" s="7"/>
    </row>
    <row r="1921" spans="1:7" x14ac:dyDescent="0.35">
      <c r="A1921" t="str">
        <f>"2012-10-09"</f>
        <v>2012-10-09</v>
      </c>
      <c r="B1921" t="str">
        <f>"33.6968"</f>
        <v>33.6968</v>
      </c>
      <c r="C1921">
        <v>1919</v>
      </c>
      <c r="D1921" s="7">
        <v>33.696800000000003</v>
      </c>
      <c r="E1921" s="7">
        <f t="shared" si="58"/>
        <v>64664.159200000009</v>
      </c>
      <c r="F1921" s="7">
        <f t="shared" si="59"/>
        <v>3682561</v>
      </c>
      <c r="G1921" s="7"/>
    </row>
    <row r="1922" spans="1:7" x14ac:dyDescent="0.35">
      <c r="A1922" t="str">
        <f>"2012-10-10"</f>
        <v>2012-10-10</v>
      </c>
      <c r="B1922" t="str">
        <f>"33.6073"</f>
        <v>33.6073</v>
      </c>
      <c r="C1922">
        <v>1920</v>
      </c>
      <c r="D1922" s="7">
        <v>33.607300000000002</v>
      </c>
      <c r="E1922" s="7">
        <f t="shared" si="58"/>
        <v>64526.016000000003</v>
      </c>
      <c r="F1922" s="7">
        <f t="shared" si="59"/>
        <v>3686400</v>
      </c>
      <c r="G1922" s="7"/>
    </row>
    <row r="1923" spans="1:7" x14ac:dyDescent="0.35">
      <c r="A1923" t="str">
        <f>"2012-10-11"</f>
        <v>2012-10-11</v>
      </c>
      <c r="B1923" t="str">
        <f>"33.6307"</f>
        <v>33.6307</v>
      </c>
      <c r="C1923">
        <v>1921</v>
      </c>
      <c r="D1923" s="7">
        <v>33.630699999999997</v>
      </c>
      <c r="E1923" s="7">
        <f t="shared" si="58"/>
        <v>64604.574699999997</v>
      </c>
      <c r="F1923" s="7">
        <f t="shared" si="59"/>
        <v>3690241</v>
      </c>
      <c r="G1923" s="7"/>
    </row>
    <row r="1924" spans="1:7" x14ac:dyDescent="0.35">
      <c r="A1924" t="str">
        <f>"2012-10-12"</f>
        <v>2012-10-12</v>
      </c>
      <c r="B1924" t="str">
        <f>"34.4061"</f>
        <v>34.4061</v>
      </c>
      <c r="C1924">
        <v>1922</v>
      </c>
      <c r="D1924" s="7">
        <v>34.406100000000002</v>
      </c>
      <c r="E1924" s="7">
        <f t="shared" ref="E1924:E1987" si="60">C1924*D1924</f>
        <v>66128.5242</v>
      </c>
      <c r="F1924" s="7">
        <f t="shared" ref="F1924:F1987" si="61">C1924*C1924</f>
        <v>3694084</v>
      </c>
      <c r="G1924" s="7"/>
    </row>
    <row r="1925" spans="1:7" x14ac:dyDescent="0.35">
      <c r="A1925" t="str">
        <f>"2012-10-15"</f>
        <v>2012-10-15</v>
      </c>
      <c r="B1925" t="str">
        <f>"35.1898"</f>
        <v>35.1898</v>
      </c>
      <c r="C1925">
        <v>1923</v>
      </c>
      <c r="D1925" s="7">
        <v>35.189799999999998</v>
      </c>
      <c r="E1925" s="7">
        <f t="shared" si="60"/>
        <v>67669.98539999999</v>
      </c>
      <c r="F1925" s="7">
        <f t="shared" si="61"/>
        <v>3697929</v>
      </c>
      <c r="G1925" s="7"/>
    </row>
    <row r="1926" spans="1:7" x14ac:dyDescent="0.35">
      <c r="A1926" t="str">
        <f>"2012-10-16"</f>
        <v>2012-10-16</v>
      </c>
      <c r="B1926" t="str">
        <f>"34.95"</f>
        <v>34.95</v>
      </c>
      <c r="C1926">
        <v>1924</v>
      </c>
      <c r="D1926" s="7">
        <v>34.950000000000003</v>
      </c>
      <c r="E1926" s="7">
        <f t="shared" si="60"/>
        <v>67243.8</v>
      </c>
      <c r="F1926" s="7">
        <f t="shared" si="61"/>
        <v>3701776</v>
      </c>
      <c r="G1926" s="7"/>
    </row>
    <row r="1927" spans="1:7" x14ac:dyDescent="0.35">
      <c r="A1927" t="str">
        <f>"2012-10-17"</f>
        <v>2012-10-17</v>
      </c>
      <c r="B1927" t="str">
        <f>"34.9947"</f>
        <v>34.9947</v>
      </c>
      <c r="C1927">
        <v>1925</v>
      </c>
      <c r="D1927" s="7">
        <v>34.994700000000002</v>
      </c>
      <c r="E1927" s="7">
        <f t="shared" si="60"/>
        <v>67364.797500000001</v>
      </c>
      <c r="F1927" s="7">
        <f t="shared" si="61"/>
        <v>3705625</v>
      </c>
      <c r="G1927" s="7"/>
    </row>
    <row r="1928" spans="1:7" x14ac:dyDescent="0.35">
      <c r="A1928" t="str">
        <f>"2012-10-18"</f>
        <v>2012-10-18</v>
      </c>
      <c r="B1928" t="str">
        <f>"34.769"</f>
        <v>34.769</v>
      </c>
      <c r="C1928">
        <v>1926</v>
      </c>
      <c r="D1928" s="7">
        <v>34.768999999999998</v>
      </c>
      <c r="E1928" s="7">
        <f t="shared" si="60"/>
        <v>66965.093999999997</v>
      </c>
      <c r="F1928" s="7">
        <f t="shared" si="61"/>
        <v>3709476</v>
      </c>
      <c r="G1928" s="7"/>
    </row>
    <row r="1929" spans="1:7" x14ac:dyDescent="0.35">
      <c r="A1929" t="str">
        <f>"2012-10-19"</f>
        <v>2012-10-19</v>
      </c>
      <c r="B1929" t="str">
        <f>"35.2023"</f>
        <v>35.2023</v>
      </c>
      <c r="C1929">
        <v>1927</v>
      </c>
      <c r="D1929" s="7">
        <v>35.202300000000001</v>
      </c>
      <c r="E1929" s="7">
        <f t="shared" si="60"/>
        <v>67834.8321</v>
      </c>
      <c r="F1929" s="7">
        <f t="shared" si="61"/>
        <v>3713329</v>
      </c>
      <c r="G1929" s="7"/>
    </row>
    <row r="1930" spans="1:7" x14ac:dyDescent="0.35">
      <c r="A1930" t="str">
        <f>"2012-10-22"</f>
        <v>2012-10-22</v>
      </c>
      <c r="B1930" t="str">
        <f>"35.3885"</f>
        <v>35.3885</v>
      </c>
      <c r="C1930">
        <v>1928</v>
      </c>
      <c r="D1930" s="7">
        <v>35.388500000000001</v>
      </c>
      <c r="E1930" s="7">
        <f t="shared" si="60"/>
        <v>68229.028000000006</v>
      </c>
      <c r="F1930" s="7">
        <f t="shared" si="61"/>
        <v>3717184</v>
      </c>
      <c r="G1930" s="7"/>
    </row>
    <row r="1931" spans="1:7" x14ac:dyDescent="0.35">
      <c r="A1931" t="str">
        <f>"2012-10-23"</f>
        <v>2012-10-23</v>
      </c>
      <c r="B1931" t="str">
        <f>"35.9446"</f>
        <v>35.9446</v>
      </c>
      <c r="C1931">
        <v>1929</v>
      </c>
      <c r="D1931" s="7">
        <v>35.944600000000001</v>
      </c>
      <c r="E1931" s="7">
        <f t="shared" si="60"/>
        <v>69337.133400000006</v>
      </c>
      <c r="F1931" s="7">
        <f t="shared" si="61"/>
        <v>3721041</v>
      </c>
      <c r="G1931" s="7"/>
    </row>
    <row r="1932" spans="1:7" x14ac:dyDescent="0.35">
      <c r="A1932" t="str">
        <f>"2012-10-24"</f>
        <v>2012-10-24</v>
      </c>
      <c r="B1932" t="str">
        <f>"35.9411"</f>
        <v>35.9411</v>
      </c>
      <c r="C1932">
        <v>1930</v>
      </c>
      <c r="D1932" s="7">
        <v>35.941099999999999</v>
      </c>
      <c r="E1932" s="7">
        <f t="shared" si="60"/>
        <v>69366.323000000004</v>
      </c>
      <c r="F1932" s="7">
        <f t="shared" si="61"/>
        <v>3724900</v>
      </c>
      <c r="G1932" s="7"/>
    </row>
    <row r="1933" spans="1:7" x14ac:dyDescent="0.35">
      <c r="A1933" t="str">
        <f>"2012-10-25"</f>
        <v>2012-10-25</v>
      </c>
      <c r="B1933" t="str">
        <f>"35.6765"</f>
        <v>35.6765</v>
      </c>
      <c r="C1933">
        <v>1931</v>
      </c>
      <c r="D1933" s="7">
        <v>35.676499999999997</v>
      </c>
      <c r="E1933" s="7">
        <f t="shared" si="60"/>
        <v>68891.321499999991</v>
      </c>
      <c r="F1933" s="7">
        <f t="shared" si="61"/>
        <v>3728761</v>
      </c>
      <c r="G1933" s="7"/>
    </row>
    <row r="1934" spans="1:7" x14ac:dyDescent="0.35">
      <c r="A1934" t="str">
        <f>"2012-10-26"</f>
        <v>2012-10-26</v>
      </c>
      <c r="B1934" t="str">
        <f>"35.7588"</f>
        <v>35.7588</v>
      </c>
      <c r="C1934">
        <v>1932</v>
      </c>
      <c r="D1934" s="7">
        <v>35.758800000000001</v>
      </c>
      <c r="E1934" s="7">
        <f t="shared" si="60"/>
        <v>69086.001600000003</v>
      </c>
      <c r="F1934" s="7">
        <f t="shared" si="61"/>
        <v>3732624</v>
      </c>
      <c r="G1934" s="7"/>
    </row>
    <row r="1935" spans="1:7" x14ac:dyDescent="0.35">
      <c r="A1935" t="str">
        <f>"2012-10-31"</f>
        <v>2012-10-31</v>
      </c>
      <c r="B1935" t="str">
        <f>"36.3771"</f>
        <v>36.3771</v>
      </c>
      <c r="C1935">
        <v>1933</v>
      </c>
      <c r="D1935" s="7">
        <v>36.377099999999999</v>
      </c>
      <c r="E1935" s="7">
        <f t="shared" si="60"/>
        <v>70316.934299999994</v>
      </c>
      <c r="F1935" s="7">
        <f t="shared" si="61"/>
        <v>3736489</v>
      </c>
      <c r="G1935" s="7"/>
    </row>
    <row r="1936" spans="1:7" x14ac:dyDescent="0.35">
      <c r="A1936" t="str">
        <f>"2012-11-01"</f>
        <v>2012-11-01</v>
      </c>
      <c r="B1936" t="str">
        <f>"36.9831"</f>
        <v>36.9831</v>
      </c>
      <c r="C1936">
        <v>1934</v>
      </c>
      <c r="D1936" s="7">
        <v>36.9831</v>
      </c>
      <c r="E1936" s="7">
        <f t="shared" si="60"/>
        <v>71525.315400000007</v>
      </c>
      <c r="F1936" s="7">
        <f t="shared" si="61"/>
        <v>3740356</v>
      </c>
      <c r="G1936" s="7"/>
    </row>
    <row r="1937" spans="1:7" x14ac:dyDescent="0.35">
      <c r="A1937" t="str">
        <f>"2012-11-02"</f>
        <v>2012-11-02</v>
      </c>
      <c r="B1937" t="str">
        <f>"37.7919"</f>
        <v>37.7919</v>
      </c>
      <c r="C1937">
        <v>1935</v>
      </c>
      <c r="D1937" s="7">
        <v>37.791899999999998</v>
      </c>
      <c r="E1937" s="7">
        <f t="shared" si="60"/>
        <v>73127.326499999996</v>
      </c>
      <c r="F1937" s="7">
        <f t="shared" si="61"/>
        <v>3744225</v>
      </c>
      <c r="G1937" s="7"/>
    </row>
    <row r="1938" spans="1:7" x14ac:dyDescent="0.35">
      <c r="A1938" t="str">
        <f>"2012-11-05"</f>
        <v>2012-11-05</v>
      </c>
      <c r="B1938" t="str">
        <f>"38.5038"</f>
        <v>38.5038</v>
      </c>
      <c r="C1938">
        <v>1936</v>
      </c>
      <c r="D1938" s="7">
        <v>38.503799999999998</v>
      </c>
      <c r="E1938" s="7">
        <f t="shared" si="60"/>
        <v>74543.356799999994</v>
      </c>
      <c r="F1938" s="7">
        <f t="shared" si="61"/>
        <v>3748096</v>
      </c>
      <c r="G1938" s="7"/>
    </row>
    <row r="1939" spans="1:7" x14ac:dyDescent="0.35">
      <c r="A1939" t="str">
        <f>"2012-11-06"</f>
        <v>2012-11-06</v>
      </c>
      <c r="B1939" t="str">
        <f>"38.1975"</f>
        <v>38.1975</v>
      </c>
      <c r="C1939">
        <v>1937</v>
      </c>
      <c r="D1939" s="7">
        <v>38.197499999999998</v>
      </c>
      <c r="E1939" s="7">
        <f t="shared" si="60"/>
        <v>73988.557499999995</v>
      </c>
      <c r="F1939" s="7">
        <f t="shared" si="61"/>
        <v>3751969</v>
      </c>
      <c r="G1939" s="7"/>
    </row>
    <row r="1940" spans="1:7" x14ac:dyDescent="0.35">
      <c r="A1940" t="str">
        <f>"2012-11-07"</f>
        <v>2012-11-07</v>
      </c>
      <c r="B1940" t="str">
        <f>"37.8503"</f>
        <v>37.8503</v>
      </c>
      <c r="C1940">
        <v>1938</v>
      </c>
      <c r="D1940" s="7">
        <v>37.850299999999997</v>
      </c>
      <c r="E1940" s="7">
        <f t="shared" si="60"/>
        <v>73353.881399999998</v>
      </c>
      <c r="F1940" s="7">
        <f t="shared" si="61"/>
        <v>3755844</v>
      </c>
      <c r="G1940" s="7"/>
    </row>
    <row r="1941" spans="1:7" x14ac:dyDescent="0.35">
      <c r="A1941" t="str">
        <f>"2012-11-08"</f>
        <v>2012-11-08</v>
      </c>
      <c r="B1941" t="str">
        <f>"38.3024"</f>
        <v>38.3024</v>
      </c>
      <c r="C1941">
        <v>1939</v>
      </c>
      <c r="D1941" s="7">
        <v>38.302399999999999</v>
      </c>
      <c r="E1941" s="7">
        <f t="shared" si="60"/>
        <v>74268.353600000002</v>
      </c>
      <c r="F1941" s="7">
        <f t="shared" si="61"/>
        <v>3759721</v>
      </c>
      <c r="G1941" s="7"/>
    </row>
    <row r="1942" spans="1:7" x14ac:dyDescent="0.35">
      <c r="A1942" t="str">
        <f>"2012-11-09"</f>
        <v>2012-11-09</v>
      </c>
      <c r="B1942" t="str">
        <f>"36.7739"</f>
        <v>36.7739</v>
      </c>
      <c r="C1942">
        <v>1940</v>
      </c>
      <c r="D1942" s="7">
        <v>36.773899999999998</v>
      </c>
      <c r="E1942" s="7">
        <f t="shared" si="60"/>
        <v>71341.365999999995</v>
      </c>
      <c r="F1942" s="7">
        <f t="shared" si="61"/>
        <v>3763600</v>
      </c>
      <c r="G1942" s="7"/>
    </row>
    <row r="1943" spans="1:7" x14ac:dyDescent="0.35">
      <c r="A1943" t="str">
        <f>"2012-11-12"</f>
        <v>2012-11-12</v>
      </c>
      <c r="B1943" t="str">
        <f>"37.1093"</f>
        <v>37.1093</v>
      </c>
      <c r="C1943">
        <v>1941</v>
      </c>
      <c r="D1943" s="7">
        <v>37.109299999999998</v>
      </c>
      <c r="E1943" s="7">
        <f t="shared" si="60"/>
        <v>72029.151299999998</v>
      </c>
      <c r="F1943" s="7">
        <f t="shared" si="61"/>
        <v>3767481</v>
      </c>
      <c r="G1943" s="7"/>
    </row>
    <row r="1944" spans="1:7" x14ac:dyDescent="0.35">
      <c r="A1944" t="str">
        <f>"2012-11-13"</f>
        <v>2012-11-13</v>
      </c>
      <c r="B1944" t="str">
        <f>"37.9827"</f>
        <v>37.9827</v>
      </c>
      <c r="C1944">
        <v>1942</v>
      </c>
      <c r="D1944" s="7">
        <v>37.982700000000001</v>
      </c>
      <c r="E1944" s="7">
        <f t="shared" si="60"/>
        <v>73762.403399999996</v>
      </c>
      <c r="F1944" s="7">
        <f t="shared" si="61"/>
        <v>3771364</v>
      </c>
      <c r="G1944" s="7"/>
    </row>
    <row r="1945" spans="1:7" x14ac:dyDescent="0.35">
      <c r="A1945" t="str">
        <f>"2012-11-14"</f>
        <v>2012-11-14</v>
      </c>
      <c r="B1945" t="str">
        <f>"38.2461"</f>
        <v>38.2461</v>
      </c>
      <c r="C1945">
        <v>1943</v>
      </c>
      <c r="D1945" s="7">
        <v>38.246099999999998</v>
      </c>
      <c r="E1945" s="7">
        <f t="shared" si="60"/>
        <v>74312.172299999991</v>
      </c>
      <c r="F1945" s="7">
        <f t="shared" si="61"/>
        <v>3775249</v>
      </c>
      <c r="G1945" s="7"/>
    </row>
    <row r="1946" spans="1:7" x14ac:dyDescent="0.35">
      <c r="A1946" t="str">
        <f>"2012-11-15"</f>
        <v>2012-11-15</v>
      </c>
      <c r="B1946" t="str">
        <f>"39.6935"</f>
        <v>39.6935</v>
      </c>
      <c r="C1946">
        <v>1944</v>
      </c>
      <c r="D1946" s="7">
        <v>39.6935</v>
      </c>
      <c r="E1946" s="7">
        <f t="shared" si="60"/>
        <v>77164.164000000004</v>
      </c>
      <c r="F1946" s="7">
        <f t="shared" si="61"/>
        <v>3779136</v>
      </c>
      <c r="G1946" s="7"/>
    </row>
    <row r="1947" spans="1:7" x14ac:dyDescent="0.35">
      <c r="A1947" t="str">
        <f>"2012-11-16"</f>
        <v>2012-11-16</v>
      </c>
      <c r="B1947" t="str">
        <f>"38.6393"</f>
        <v>38.6393</v>
      </c>
      <c r="C1947">
        <v>1945</v>
      </c>
      <c r="D1947" s="7">
        <v>38.639299999999999</v>
      </c>
      <c r="E1947" s="7">
        <f t="shared" si="60"/>
        <v>75153.438500000004</v>
      </c>
      <c r="F1947" s="7">
        <f t="shared" si="61"/>
        <v>3783025</v>
      </c>
      <c r="G1947" s="7"/>
    </row>
    <row r="1948" spans="1:7" x14ac:dyDescent="0.35">
      <c r="A1948" t="str">
        <f>"2012-11-19"</f>
        <v>2012-11-19</v>
      </c>
      <c r="B1948" t="str">
        <f>"41.7619"</f>
        <v>41.7619</v>
      </c>
      <c r="C1948">
        <v>1946</v>
      </c>
      <c r="D1948" s="7">
        <v>41.761899999999997</v>
      </c>
      <c r="E1948" s="7">
        <f t="shared" si="60"/>
        <v>81268.657399999996</v>
      </c>
      <c r="F1948" s="7">
        <f t="shared" si="61"/>
        <v>3786916</v>
      </c>
      <c r="G1948" s="7"/>
    </row>
    <row r="1949" spans="1:7" x14ac:dyDescent="0.35">
      <c r="A1949" t="str">
        <f>"2012-11-20"</f>
        <v>2012-11-20</v>
      </c>
      <c r="B1949" t="str">
        <f>"41.4378"</f>
        <v>41.4378</v>
      </c>
      <c r="C1949">
        <v>1947</v>
      </c>
      <c r="D1949" s="7">
        <v>41.437800000000003</v>
      </c>
      <c r="E1949" s="7">
        <f t="shared" si="60"/>
        <v>80679.396600000007</v>
      </c>
      <c r="F1949" s="7">
        <f t="shared" si="61"/>
        <v>3790809</v>
      </c>
      <c r="G1949" s="7"/>
    </row>
    <row r="1950" spans="1:7" x14ac:dyDescent="0.35">
      <c r="A1950" t="str">
        <f>"2012-11-21"</f>
        <v>2012-11-21</v>
      </c>
      <c r="B1950" t="str">
        <f>"41.3946"</f>
        <v>41.3946</v>
      </c>
      <c r="C1950">
        <v>1948</v>
      </c>
      <c r="D1950" s="7">
        <v>41.394599999999997</v>
      </c>
      <c r="E1950" s="7">
        <f t="shared" si="60"/>
        <v>80636.680799999987</v>
      </c>
      <c r="F1950" s="7">
        <f t="shared" si="61"/>
        <v>3794704</v>
      </c>
      <c r="G1950" s="7"/>
    </row>
    <row r="1951" spans="1:7" x14ac:dyDescent="0.35">
      <c r="A1951" t="str">
        <f>"2012-11-23"</f>
        <v>2012-11-23</v>
      </c>
      <c r="B1951" t="str">
        <f>"41.3406"</f>
        <v>41.3406</v>
      </c>
      <c r="C1951">
        <v>1949</v>
      </c>
      <c r="D1951" s="7">
        <v>41.340600000000002</v>
      </c>
      <c r="E1951" s="7">
        <f t="shared" si="60"/>
        <v>80572.829400000002</v>
      </c>
      <c r="F1951" s="7">
        <f t="shared" si="61"/>
        <v>3798601</v>
      </c>
      <c r="G1951" s="7"/>
    </row>
    <row r="1952" spans="1:7" x14ac:dyDescent="0.35">
      <c r="A1952" t="str">
        <f>"2012-11-26"</f>
        <v>2012-11-26</v>
      </c>
      <c r="B1952" t="str">
        <f>"42.7357"</f>
        <v>42.7357</v>
      </c>
      <c r="C1952">
        <v>1950</v>
      </c>
      <c r="D1952" s="7">
        <v>42.735700000000001</v>
      </c>
      <c r="E1952" s="7">
        <f t="shared" si="60"/>
        <v>83334.615000000005</v>
      </c>
      <c r="F1952" s="7">
        <f t="shared" si="61"/>
        <v>3802500</v>
      </c>
      <c r="G1952" s="7"/>
    </row>
    <row r="1953" spans="1:7" x14ac:dyDescent="0.35">
      <c r="A1953" t="str">
        <f>"2012-11-27"</f>
        <v>2012-11-27</v>
      </c>
      <c r="B1953" t="str">
        <f>"43.614"</f>
        <v>43.614</v>
      </c>
      <c r="C1953">
        <v>1951</v>
      </c>
      <c r="D1953" s="7">
        <v>43.613999999999997</v>
      </c>
      <c r="E1953" s="7">
        <f t="shared" si="60"/>
        <v>85090.91399999999</v>
      </c>
      <c r="F1953" s="7">
        <f t="shared" si="61"/>
        <v>3806401</v>
      </c>
      <c r="G1953" s="7"/>
    </row>
    <row r="1954" spans="1:7" x14ac:dyDescent="0.35">
      <c r="A1954" t="str">
        <f>"2012-11-28"</f>
        <v>2012-11-28</v>
      </c>
      <c r="B1954" t="str">
        <f>"45.2286"</f>
        <v>45.2286</v>
      </c>
      <c r="C1954">
        <v>1952</v>
      </c>
      <c r="D1954" s="7">
        <v>45.2286</v>
      </c>
      <c r="E1954" s="7">
        <f t="shared" si="60"/>
        <v>88286.227199999994</v>
      </c>
      <c r="F1954" s="7">
        <f t="shared" si="61"/>
        <v>3810304</v>
      </c>
      <c r="G1954" s="7"/>
    </row>
    <row r="1955" spans="1:7" x14ac:dyDescent="0.35">
      <c r="A1955" t="str">
        <f>"2012-11-29"</f>
        <v>2012-11-29</v>
      </c>
      <c r="B1955" t="str">
        <f>"44.6135"</f>
        <v>44.6135</v>
      </c>
      <c r="C1955">
        <v>1953</v>
      </c>
      <c r="D1955" s="7">
        <v>44.613500000000002</v>
      </c>
      <c r="E1955" s="7">
        <f t="shared" si="60"/>
        <v>87130.165500000003</v>
      </c>
      <c r="F1955" s="7">
        <f t="shared" si="61"/>
        <v>3814209</v>
      </c>
      <c r="G1955" s="7"/>
    </row>
    <row r="1956" spans="1:7" x14ac:dyDescent="0.35">
      <c r="A1956" t="str">
        <f>"2012-11-30"</f>
        <v>2012-11-30</v>
      </c>
      <c r="B1956" t="str">
        <f>"46.5816"</f>
        <v>46.5816</v>
      </c>
      <c r="C1956">
        <v>1954</v>
      </c>
      <c r="D1956" s="7">
        <v>46.581600000000002</v>
      </c>
      <c r="E1956" s="7">
        <f t="shared" si="60"/>
        <v>91020.446400000001</v>
      </c>
      <c r="F1956" s="7">
        <f t="shared" si="61"/>
        <v>3818116</v>
      </c>
      <c r="G1956" s="7"/>
    </row>
    <row r="1957" spans="1:7" x14ac:dyDescent="0.35">
      <c r="A1957" t="str">
        <f>"2012-12-03"</f>
        <v>2012-12-03</v>
      </c>
      <c r="B1957" t="str">
        <f>"49.3279"</f>
        <v>49.3279</v>
      </c>
      <c r="C1957">
        <v>1955</v>
      </c>
      <c r="D1957" s="7">
        <v>49.3279</v>
      </c>
      <c r="E1957" s="7">
        <f t="shared" si="60"/>
        <v>96436.044500000004</v>
      </c>
      <c r="F1957" s="7">
        <f t="shared" si="61"/>
        <v>3822025</v>
      </c>
      <c r="G1957" s="7"/>
    </row>
    <row r="1958" spans="1:7" x14ac:dyDescent="0.35">
      <c r="A1958" t="str">
        <f>"2012-12-04"</f>
        <v>2012-12-04</v>
      </c>
      <c r="B1958" t="str">
        <f>"52.5764"</f>
        <v>52.5764</v>
      </c>
      <c r="C1958">
        <v>1956</v>
      </c>
      <c r="D1958" s="7">
        <v>52.5764</v>
      </c>
      <c r="E1958" s="7">
        <f t="shared" si="60"/>
        <v>102839.4384</v>
      </c>
      <c r="F1958" s="7">
        <f t="shared" si="61"/>
        <v>3825936</v>
      </c>
      <c r="G1958" s="7"/>
    </row>
    <row r="1959" spans="1:7" x14ac:dyDescent="0.35">
      <c r="A1959" t="str">
        <f>"2012-12-05"</f>
        <v>2012-12-05</v>
      </c>
      <c r="B1959" t="str">
        <f>"51.4178"</f>
        <v>51.4178</v>
      </c>
      <c r="C1959">
        <v>1957</v>
      </c>
      <c r="D1959" s="7">
        <v>51.4178</v>
      </c>
      <c r="E1959" s="7">
        <f t="shared" si="60"/>
        <v>100624.6346</v>
      </c>
      <c r="F1959" s="7">
        <f t="shared" si="61"/>
        <v>3829849</v>
      </c>
      <c r="G1959" s="7"/>
    </row>
    <row r="1960" spans="1:7" x14ac:dyDescent="0.35">
      <c r="A1960" t="str">
        <f>"2012-12-06"</f>
        <v>2012-12-06</v>
      </c>
      <c r="B1960" t="str">
        <f>"52.9043"</f>
        <v>52.9043</v>
      </c>
      <c r="C1960">
        <v>1958</v>
      </c>
      <c r="D1960" s="7">
        <v>52.904299999999999</v>
      </c>
      <c r="E1960" s="7">
        <f t="shared" si="60"/>
        <v>103586.6194</v>
      </c>
      <c r="F1960" s="7">
        <f t="shared" si="61"/>
        <v>3833764</v>
      </c>
      <c r="G1960" s="7"/>
    </row>
    <row r="1961" spans="1:7" x14ac:dyDescent="0.35">
      <c r="A1961" t="str">
        <f>"2012-12-07"</f>
        <v>2012-12-07</v>
      </c>
      <c r="B1961" t="str">
        <f>"51.8113"</f>
        <v>51.8113</v>
      </c>
      <c r="C1961">
        <v>1959</v>
      </c>
      <c r="D1961" s="7">
        <v>51.811300000000003</v>
      </c>
      <c r="E1961" s="7">
        <f t="shared" si="60"/>
        <v>101498.3367</v>
      </c>
      <c r="F1961" s="7">
        <f t="shared" si="61"/>
        <v>3837681</v>
      </c>
      <c r="G1961" s="7"/>
    </row>
    <row r="1962" spans="1:7" x14ac:dyDescent="0.35">
      <c r="A1962" t="str">
        <f>"2012-12-10"</f>
        <v>2012-12-10</v>
      </c>
      <c r="B1962" t="str">
        <f>"51.8927"</f>
        <v>51.8927</v>
      </c>
      <c r="C1962">
        <v>1960</v>
      </c>
      <c r="D1962" s="7">
        <v>51.892699999999998</v>
      </c>
      <c r="E1962" s="7">
        <f t="shared" si="60"/>
        <v>101709.692</v>
      </c>
      <c r="F1962" s="7">
        <f t="shared" si="61"/>
        <v>3841600</v>
      </c>
      <c r="G1962" s="7"/>
    </row>
    <row r="1963" spans="1:7" x14ac:dyDescent="0.35">
      <c r="A1963" t="str">
        <f>"2012-12-11"</f>
        <v>2012-12-11</v>
      </c>
      <c r="B1963" t="str">
        <f>"52.07"</f>
        <v>52.07</v>
      </c>
      <c r="C1963">
        <v>1961</v>
      </c>
      <c r="D1963" s="7">
        <v>52.07</v>
      </c>
      <c r="E1963" s="7">
        <f t="shared" si="60"/>
        <v>102109.27</v>
      </c>
      <c r="F1963" s="7">
        <f t="shared" si="61"/>
        <v>3845521</v>
      </c>
      <c r="G1963" s="7"/>
    </row>
    <row r="1964" spans="1:7" x14ac:dyDescent="0.35">
      <c r="A1964" t="str">
        <f>"2012-12-12"</f>
        <v>2012-12-12</v>
      </c>
      <c r="B1964" t="str">
        <f>"51.839"</f>
        <v>51.839</v>
      </c>
      <c r="C1964">
        <v>1962</v>
      </c>
      <c r="D1964" s="7">
        <v>51.838999999999999</v>
      </c>
      <c r="E1964" s="7">
        <f t="shared" si="60"/>
        <v>101708.118</v>
      </c>
      <c r="F1964" s="7">
        <f t="shared" si="61"/>
        <v>3849444</v>
      </c>
      <c r="G1964" s="7"/>
    </row>
    <row r="1965" spans="1:7" x14ac:dyDescent="0.35">
      <c r="A1965" t="str">
        <f>"2012-12-13"</f>
        <v>2012-12-13</v>
      </c>
      <c r="B1965" t="str">
        <f>"52.445"</f>
        <v>52.445</v>
      </c>
      <c r="C1965">
        <v>1963</v>
      </c>
      <c r="D1965" s="7">
        <v>52.445</v>
      </c>
      <c r="E1965" s="7">
        <f t="shared" si="60"/>
        <v>102949.535</v>
      </c>
      <c r="F1965" s="7">
        <f t="shared" si="61"/>
        <v>3853369</v>
      </c>
      <c r="G1965" s="7"/>
    </row>
    <row r="1966" spans="1:7" x14ac:dyDescent="0.35">
      <c r="A1966" t="str">
        <f>"2012-12-14"</f>
        <v>2012-12-14</v>
      </c>
      <c r="B1966" t="str">
        <f>"52.4896"</f>
        <v>52.4896</v>
      </c>
      <c r="C1966">
        <v>1964</v>
      </c>
      <c r="D1966" s="7">
        <v>52.489600000000003</v>
      </c>
      <c r="E1966" s="7">
        <f t="shared" si="60"/>
        <v>103089.57440000001</v>
      </c>
      <c r="F1966" s="7">
        <f t="shared" si="61"/>
        <v>3857296</v>
      </c>
      <c r="G1966" s="7"/>
    </row>
    <row r="1967" spans="1:7" x14ac:dyDescent="0.35">
      <c r="A1967" t="str">
        <f>"2012-12-17"</f>
        <v>2012-12-17</v>
      </c>
      <c r="B1967" t="str">
        <f>"55.3824"</f>
        <v>55.3824</v>
      </c>
      <c r="C1967">
        <v>1965</v>
      </c>
      <c r="D1967" s="7">
        <v>55.382399999999997</v>
      </c>
      <c r="E1967" s="7">
        <f t="shared" si="60"/>
        <v>108826.416</v>
      </c>
      <c r="F1967" s="7">
        <f t="shared" si="61"/>
        <v>3861225</v>
      </c>
      <c r="G1967" s="7"/>
    </row>
    <row r="1968" spans="1:7" x14ac:dyDescent="0.35">
      <c r="A1968" t="str">
        <f>"2012-12-18"</f>
        <v>2012-12-18</v>
      </c>
      <c r="B1968" t="str">
        <f>"56.4938"</f>
        <v>56.4938</v>
      </c>
      <c r="C1968">
        <v>1966</v>
      </c>
      <c r="D1968" s="7">
        <v>56.4938</v>
      </c>
      <c r="E1968" s="7">
        <f t="shared" si="60"/>
        <v>111066.81080000001</v>
      </c>
      <c r="F1968" s="7">
        <f t="shared" si="61"/>
        <v>3865156</v>
      </c>
      <c r="G1968" s="7"/>
    </row>
    <row r="1969" spans="1:7" x14ac:dyDescent="0.35">
      <c r="A1969" t="str">
        <f>"2012-12-19"</f>
        <v>2012-12-19</v>
      </c>
      <c r="B1969" t="str">
        <f>"55.844"</f>
        <v>55.844</v>
      </c>
      <c r="C1969">
        <v>1967</v>
      </c>
      <c r="D1969" s="7">
        <v>55.844000000000001</v>
      </c>
      <c r="E1969" s="7">
        <f t="shared" si="60"/>
        <v>109845.148</v>
      </c>
      <c r="F1969" s="7">
        <f t="shared" si="61"/>
        <v>3869089</v>
      </c>
      <c r="G1969" s="7"/>
    </row>
    <row r="1970" spans="1:7" x14ac:dyDescent="0.35">
      <c r="A1970" t="str">
        <f>"2012-12-20"</f>
        <v>2012-12-20</v>
      </c>
      <c r="B1970" t="str">
        <f>"57.7139"</f>
        <v>57.7139</v>
      </c>
      <c r="C1970">
        <v>1968</v>
      </c>
      <c r="D1970" s="7">
        <v>57.713900000000002</v>
      </c>
      <c r="E1970" s="7">
        <f t="shared" si="60"/>
        <v>113580.95520000001</v>
      </c>
      <c r="F1970" s="7">
        <f t="shared" si="61"/>
        <v>3873024</v>
      </c>
      <c r="G1970" s="7"/>
    </row>
    <row r="1971" spans="1:7" x14ac:dyDescent="0.35">
      <c r="A1971" t="str">
        <f>"2012-12-21"</f>
        <v>2012-12-21</v>
      </c>
      <c r="B1971" t="str">
        <f>"57.5011"</f>
        <v>57.5011</v>
      </c>
      <c r="C1971">
        <v>1969</v>
      </c>
      <c r="D1971" s="7">
        <v>57.501100000000001</v>
      </c>
      <c r="E1971" s="7">
        <f t="shared" si="60"/>
        <v>113219.66590000001</v>
      </c>
      <c r="F1971" s="7">
        <f t="shared" si="61"/>
        <v>3876961</v>
      </c>
      <c r="G1971" s="7"/>
    </row>
    <row r="1972" spans="1:7" x14ac:dyDescent="0.35">
      <c r="A1972" t="str">
        <f>"2012-12-24"</f>
        <v>2012-12-24</v>
      </c>
      <c r="B1972" t="str">
        <f>"58.3787"</f>
        <v>58.3787</v>
      </c>
      <c r="C1972">
        <v>1970</v>
      </c>
      <c r="D1972" s="7">
        <v>58.378700000000002</v>
      </c>
      <c r="E1972" s="7">
        <f t="shared" si="60"/>
        <v>115006.039</v>
      </c>
      <c r="F1972" s="7">
        <f t="shared" si="61"/>
        <v>3880900</v>
      </c>
      <c r="G1972" s="7"/>
    </row>
    <row r="1973" spans="1:7" x14ac:dyDescent="0.35">
      <c r="A1973" t="str">
        <f>"2012-12-26"</f>
        <v>2012-12-26</v>
      </c>
      <c r="B1973" t="str">
        <f>"58.3785"</f>
        <v>58.3785</v>
      </c>
      <c r="C1973">
        <v>1971</v>
      </c>
      <c r="D1973" s="7">
        <v>58.378500000000003</v>
      </c>
      <c r="E1973" s="7">
        <f t="shared" si="60"/>
        <v>115064.02350000001</v>
      </c>
      <c r="F1973" s="7">
        <f t="shared" si="61"/>
        <v>3884841</v>
      </c>
      <c r="G1973" s="7"/>
    </row>
    <row r="1974" spans="1:7" x14ac:dyDescent="0.35">
      <c r="A1974" t="str">
        <f>"2012-12-27"</f>
        <v>2012-12-27</v>
      </c>
      <c r="B1974" t="str">
        <f>"56.6013"</f>
        <v>56.6013</v>
      </c>
      <c r="C1974">
        <v>1972</v>
      </c>
      <c r="D1974" s="7">
        <v>56.601300000000002</v>
      </c>
      <c r="E1974" s="7">
        <f t="shared" si="60"/>
        <v>111617.76360000001</v>
      </c>
      <c r="F1974" s="7">
        <f t="shared" si="61"/>
        <v>3888784</v>
      </c>
      <c r="G1974" s="7"/>
    </row>
    <row r="1975" spans="1:7" x14ac:dyDescent="0.35">
      <c r="A1975" t="str">
        <f>"2012-12-28"</f>
        <v>2012-12-28</v>
      </c>
      <c r="B1975" t="str">
        <f>"56.6688"</f>
        <v>56.6688</v>
      </c>
      <c r="C1975">
        <v>1973</v>
      </c>
      <c r="D1975" s="7">
        <v>56.668799999999997</v>
      </c>
      <c r="E1975" s="7">
        <f t="shared" si="60"/>
        <v>111807.54239999999</v>
      </c>
      <c r="F1975" s="7">
        <f t="shared" si="61"/>
        <v>3892729</v>
      </c>
      <c r="G1975" s="7"/>
    </row>
    <row r="1976" spans="1:7" x14ac:dyDescent="0.35">
      <c r="A1976" t="str">
        <f>"2012-12-31"</f>
        <v>2012-12-31</v>
      </c>
      <c r="B1976" t="str">
        <f>"56.5184"</f>
        <v>56.5184</v>
      </c>
      <c r="C1976">
        <v>1974</v>
      </c>
      <c r="D1976" s="7">
        <v>56.5184</v>
      </c>
      <c r="E1976" s="7">
        <f t="shared" si="60"/>
        <v>111567.3216</v>
      </c>
      <c r="F1976" s="7">
        <f t="shared" si="61"/>
        <v>3896676</v>
      </c>
      <c r="G1976" s="7"/>
    </row>
    <row r="1977" spans="1:7" x14ac:dyDescent="0.35">
      <c r="A1977" t="str">
        <f>"2013-01-02"</f>
        <v>2013-01-02</v>
      </c>
      <c r="B1977" t="str">
        <f>"57.2085"</f>
        <v>57.2085</v>
      </c>
      <c r="C1977">
        <v>1975</v>
      </c>
      <c r="D1977" s="7">
        <v>57.208500000000001</v>
      </c>
      <c r="E1977" s="7">
        <f t="shared" si="60"/>
        <v>112986.78750000001</v>
      </c>
      <c r="F1977" s="7">
        <f t="shared" si="61"/>
        <v>3900625</v>
      </c>
      <c r="G1977" s="7"/>
    </row>
    <row r="1978" spans="1:7" x14ac:dyDescent="0.35">
      <c r="A1978" t="str">
        <f>"2013-01-03"</f>
        <v>2013-01-03</v>
      </c>
      <c r="B1978" t="str">
        <f>"57.0841"</f>
        <v>57.0841</v>
      </c>
      <c r="C1978">
        <v>1976</v>
      </c>
      <c r="D1978" s="7">
        <v>57.084099999999999</v>
      </c>
      <c r="E1978" s="7">
        <f t="shared" si="60"/>
        <v>112798.1816</v>
      </c>
      <c r="F1978" s="7">
        <f t="shared" si="61"/>
        <v>3904576</v>
      </c>
      <c r="G1978" s="7"/>
    </row>
    <row r="1979" spans="1:7" x14ac:dyDescent="0.35">
      <c r="A1979" t="str">
        <f>"2013-01-04"</f>
        <v>2013-01-04</v>
      </c>
      <c r="B1979" t="str">
        <f>"58.1301"</f>
        <v>58.1301</v>
      </c>
      <c r="C1979">
        <v>1977</v>
      </c>
      <c r="D1979" s="7">
        <v>58.130099999999999</v>
      </c>
      <c r="E1979" s="7">
        <f t="shared" si="60"/>
        <v>114923.2077</v>
      </c>
      <c r="F1979" s="7">
        <f t="shared" si="61"/>
        <v>3908529</v>
      </c>
      <c r="G1979" s="7"/>
    </row>
    <row r="1980" spans="1:7" x14ac:dyDescent="0.35">
      <c r="A1980" t="str">
        <f>"2013-01-07"</f>
        <v>2013-01-07</v>
      </c>
      <c r="B1980" t="str">
        <f>"59.4514"</f>
        <v>59.4514</v>
      </c>
      <c r="C1980">
        <v>1978</v>
      </c>
      <c r="D1980" s="7">
        <v>59.4514</v>
      </c>
      <c r="E1980" s="7">
        <f t="shared" si="60"/>
        <v>117594.8692</v>
      </c>
      <c r="F1980" s="7">
        <f t="shared" si="61"/>
        <v>3912484</v>
      </c>
      <c r="G1980" s="7"/>
    </row>
    <row r="1981" spans="1:7" x14ac:dyDescent="0.35">
      <c r="A1981" t="str">
        <f>"2013-01-08"</f>
        <v>2013-01-08</v>
      </c>
      <c r="B1981" t="str">
        <f>"59.1049"</f>
        <v>59.1049</v>
      </c>
      <c r="C1981">
        <v>1979</v>
      </c>
      <c r="D1981" s="7">
        <v>59.104900000000001</v>
      </c>
      <c r="E1981" s="7">
        <f t="shared" si="60"/>
        <v>116968.5971</v>
      </c>
      <c r="F1981" s="7">
        <f t="shared" si="61"/>
        <v>3916441</v>
      </c>
      <c r="G1981" s="7"/>
    </row>
    <row r="1982" spans="1:7" x14ac:dyDescent="0.35">
      <c r="A1982" t="str">
        <f>"2013-01-09"</f>
        <v>2013-01-09</v>
      </c>
      <c r="B1982" t="str">
        <f>"61.6148"</f>
        <v>61.6148</v>
      </c>
      <c r="C1982">
        <v>1980</v>
      </c>
      <c r="D1982" s="7">
        <v>61.614800000000002</v>
      </c>
      <c r="E1982" s="7">
        <f t="shared" si="60"/>
        <v>121997.304</v>
      </c>
      <c r="F1982" s="7">
        <f t="shared" si="61"/>
        <v>3920400</v>
      </c>
      <c r="G1982" s="7"/>
    </row>
    <row r="1983" spans="1:7" x14ac:dyDescent="0.35">
      <c r="A1983" t="str">
        <f>"2013-01-10"</f>
        <v>2013-01-10</v>
      </c>
      <c r="B1983" t="str">
        <f>"60.3083"</f>
        <v>60.3083</v>
      </c>
      <c r="C1983">
        <v>1981</v>
      </c>
      <c r="D1983" s="7">
        <v>60.308300000000003</v>
      </c>
      <c r="E1983" s="7">
        <f t="shared" si="60"/>
        <v>119470.7423</v>
      </c>
      <c r="F1983" s="7">
        <f t="shared" si="61"/>
        <v>3924361</v>
      </c>
      <c r="G1983" s="7"/>
    </row>
    <row r="1984" spans="1:7" x14ac:dyDescent="0.35">
      <c r="A1984" t="str">
        <f>"2013-01-11"</f>
        <v>2013-01-11</v>
      </c>
      <c r="B1984" t="str">
        <f>"62.1697"</f>
        <v>62.1697</v>
      </c>
      <c r="C1984">
        <v>1982</v>
      </c>
      <c r="D1984" s="7">
        <v>62.169699999999999</v>
      </c>
      <c r="E1984" s="7">
        <f t="shared" si="60"/>
        <v>123220.34539999999</v>
      </c>
      <c r="F1984" s="7">
        <f t="shared" si="61"/>
        <v>3928324</v>
      </c>
      <c r="G1984" s="7"/>
    </row>
    <row r="1985" spans="1:7" x14ac:dyDescent="0.35">
      <c r="A1985" t="str">
        <f>"2013-01-14"</f>
        <v>2013-01-14</v>
      </c>
      <c r="B1985" t="str">
        <f>"60.8174"</f>
        <v>60.8174</v>
      </c>
      <c r="C1985">
        <v>1983</v>
      </c>
      <c r="D1985" s="7">
        <v>60.817399999999999</v>
      </c>
      <c r="E1985" s="7">
        <f t="shared" si="60"/>
        <v>120600.9042</v>
      </c>
      <c r="F1985" s="7">
        <f t="shared" si="61"/>
        <v>3932289</v>
      </c>
      <c r="G1985" s="7"/>
    </row>
    <row r="1986" spans="1:7" x14ac:dyDescent="0.35">
      <c r="A1986" t="str">
        <f>"2013-01-15"</f>
        <v>2013-01-15</v>
      </c>
      <c r="B1986" t="str">
        <f>"60.8831"</f>
        <v>60.8831</v>
      </c>
      <c r="C1986">
        <v>1984</v>
      </c>
      <c r="D1986" s="7">
        <v>60.883099999999999</v>
      </c>
      <c r="E1986" s="7">
        <f t="shared" si="60"/>
        <v>120792.0704</v>
      </c>
      <c r="F1986" s="7">
        <f t="shared" si="61"/>
        <v>3936256</v>
      </c>
      <c r="G1986" s="7"/>
    </row>
    <row r="1987" spans="1:7" x14ac:dyDescent="0.35">
      <c r="A1987" t="str">
        <f>"2013-01-16"</f>
        <v>2013-01-16</v>
      </c>
      <c r="B1987" t="str">
        <f>"60.7132"</f>
        <v>60.7132</v>
      </c>
      <c r="C1987">
        <v>1985</v>
      </c>
      <c r="D1987" s="7">
        <v>60.713200000000001</v>
      </c>
      <c r="E1987" s="7">
        <f t="shared" si="60"/>
        <v>120515.702</v>
      </c>
      <c r="F1987" s="7">
        <f t="shared" si="61"/>
        <v>3940225</v>
      </c>
      <c r="G1987" s="7"/>
    </row>
    <row r="1988" spans="1:7" x14ac:dyDescent="0.35">
      <c r="A1988" t="str">
        <f>"2013-01-17"</f>
        <v>2013-01-17</v>
      </c>
      <c r="B1988" t="str">
        <f>"61.5084"</f>
        <v>61.5084</v>
      </c>
      <c r="C1988">
        <v>1986</v>
      </c>
      <c r="D1988" s="7">
        <v>61.508400000000002</v>
      </c>
      <c r="E1988" s="7">
        <f t="shared" ref="E1988:E2051" si="62">C1988*D1988</f>
        <v>122155.68240000001</v>
      </c>
      <c r="F1988" s="7">
        <f t="shared" ref="F1988:F2051" si="63">C1988*C1988</f>
        <v>3944196</v>
      </c>
      <c r="G1988" s="7"/>
    </row>
    <row r="1989" spans="1:7" x14ac:dyDescent="0.35">
      <c r="A1989" t="str">
        <f>"2013-01-18"</f>
        <v>2013-01-18</v>
      </c>
      <c r="B1989" t="str">
        <f>"62.0126"</f>
        <v>62.0126</v>
      </c>
      <c r="C1989">
        <v>1987</v>
      </c>
      <c r="D1989" s="7">
        <v>62.012599999999999</v>
      </c>
      <c r="E1989" s="7">
        <f t="shared" si="62"/>
        <v>123219.0362</v>
      </c>
      <c r="F1989" s="7">
        <f t="shared" si="63"/>
        <v>3948169</v>
      </c>
      <c r="G1989" s="7"/>
    </row>
    <row r="1990" spans="1:7" x14ac:dyDescent="0.35">
      <c r="A1990" t="str">
        <f>"2013-01-22"</f>
        <v>2013-01-22</v>
      </c>
      <c r="B1990" t="str">
        <f>"61.9451"</f>
        <v>61.9451</v>
      </c>
      <c r="C1990">
        <v>1988</v>
      </c>
      <c r="D1990" s="7">
        <v>61.945099999999996</v>
      </c>
      <c r="E1990" s="7">
        <f t="shared" si="62"/>
        <v>123146.85879999999</v>
      </c>
      <c r="F1990" s="7">
        <f t="shared" si="63"/>
        <v>3952144</v>
      </c>
      <c r="G1990" s="7"/>
    </row>
    <row r="1991" spans="1:7" x14ac:dyDescent="0.35">
      <c r="A1991" t="str">
        <f>"2013-01-23"</f>
        <v>2013-01-23</v>
      </c>
      <c r="B1991" t="str">
        <f>"62.963"</f>
        <v>62.963</v>
      </c>
      <c r="C1991">
        <v>1989</v>
      </c>
      <c r="D1991" s="7">
        <v>62.963000000000001</v>
      </c>
      <c r="E1991" s="7">
        <f t="shared" si="62"/>
        <v>125233.40700000001</v>
      </c>
      <c r="F1991" s="7">
        <f t="shared" si="63"/>
        <v>3956121</v>
      </c>
      <c r="G1991" s="7"/>
    </row>
    <row r="1992" spans="1:7" x14ac:dyDescent="0.35">
      <c r="A1992" t="str">
        <f>"2013-01-24"</f>
        <v>2013-01-24</v>
      </c>
      <c r="B1992" t="str">
        <f>"66.4201"</f>
        <v>66.4201</v>
      </c>
      <c r="C1992">
        <v>1990</v>
      </c>
      <c r="D1992" s="7">
        <v>66.420100000000005</v>
      </c>
      <c r="E1992" s="7">
        <f t="shared" si="62"/>
        <v>132175.99900000001</v>
      </c>
      <c r="F1992" s="7">
        <f t="shared" si="63"/>
        <v>3960100</v>
      </c>
      <c r="G1992" s="7"/>
    </row>
    <row r="1993" spans="1:7" x14ac:dyDescent="0.35">
      <c r="A1993" t="str">
        <f>"2013-01-25"</f>
        <v>2013-01-25</v>
      </c>
      <c r="B1993" t="str">
        <f>"68.1481"</f>
        <v>68.1481</v>
      </c>
      <c r="C1993">
        <v>1991</v>
      </c>
      <c r="D1993" s="7">
        <v>68.148099999999999</v>
      </c>
      <c r="E1993" s="7">
        <f t="shared" si="62"/>
        <v>135682.8671</v>
      </c>
      <c r="F1993" s="7">
        <f t="shared" si="63"/>
        <v>3964081</v>
      </c>
      <c r="G1993" s="7"/>
    </row>
    <row r="1994" spans="1:7" x14ac:dyDescent="0.35">
      <c r="A1994" t="str">
        <f>"2013-01-28"</f>
        <v>2013-01-28</v>
      </c>
      <c r="B1994" t="str">
        <f>"64.2948"</f>
        <v>64.2948</v>
      </c>
      <c r="C1994">
        <v>1992</v>
      </c>
      <c r="D1994" s="7">
        <v>64.294799999999995</v>
      </c>
      <c r="E1994" s="7">
        <f t="shared" si="62"/>
        <v>128075.24159999999</v>
      </c>
      <c r="F1994" s="7">
        <f t="shared" si="63"/>
        <v>3968064</v>
      </c>
      <c r="G1994" s="7"/>
    </row>
    <row r="1995" spans="1:7" x14ac:dyDescent="0.35">
      <c r="A1995" t="str">
        <f>"2013-01-29"</f>
        <v>2013-01-29</v>
      </c>
      <c r="B1995" t="str">
        <f>"65.7669"</f>
        <v>65.7669</v>
      </c>
      <c r="C1995">
        <v>1993</v>
      </c>
      <c r="D1995" s="7">
        <v>65.766900000000007</v>
      </c>
      <c r="E1995" s="7">
        <f t="shared" si="62"/>
        <v>131073.43170000002</v>
      </c>
      <c r="F1995" s="7">
        <f t="shared" si="63"/>
        <v>3972049</v>
      </c>
      <c r="G1995" s="7"/>
    </row>
    <row r="1996" spans="1:7" x14ac:dyDescent="0.35">
      <c r="A1996" t="str">
        <f>"2013-01-30"</f>
        <v>2013-01-30</v>
      </c>
      <c r="B1996" t="str">
        <f>"61.949"</f>
        <v>61.949</v>
      </c>
      <c r="C1996">
        <v>1994</v>
      </c>
      <c r="D1996" s="7">
        <v>61.948999999999998</v>
      </c>
      <c r="E1996" s="7">
        <f t="shared" si="62"/>
        <v>123526.306</v>
      </c>
      <c r="F1996" s="7">
        <f t="shared" si="63"/>
        <v>3976036</v>
      </c>
      <c r="G1996" s="7"/>
    </row>
    <row r="1997" spans="1:7" x14ac:dyDescent="0.35">
      <c r="A1997" t="str">
        <f>"2013-01-31"</f>
        <v>2013-01-31</v>
      </c>
      <c r="B1997" t="str">
        <f>"60.237"</f>
        <v>60.237</v>
      </c>
      <c r="C1997">
        <v>1995</v>
      </c>
      <c r="D1997" s="7">
        <v>60.237000000000002</v>
      </c>
      <c r="E1997" s="7">
        <f t="shared" si="62"/>
        <v>120172.815</v>
      </c>
      <c r="F1997" s="7">
        <f t="shared" si="63"/>
        <v>3980025</v>
      </c>
      <c r="G1997" s="7"/>
    </row>
    <row r="1998" spans="1:7" x14ac:dyDescent="0.35">
      <c r="A1998" t="str">
        <f>"2013-02-01"</f>
        <v>2013-02-01</v>
      </c>
      <c r="B1998" t="str">
        <f>"60.3484"</f>
        <v>60.3484</v>
      </c>
      <c r="C1998">
        <v>1996</v>
      </c>
      <c r="D1998" s="7">
        <v>60.348399999999998</v>
      </c>
      <c r="E1998" s="7">
        <f t="shared" si="62"/>
        <v>120455.40639999999</v>
      </c>
      <c r="F1998" s="7">
        <f t="shared" si="63"/>
        <v>3984016</v>
      </c>
      <c r="G1998" s="7"/>
    </row>
    <row r="1999" spans="1:7" x14ac:dyDescent="0.35">
      <c r="A1999" t="str">
        <f>"2013-02-04"</f>
        <v>2013-02-04</v>
      </c>
      <c r="B1999" t="str">
        <f>"62.2365"</f>
        <v>62.2365</v>
      </c>
      <c r="C1999">
        <v>1997</v>
      </c>
      <c r="D1999" s="7">
        <v>62.236499999999999</v>
      </c>
      <c r="E1999" s="7">
        <f t="shared" si="62"/>
        <v>124286.2905</v>
      </c>
      <c r="F1999" s="7">
        <f t="shared" si="63"/>
        <v>3988009</v>
      </c>
      <c r="G1999" s="7"/>
    </row>
    <row r="2000" spans="1:7" x14ac:dyDescent="0.35">
      <c r="A2000" t="str">
        <f>"2013-02-05"</f>
        <v>2013-02-05</v>
      </c>
      <c r="B2000" t="str">
        <f>"62.241"</f>
        <v>62.241</v>
      </c>
      <c r="C2000">
        <v>1998</v>
      </c>
      <c r="D2000" s="7">
        <v>62.241</v>
      </c>
      <c r="E2000" s="7">
        <f t="shared" si="62"/>
        <v>124357.518</v>
      </c>
      <c r="F2000" s="7">
        <f t="shared" si="63"/>
        <v>3992004</v>
      </c>
      <c r="G2000" s="7"/>
    </row>
    <row r="2001" spans="1:7" x14ac:dyDescent="0.35">
      <c r="A2001" t="str">
        <f>"2013-02-06"</f>
        <v>2013-02-06</v>
      </c>
      <c r="B2001" t="str">
        <f>"62.8192"</f>
        <v>62.8192</v>
      </c>
      <c r="C2001">
        <v>1999</v>
      </c>
      <c r="D2001" s="7">
        <v>62.819200000000002</v>
      </c>
      <c r="E2001" s="7">
        <f t="shared" si="62"/>
        <v>125575.58080000001</v>
      </c>
      <c r="F2001" s="7">
        <f t="shared" si="63"/>
        <v>3996001</v>
      </c>
      <c r="G2001" s="7"/>
    </row>
    <row r="2002" spans="1:7" x14ac:dyDescent="0.35">
      <c r="A2002" t="str">
        <f>"2013-02-07"</f>
        <v>2013-02-07</v>
      </c>
      <c r="B2002" t="str">
        <f>"61.1465"</f>
        <v>61.1465</v>
      </c>
      <c r="C2002">
        <v>2000</v>
      </c>
      <c r="D2002" s="7">
        <v>61.146500000000003</v>
      </c>
      <c r="E2002" s="7">
        <f t="shared" si="62"/>
        <v>122293</v>
      </c>
      <c r="F2002" s="7">
        <f t="shared" si="63"/>
        <v>4000000</v>
      </c>
      <c r="G2002" s="7"/>
    </row>
    <row r="2003" spans="1:7" x14ac:dyDescent="0.35">
      <c r="A2003" t="str">
        <f>"2013-02-08"</f>
        <v>2013-02-08</v>
      </c>
      <c r="B2003" t="str">
        <f>"60.4337"</f>
        <v>60.4337</v>
      </c>
      <c r="C2003">
        <v>2001</v>
      </c>
      <c r="D2003" s="7">
        <v>60.433700000000002</v>
      </c>
      <c r="E2003" s="7">
        <f t="shared" si="62"/>
        <v>120927.8337</v>
      </c>
      <c r="F2003" s="7">
        <f t="shared" si="63"/>
        <v>4004001</v>
      </c>
      <c r="G2003" s="7"/>
    </row>
    <row r="2004" spans="1:7" x14ac:dyDescent="0.35">
      <c r="A2004" t="str">
        <f>"2013-02-11"</f>
        <v>2013-02-11</v>
      </c>
      <c r="B2004" t="str">
        <f>"60.2491"</f>
        <v>60.2491</v>
      </c>
      <c r="C2004">
        <v>2002</v>
      </c>
      <c r="D2004" s="7">
        <v>60.249099999999999</v>
      </c>
      <c r="E2004" s="7">
        <f t="shared" si="62"/>
        <v>120618.6982</v>
      </c>
      <c r="F2004" s="7">
        <f t="shared" si="63"/>
        <v>4008004</v>
      </c>
      <c r="G2004" s="7"/>
    </row>
    <row r="2005" spans="1:7" x14ac:dyDescent="0.35">
      <c r="A2005" t="str">
        <f>"2013-02-12"</f>
        <v>2013-02-12</v>
      </c>
      <c r="B2005" t="str">
        <f>"60.4479"</f>
        <v>60.4479</v>
      </c>
      <c r="C2005">
        <v>2003</v>
      </c>
      <c r="D2005" s="7">
        <v>60.447899999999997</v>
      </c>
      <c r="E2005" s="7">
        <f t="shared" si="62"/>
        <v>121077.1437</v>
      </c>
      <c r="F2005" s="7">
        <f t="shared" si="63"/>
        <v>4012009</v>
      </c>
      <c r="G2005" s="7"/>
    </row>
    <row r="2006" spans="1:7" x14ac:dyDescent="0.35">
      <c r="A2006" t="str">
        <f>"2013-02-13"</f>
        <v>2013-02-13</v>
      </c>
      <c r="B2006" t="str">
        <f>"60.7159"</f>
        <v>60.7159</v>
      </c>
      <c r="C2006">
        <v>2004</v>
      </c>
      <c r="D2006" s="7">
        <v>60.715899999999998</v>
      </c>
      <c r="E2006" s="7">
        <f t="shared" si="62"/>
        <v>121674.6636</v>
      </c>
      <c r="F2006" s="7">
        <f t="shared" si="63"/>
        <v>4016016</v>
      </c>
      <c r="G2006" s="7"/>
    </row>
    <row r="2007" spans="1:7" x14ac:dyDescent="0.35">
      <c r="A2007" t="str">
        <f>"2013-02-14"</f>
        <v>2013-02-14</v>
      </c>
      <c r="B2007" t="str">
        <f>"63.8027"</f>
        <v>63.8027</v>
      </c>
      <c r="C2007">
        <v>2005</v>
      </c>
      <c r="D2007" s="7">
        <v>63.802700000000002</v>
      </c>
      <c r="E2007" s="7">
        <f t="shared" si="62"/>
        <v>127924.41350000001</v>
      </c>
      <c r="F2007" s="7">
        <f t="shared" si="63"/>
        <v>4020025</v>
      </c>
      <c r="G2007" s="7"/>
    </row>
    <row r="2008" spans="1:7" x14ac:dyDescent="0.35">
      <c r="A2008" t="str">
        <f>"2013-02-15"</f>
        <v>2013-02-15</v>
      </c>
      <c r="B2008" t="str">
        <f>"67.3358"</f>
        <v>67.3358</v>
      </c>
      <c r="C2008">
        <v>2006</v>
      </c>
      <c r="D2008" s="7">
        <v>67.335800000000006</v>
      </c>
      <c r="E2008" s="7">
        <f t="shared" si="62"/>
        <v>135075.61480000001</v>
      </c>
      <c r="F2008" s="7">
        <f t="shared" si="63"/>
        <v>4024036</v>
      </c>
      <c r="G2008" s="7"/>
    </row>
    <row r="2009" spans="1:7" x14ac:dyDescent="0.35">
      <c r="A2009" t="str">
        <f>"2013-02-19"</f>
        <v>2013-02-19</v>
      </c>
      <c r="B2009" t="str">
        <f>"65.1416"</f>
        <v>65.1416</v>
      </c>
      <c r="C2009">
        <v>2007</v>
      </c>
      <c r="D2009" s="7">
        <v>65.141599999999997</v>
      </c>
      <c r="E2009" s="7">
        <f t="shared" si="62"/>
        <v>130739.19119999999</v>
      </c>
      <c r="F2009" s="7">
        <f t="shared" si="63"/>
        <v>4028049</v>
      </c>
      <c r="G2009" s="7"/>
    </row>
    <row r="2010" spans="1:7" x14ac:dyDescent="0.35">
      <c r="A2010" t="str">
        <f>"2013-02-20"</f>
        <v>2013-02-20</v>
      </c>
      <c r="B2010" t="str">
        <f>"66.8205"</f>
        <v>66.8205</v>
      </c>
      <c r="C2010">
        <v>2008</v>
      </c>
      <c r="D2010" s="7">
        <v>66.820499999999996</v>
      </c>
      <c r="E2010" s="7">
        <f t="shared" si="62"/>
        <v>134175.56399999998</v>
      </c>
      <c r="F2010" s="7">
        <f t="shared" si="63"/>
        <v>4032064</v>
      </c>
      <c r="G2010" s="7"/>
    </row>
    <row r="2011" spans="1:7" x14ac:dyDescent="0.35">
      <c r="A2011" t="str">
        <f>"2013-02-21"</f>
        <v>2013-02-21</v>
      </c>
      <c r="B2011" t="str">
        <f>"66.6462"</f>
        <v>66.6462</v>
      </c>
      <c r="C2011">
        <v>2009</v>
      </c>
      <c r="D2011" s="7">
        <v>66.646199999999993</v>
      </c>
      <c r="E2011" s="7">
        <f t="shared" si="62"/>
        <v>133892.21579999998</v>
      </c>
      <c r="F2011" s="7">
        <f t="shared" si="63"/>
        <v>4036081</v>
      </c>
      <c r="G2011" s="7"/>
    </row>
    <row r="2012" spans="1:7" x14ac:dyDescent="0.35">
      <c r="A2012" t="str">
        <f>"2013-02-22"</f>
        <v>2013-02-22</v>
      </c>
      <c r="B2012" t="str">
        <f>"65.2501"</f>
        <v>65.2501</v>
      </c>
      <c r="C2012">
        <v>2010</v>
      </c>
      <c r="D2012" s="7">
        <v>65.250100000000003</v>
      </c>
      <c r="E2012" s="7">
        <f t="shared" si="62"/>
        <v>131152.701</v>
      </c>
      <c r="F2012" s="7">
        <f t="shared" si="63"/>
        <v>4040100</v>
      </c>
      <c r="G2012" s="7"/>
    </row>
    <row r="2013" spans="1:7" x14ac:dyDescent="0.35">
      <c r="A2013" t="str">
        <f>"2013-02-25"</f>
        <v>2013-02-25</v>
      </c>
      <c r="B2013" t="str">
        <f>"65.9652"</f>
        <v>65.9652</v>
      </c>
      <c r="C2013">
        <v>2011</v>
      </c>
      <c r="D2013" s="7">
        <v>65.965199999999996</v>
      </c>
      <c r="E2013" s="7">
        <f t="shared" si="62"/>
        <v>132656.0172</v>
      </c>
      <c r="F2013" s="7">
        <f t="shared" si="63"/>
        <v>4044121</v>
      </c>
      <c r="G2013" s="7"/>
    </row>
    <row r="2014" spans="1:7" x14ac:dyDescent="0.35">
      <c r="A2014" t="str">
        <f>"2013-02-26"</f>
        <v>2013-02-26</v>
      </c>
      <c r="B2014" t="str">
        <f>"65.12"</f>
        <v>65.12</v>
      </c>
      <c r="C2014">
        <v>2012</v>
      </c>
      <c r="D2014" s="7">
        <v>65.12</v>
      </c>
      <c r="E2014" s="7">
        <f t="shared" si="62"/>
        <v>131021.44</v>
      </c>
      <c r="F2014" s="7">
        <f t="shared" si="63"/>
        <v>4048144</v>
      </c>
      <c r="G2014" s="7"/>
    </row>
    <row r="2015" spans="1:7" x14ac:dyDescent="0.35">
      <c r="A2015" t="str">
        <f>"2013-02-27"</f>
        <v>2013-02-27</v>
      </c>
      <c r="B2015" t="str">
        <f>"66.1411"</f>
        <v>66.1411</v>
      </c>
      <c r="C2015">
        <v>2013</v>
      </c>
      <c r="D2015" s="7">
        <v>66.141099999999994</v>
      </c>
      <c r="E2015" s="7">
        <f t="shared" si="62"/>
        <v>133142.0343</v>
      </c>
      <c r="F2015" s="7">
        <f t="shared" si="63"/>
        <v>4052169</v>
      </c>
      <c r="G2015" s="7"/>
    </row>
    <row r="2016" spans="1:7" x14ac:dyDescent="0.35">
      <c r="A2016" t="str">
        <f>"2013-02-28"</f>
        <v>2013-02-28</v>
      </c>
      <c r="B2016" t="str">
        <f>"71.2077"</f>
        <v>71.2077</v>
      </c>
      <c r="C2016">
        <v>2014</v>
      </c>
      <c r="D2016" s="7">
        <v>71.207700000000003</v>
      </c>
      <c r="E2016" s="7">
        <f t="shared" si="62"/>
        <v>143412.30780000001</v>
      </c>
      <c r="F2016" s="7">
        <f t="shared" si="63"/>
        <v>4056196</v>
      </c>
      <c r="G2016" s="7"/>
    </row>
    <row r="2017" spans="1:7" x14ac:dyDescent="0.35">
      <c r="A2017" t="str">
        <f>"2013-03-01"</f>
        <v>2013-03-01</v>
      </c>
      <c r="B2017" t="str">
        <f>"70.223"</f>
        <v>70.223</v>
      </c>
      <c r="C2017">
        <v>2015</v>
      </c>
      <c r="D2017" s="7">
        <v>70.222999999999999</v>
      </c>
      <c r="E2017" s="7">
        <f t="shared" si="62"/>
        <v>141499.345</v>
      </c>
      <c r="F2017" s="7">
        <f t="shared" si="63"/>
        <v>4060225</v>
      </c>
      <c r="G2017" s="7"/>
    </row>
    <row r="2018" spans="1:7" x14ac:dyDescent="0.35">
      <c r="A2018" t="str">
        <f>"2013-03-04"</f>
        <v>2013-03-04</v>
      </c>
      <c r="B2018" t="str">
        <f>"71.7574"</f>
        <v>71.7574</v>
      </c>
      <c r="C2018">
        <v>2016</v>
      </c>
      <c r="D2018" s="7">
        <v>71.757400000000004</v>
      </c>
      <c r="E2018" s="7">
        <f t="shared" si="62"/>
        <v>144662.9184</v>
      </c>
      <c r="F2018" s="7">
        <f t="shared" si="63"/>
        <v>4064256</v>
      </c>
      <c r="G2018" s="7"/>
    </row>
    <row r="2019" spans="1:7" x14ac:dyDescent="0.35">
      <c r="A2019" t="str">
        <f>"2013-03-05"</f>
        <v>2013-03-05</v>
      </c>
      <c r="B2019" t="str">
        <f>"72.0608"</f>
        <v>72.0608</v>
      </c>
      <c r="C2019">
        <v>2017</v>
      </c>
      <c r="D2019" s="7">
        <v>72.0608</v>
      </c>
      <c r="E2019" s="7">
        <f t="shared" si="62"/>
        <v>145346.6336</v>
      </c>
      <c r="F2019" s="7">
        <f t="shared" si="63"/>
        <v>4068289</v>
      </c>
      <c r="G2019" s="7"/>
    </row>
    <row r="2020" spans="1:7" x14ac:dyDescent="0.35">
      <c r="A2020" t="str">
        <f>"2013-03-06"</f>
        <v>2013-03-06</v>
      </c>
      <c r="B2020" t="str">
        <f>"73.8653"</f>
        <v>73.8653</v>
      </c>
      <c r="C2020">
        <v>2018</v>
      </c>
      <c r="D2020" s="7">
        <v>73.865300000000005</v>
      </c>
      <c r="E2020" s="7">
        <f t="shared" si="62"/>
        <v>149060.17540000001</v>
      </c>
      <c r="F2020" s="7">
        <f t="shared" si="63"/>
        <v>4072324</v>
      </c>
      <c r="G2020" s="7"/>
    </row>
    <row r="2021" spans="1:7" x14ac:dyDescent="0.35">
      <c r="A2021" t="str">
        <f>"2013-03-07"</f>
        <v>2013-03-07</v>
      </c>
      <c r="B2021" t="str">
        <f>"72.0428"</f>
        <v>72.0428</v>
      </c>
      <c r="C2021">
        <v>2019</v>
      </c>
      <c r="D2021" s="7">
        <v>72.0428</v>
      </c>
      <c r="E2021" s="7">
        <f t="shared" si="62"/>
        <v>145454.41320000001</v>
      </c>
      <c r="F2021" s="7">
        <f t="shared" si="63"/>
        <v>4076361</v>
      </c>
      <c r="G2021" s="7"/>
    </row>
    <row r="2022" spans="1:7" x14ac:dyDescent="0.35">
      <c r="A2022" t="str">
        <f>"2013-03-08"</f>
        <v>2013-03-08</v>
      </c>
      <c r="B2022" t="str">
        <f>"72.3721"</f>
        <v>72.3721</v>
      </c>
      <c r="C2022">
        <v>2020</v>
      </c>
      <c r="D2022" s="7">
        <v>72.372100000000003</v>
      </c>
      <c r="E2022" s="7">
        <f t="shared" si="62"/>
        <v>146191.64199999999</v>
      </c>
      <c r="F2022" s="7">
        <f t="shared" si="63"/>
        <v>4080400</v>
      </c>
      <c r="G2022" s="7"/>
    </row>
    <row r="2023" spans="1:7" x14ac:dyDescent="0.35">
      <c r="A2023" t="str">
        <f>"2013-03-11"</f>
        <v>2013-03-11</v>
      </c>
      <c r="B2023" t="str">
        <f>"71.2627"</f>
        <v>71.2627</v>
      </c>
      <c r="C2023">
        <v>2021</v>
      </c>
      <c r="D2023" s="7">
        <v>71.262699999999995</v>
      </c>
      <c r="E2023" s="7">
        <f t="shared" si="62"/>
        <v>144021.9167</v>
      </c>
      <c r="F2023" s="7">
        <f t="shared" si="63"/>
        <v>4084441</v>
      </c>
      <c r="G2023" s="7"/>
    </row>
    <row r="2024" spans="1:7" x14ac:dyDescent="0.35">
      <c r="A2024" t="str">
        <f>"2013-03-12"</f>
        <v>2013-03-12</v>
      </c>
      <c r="B2024" t="str">
        <f>"71.8194"</f>
        <v>71.8194</v>
      </c>
      <c r="C2024">
        <v>2022</v>
      </c>
      <c r="D2024" s="7">
        <v>71.819400000000002</v>
      </c>
      <c r="E2024" s="7">
        <f t="shared" si="62"/>
        <v>145218.82680000001</v>
      </c>
      <c r="F2024" s="7">
        <f t="shared" si="63"/>
        <v>4088484</v>
      </c>
      <c r="G2024" s="7"/>
    </row>
    <row r="2025" spans="1:7" x14ac:dyDescent="0.35">
      <c r="A2025" t="str">
        <f>"2013-03-13"</f>
        <v>2013-03-13</v>
      </c>
      <c r="B2025" t="str">
        <f>"71.0584"</f>
        <v>71.0584</v>
      </c>
      <c r="C2025">
        <v>2023</v>
      </c>
      <c r="D2025" s="7">
        <v>71.058400000000006</v>
      </c>
      <c r="E2025" s="7">
        <f t="shared" si="62"/>
        <v>143751.14320000002</v>
      </c>
      <c r="F2025" s="7">
        <f t="shared" si="63"/>
        <v>4092529</v>
      </c>
      <c r="G2025" s="7"/>
    </row>
    <row r="2026" spans="1:7" x14ac:dyDescent="0.35">
      <c r="A2026" t="str">
        <f>"2013-03-14"</f>
        <v>2013-03-14</v>
      </c>
      <c r="B2026" t="str">
        <f>"69.0864"</f>
        <v>69.0864</v>
      </c>
      <c r="C2026">
        <v>2024</v>
      </c>
      <c r="D2026" s="7">
        <v>69.086399999999998</v>
      </c>
      <c r="E2026" s="7">
        <f t="shared" si="62"/>
        <v>139830.87359999999</v>
      </c>
      <c r="F2026" s="7">
        <f t="shared" si="63"/>
        <v>4096576</v>
      </c>
      <c r="G2026" s="7"/>
    </row>
    <row r="2027" spans="1:7" x14ac:dyDescent="0.35">
      <c r="A2027" t="str">
        <f>"2013-03-15"</f>
        <v>2013-03-15</v>
      </c>
      <c r="B2027" t="str">
        <f>"68.5254"</f>
        <v>68.5254</v>
      </c>
      <c r="C2027">
        <v>2025</v>
      </c>
      <c r="D2027" s="7">
        <v>68.525400000000005</v>
      </c>
      <c r="E2027" s="7">
        <f t="shared" si="62"/>
        <v>138763.935</v>
      </c>
      <c r="F2027" s="7">
        <f t="shared" si="63"/>
        <v>4100625</v>
      </c>
      <c r="G2027" s="7"/>
    </row>
    <row r="2028" spans="1:7" x14ac:dyDescent="0.35">
      <c r="A2028" t="str">
        <f>"2013-03-18"</f>
        <v>2013-03-18</v>
      </c>
      <c r="B2028" t="str">
        <f>"67.0226"</f>
        <v>67.0226</v>
      </c>
      <c r="C2028">
        <v>2026</v>
      </c>
      <c r="D2028" s="7">
        <v>67.022599999999997</v>
      </c>
      <c r="E2028" s="7">
        <f t="shared" si="62"/>
        <v>135787.78759999998</v>
      </c>
      <c r="F2028" s="7">
        <f t="shared" si="63"/>
        <v>4104676</v>
      </c>
      <c r="G2028" s="7"/>
    </row>
    <row r="2029" spans="1:7" x14ac:dyDescent="0.35">
      <c r="A2029" t="str">
        <f>"2013-03-19"</f>
        <v>2013-03-19</v>
      </c>
      <c r="B2029" t="str">
        <f>"67.6137"</f>
        <v>67.6137</v>
      </c>
      <c r="C2029">
        <v>2027</v>
      </c>
      <c r="D2029" s="7">
        <v>67.613699999999994</v>
      </c>
      <c r="E2029" s="7">
        <f t="shared" si="62"/>
        <v>137052.9699</v>
      </c>
      <c r="F2029" s="7">
        <f t="shared" si="63"/>
        <v>4108729</v>
      </c>
      <c r="G2029" s="7"/>
    </row>
    <row r="2030" spans="1:7" x14ac:dyDescent="0.35">
      <c r="A2030" t="str">
        <f>"2013-03-20"</f>
        <v>2013-03-20</v>
      </c>
      <c r="B2030" t="str">
        <f>"68.4008"</f>
        <v>68.4008</v>
      </c>
      <c r="C2030">
        <v>2028</v>
      </c>
      <c r="D2030" s="7">
        <v>68.400800000000004</v>
      </c>
      <c r="E2030" s="7">
        <f t="shared" si="62"/>
        <v>138716.8224</v>
      </c>
      <c r="F2030" s="7">
        <f t="shared" si="63"/>
        <v>4112784</v>
      </c>
      <c r="G2030" s="7"/>
    </row>
    <row r="2031" spans="1:7" x14ac:dyDescent="0.35">
      <c r="A2031" t="str">
        <f>"2013-03-21"</f>
        <v>2013-03-21</v>
      </c>
      <c r="B2031" t="str">
        <f>"68.0985"</f>
        <v>68.0985</v>
      </c>
      <c r="C2031">
        <v>2029</v>
      </c>
      <c r="D2031" s="7">
        <v>68.098500000000001</v>
      </c>
      <c r="E2031" s="7">
        <f t="shared" si="62"/>
        <v>138171.85649999999</v>
      </c>
      <c r="F2031" s="7">
        <f t="shared" si="63"/>
        <v>4116841</v>
      </c>
      <c r="G2031" s="7"/>
    </row>
    <row r="2032" spans="1:7" x14ac:dyDescent="0.35">
      <c r="A2032" t="str">
        <f>"2013-03-22"</f>
        <v>2013-03-22</v>
      </c>
      <c r="B2032" t="str">
        <f>"67.8309"</f>
        <v>67.8309</v>
      </c>
      <c r="C2032">
        <v>2030</v>
      </c>
      <c r="D2032" s="7">
        <v>67.8309</v>
      </c>
      <c r="E2032" s="7">
        <f t="shared" si="62"/>
        <v>137696.72700000001</v>
      </c>
      <c r="F2032" s="7">
        <f t="shared" si="63"/>
        <v>4120900</v>
      </c>
      <c r="G2032" s="7"/>
    </row>
    <row r="2033" spans="1:7" x14ac:dyDescent="0.35">
      <c r="A2033" t="str">
        <f>"2013-03-25"</f>
        <v>2013-03-25</v>
      </c>
      <c r="B2033" t="str">
        <f>"69.4282"</f>
        <v>69.4282</v>
      </c>
      <c r="C2033">
        <v>2031</v>
      </c>
      <c r="D2033" s="7">
        <v>69.428200000000004</v>
      </c>
      <c r="E2033" s="7">
        <f t="shared" si="62"/>
        <v>141008.67420000001</v>
      </c>
      <c r="F2033" s="7">
        <f t="shared" si="63"/>
        <v>4124961</v>
      </c>
      <c r="G2033" s="7"/>
    </row>
    <row r="2034" spans="1:7" x14ac:dyDescent="0.35">
      <c r="A2034" t="str">
        <f>"2013-03-26"</f>
        <v>2013-03-26</v>
      </c>
      <c r="B2034" t="str">
        <f>"68.7021"</f>
        <v>68.7021</v>
      </c>
      <c r="C2034">
        <v>2032</v>
      </c>
      <c r="D2034" s="7">
        <v>68.702100000000002</v>
      </c>
      <c r="E2034" s="7">
        <f t="shared" si="62"/>
        <v>139602.6672</v>
      </c>
      <c r="F2034" s="7">
        <f t="shared" si="63"/>
        <v>4129024</v>
      </c>
      <c r="G2034" s="7"/>
    </row>
    <row r="2035" spans="1:7" x14ac:dyDescent="0.35">
      <c r="A2035" t="str">
        <f>"2013-03-27"</f>
        <v>2013-03-27</v>
      </c>
      <c r="B2035" t="str">
        <f>"68.369"</f>
        <v>68.369</v>
      </c>
      <c r="C2035">
        <v>2033</v>
      </c>
      <c r="D2035" s="7">
        <v>68.369</v>
      </c>
      <c r="E2035" s="7">
        <f t="shared" si="62"/>
        <v>138994.177</v>
      </c>
      <c r="F2035" s="7">
        <f t="shared" si="63"/>
        <v>4133089</v>
      </c>
      <c r="G2035" s="7"/>
    </row>
    <row r="2036" spans="1:7" x14ac:dyDescent="0.35">
      <c r="A2036" t="str">
        <f>"2013-03-28"</f>
        <v>2013-03-28</v>
      </c>
      <c r="B2036" t="str">
        <f>"69.2689"</f>
        <v>69.2689</v>
      </c>
      <c r="C2036">
        <v>2034</v>
      </c>
      <c r="D2036" s="7">
        <v>69.268900000000002</v>
      </c>
      <c r="E2036" s="7">
        <f t="shared" si="62"/>
        <v>140892.94260000001</v>
      </c>
      <c r="F2036" s="7">
        <f t="shared" si="63"/>
        <v>4137156</v>
      </c>
      <c r="G2036" s="7"/>
    </row>
    <row r="2037" spans="1:7" x14ac:dyDescent="0.35">
      <c r="A2037" t="str">
        <f>"2013-04-01"</f>
        <v>2013-04-01</v>
      </c>
      <c r="B2037" t="str">
        <f>"69.7068"</f>
        <v>69.7068</v>
      </c>
      <c r="C2037">
        <v>2035</v>
      </c>
      <c r="D2037" s="7">
        <v>69.706800000000001</v>
      </c>
      <c r="E2037" s="7">
        <f t="shared" si="62"/>
        <v>141853.33799999999</v>
      </c>
      <c r="F2037" s="7">
        <f t="shared" si="63"/>
        <v>4141225</v>
      </c>
      <c r="G2037" s="7"/>
    </row>
    <row r="2038" spans="1:7" x14ac:dyDescent="0.35">
      <c r="A2038" t="str">
        <f>"2013-04-02"</f>
        <v>2013-04-02</v>
      </c>
      <c r="B2038" t="str">
        <f>"70.6301"</f>
        <v>70.6301</v>
      </c>
      <c r="C2038">
        <v>2036</v>
      </c>
      <c r="D2038" s="7">
        <v>70.630099999999999</v>
      </c>
      <c r="E2038" s="7">
        <f t="shared" si="62"/>
        <v>143802.8836</v>
      </c>
      <c r="F2038" s="7">
        <f t="shared" si="63"/>
        <v>4145296</v>
      </c>
      <c r="G2038" s="7"/>
    </row>
    <row r="2039" spans="1:7" x14ac:dyDescent="0.35">
      <c r="A2039" t="str">
        <f>"2013-04-03"</f>
        <v>2013-04-03</v>
      </c>
      <c r="B2039" t="str">
        <f>"71.6961"</f>
        <v>71.6961</v>
      </c>
      <c r="C2039">
        <v>2037</v>
      </c>
      <c r="D2039" s="7">
        <v>71.696100000000001</v>
      </c>
      <c r="E2039" s="7">
        <f t="shared" si="62"/>
        <v>146044.95569999999</v>
      </c>
      <c r="F2039" s="7">
        <f t="shared" si="63"/>
        <v>4149369</v>
      </c>
      <c r="G2039" s="7"/>
    </row>
    <row r="2040" spans="1:7" x14ac:dyDescent="0.35">
      <c r="A2040" t="str">
        <f>"2013-04-04"</f>
        <v>2013-04-04</v>
      </c>
      <c r="B2040" t="str">
        <f>"71.1936"</f>
        <v>71.1936</v>
      </c>
      <c r="C2040">
        <v>2038</v>
      </c>
      <c r="D2040" s="7">
        <v>71.193600000000004</v>
      </c>
      <c r="E2040" s="7">
        <f t="shared" si="62"/>
        <v>145092.55680000002</v>
      </c>
      <c r="F2040" s="7">
        <f t="shared" si="63"/>
        <v>4153444</v>
      </c>
      <c r="G2040" s="7"/>
    </row>
    <row r="2041" spans="1:7" x14ac:dyDescent="0.35">
      <c r="A2041" t="str">
        <f>"2013-04-05"</f>
        <v>2013-04-05</v>
      </c>
      <c r="B2041" t="str">
        <f>"68.0443"</f>
        <v>68.0443</v>
      </c>
      <c r="C2041">
        <v>2039</v>
      </c>
      <c r="D2041" s="7">
        <v>68.044300000000007</v>
      </c>
      <c r="E2041" s="7">
        <f t="shared" si="62"/>
        <v>138742.32770000002</v>
      </c>
      <c r="F2041" s="7">
        <f t="shared" si="63"/>
        <v>4157521</v>
      </c>
      <c r="G2041" s="7"/>
    </row>
    <row r="2042" spans="1:7" x14ac:dyDescent="0.35">
      <c r="A2042" t="str">
        <f>"2013-04-08"</f>
        <v>2013-04-08</v>
      </c>
      <c r="B2042" t="str">
        <f>"68.3741"</f>
        <v>68.3741</v>
      </c>
      <c r="C2042">
        <v>2040</v>
      </c>
      <c r="D2042" s="7">
        <v>68.374099999999999</v>
      </c>
      <c r="E2042" s="7">
        <f t="shared" si="62"/>
        <v>139483.16399999999</v>
      </c>
      <c r="F2042" s="7">
        <f t="shared" si="63"/>
        <v>4161600</v>
      </c>
      <c r="G2042" s="7"/>
    </row>
    <row r="2043" spans="1:7" x14ac:dyDescent="0.35">
      <c r="A2043" t="str">
        <f>"2013-04-09"</f>
        <v>2013-04-09</v>
      </c>
      <c r="B2043" t="str">
        <f>"68.5874"</f>
        <v>68.5874</v>
      </c>
      <c r="C2043">
        <v>2041</v>
      </c>
      <c r="D2043" s="7">
        <v>68.587400000000002</v>
      </c>
      <c r="E2043" s="7">
        <f t="shared" si="62"/>
        <v>139986.88339999999</v>
      </c>
      <c r="F2043" s="7">
        <f t="shared" si="63"/>
        <v>4165681</v>
      </c>
      <c r="G2043" s="7"/>
    </row>
    <row r="2044" spans="1:7" x14ac:dyDescent="0.35">
      <c r="A2044" t="str">
        <f>"2013-04-10"</f>
        <v>2013-04-10</v>
      </c>
      <c r="B2044" t="str">
        <f>"68.726"</f>
        <v>68.726</v>
      </c>
      <c r="C2044">
        <v>2042</v>
      </c>
      <c r="D2044" s="7">
        <v>68.725999999999999</v>
      </c>
      <c r="E2044" s="7">
        <f t="shared" si="62"/>
        <v>140338.492</v>
      </c>
      <c r="F2044" s="7">
        <f t="shared" si="63"/>
        <v>4169764</v>
      </c>
      <c r="G2044" s="7"/>
    </row>
    <row r="2045" spans="1:7" x14ac:dyDescent="0.35">
      <c r="A2045" t="str">
        <f>"2013-04-11"</f>
        <v>2013-04-11</v>
      </c>
      <c r="B2045" t="str">
        <f>"68.5983"</f>
        <v>68.5983</v>
      </c>
      <c r="C2045">
        <v>2043</v>
      </c>
      <c r="D2045" s="7">
        <v>68.598299999999995</v>
      </c>
      <c r="E2045" s="7">
        <f t="shared" si="62"/>
        <v>140146.32689999999</v>
      </c>
      <c r="F2045" s="7">
        <f t="shared" si="63"/>
        <v>4173849</v>
      </c>
      <c r="G2045" s="7"/>
    </row>
    <row r="2046" spans="1:7" x14ac:dyDescent="0.35">
      <c r="A2046" t="str">
        <f>"2013-04-12"</f>
        <v>2013-04-12</v>
      </c>
      <c r="B2046" t="str">
        <f>"69.69"</f>
        <v>69.69</v>
      </c>
      <c r="C2046">
        <v>2044</v>
      </c>
      <c r="D2046" s="7">
        <v>69.69</v>
      </c>
      <c r="E2046" s="7">
        <f t="shared" si="62"/>
        <v>142446.35999999999</v>
      </c>
      <c r="F2046" s="7">
        <f t="shared" si="63"/>
        <v>4177936</v>
      </c>
      <c r="G2046" s="7"/>
    </row>
    <row r="2047" spans="1:7" x14ac:dyDescent="0.35">
      <c r="A2047" t="str">
        <f>"2013-04-15"</f>
        <v>2013-04-15</v>
      </c>
      <c r="B2047" t="str">
        <f>"78.4337"</f>
        <v>78.4337</v>
      </c>
      <c r="C2047">
        <v>2045</v>
      </c>
      <c r="D2047" s="7">
        <v>78.433700000000002</v>
      </c>
      <c r="E2047" s="7">
        <f t="shared" si="62"/>
        <v>160396.91649999999</v>
      </c>
      <c r="F2047" s="7">
        <f t="shared" si="63"/>
        <v>4182025</v>
      </c>
      <c r="G2047" s="7"/>
    </row>
    <row r="2048" spans="1:7" x14ac:dyDescent="0.35">
      <c r="A2048" t="str">
        <f>"2013-04-16"</f>
        <v>2013-04-16</v>
      </c>
      <c r="B2048" t="str">
        <f>"78.0779"</f>
        <v>78.0779</v>
      </c>
      <c r="C2048">
        <v>2046</v>
      </c>
      <c r="D2048" s="7">
        <v>78.0779</v>
      </c>
      <c r="E2048" s="7">
        <f t="shared" si="62"/>
        <v>159747.38339999999</v>
      </c>
      <c r="F2048" s="7">
        <f t="shared" si="63"/>
        <v>4186116</v>
      </c>
      <c r="G2048" s="7"/>
    </row>
    <row r="2049" spans="1:7" x14ac:dyDescent="0.35">
      <c r="A2049" t="str">
        <f>"2013-04-17"</f>
        <v>2013-04-17</v>
      </c>
      <c r="B2049" t="str">
        <f>"79.4987"</f>
        <v>79.4987</v>
      </c>
      <c r="C2049">
        <v>2047</v>
      </c>
      <c r="D2049" s="7">
        <v>79.498699999999999</v>
      </c>
      <c r="E2049" s="7">
        <f t="shared" si="62"/>
        <v>162733.8389</v>
      </c>
      <c r="F2049" s="7">
        <f t="shared" si="63"/>
        <v>4190209</v>
      </c>
      <c r="G2049" s="7"/>
    </row>
    <row r="2050" spans="1:7" x14ac:dyDescent="0.35">
      <c r="A2050" t="str">
        <f>"2013-04-18"</f>
        <v>2013-04-18</v>
      </c>
      <c r="B2050" t="str">
        <f>"76.7099"</f>
        <v>76.7099</v>
      </c>
      <c r="C2050">
        <v>2048</v>
      </c>
      <c r="D2050" s="7">
        <v>76.709900000000005</v>
      </c>
      <c r="E2050" s="7">
        <f t="shared" si="62"/>
        <v>157101.87520000001</v>
      </c>
      <c r="F2050" s="7">
        <f t="shared" si="63"/>
        <v>4194304</v>
      </c>
      <c r="G2050" s="7"/>
    </row>
    <row r="2051" spans="1:7" x14ac:dyDescent="0.35">
      <c r="A2051" t="str">
        <f>"2013-04-19"</f>
        <v>2013-04-19</v>
      </c>
      <c r="B2051" t="str">
        <f>"76.4447"</f>
        <v>76.4447</v>
      </c>
      <c r="C2051">
        <v>2049</v>
      </c>
      <c r="D2051" s="7">
        <v>76.444699999999997</v>
      </c>
      <c r="E2051" s="7">
        <f t="shared" si="62"/>
        <v>156635.19029999999</v>
      </c>
      <c r="F2051" s="7">
        <f t="shared" si="63"/>
        <v>4198401</v>
      </c>
      <c r="G2051" s="7"/>
    </row>
    <row r="2052" spans="1:7" x14ac:dyDescent="0.35">
      <c r="A2052" t="str">
        <f>"2013-04-22"</f>
        <v>2013-04-22</v>
      </c>
      <c r="B2052" t="str">
        <f>"75.6675"</f>
        <v>75.6675</v>
      </c>
      <c r="C2052">
        <v>2050</v>
      </c>
      <c r="D2052" s="7">
        <v>75.667500000000004</v>
      </c>
      <c r="E2052" s="7">
        <f t="shared" ref="E2052:E2115" si="64">C2052*D2052</f>
        <v>155118.375</v>
      </c>
      <c r="F2052" s="7">
        <f t="shared" ref="F2052:F2115" si="65">C2052*C2052</f>
        <v>4202500</v>
      </c>
      <c r="G2052" s="7"/>
    </row>
    <row r="2053" spans="1:7" x14ac:dyDescent="0.35">
      <c r="A2053" t="str">
        <f>"2013-04-23"</f>
        <v>2013-04-23</v>
      </c>
      <c r="B2053" t="str">
        <f>"76.2113"</f>
        <v>76.2113</v>
      </c>
      <c r="C2053">
        <v>2051</v>
      </c>
      <c r="D2053" s="7">
        <v>76.211299999999994</v>
      </c>
      <c r="E2053" s="7">
        <f t="shared" si="64"/>
        <v>156309.37629999997</v>
      </c>
      <c r="F2053" s="7">
        <f t="shared" si="65"/>
        <v>4206601</v>
      </c>
      <c r="G2053" s="7"/>
    </row>
    <row r="2054" spans="1:7" x14ac:dyDescent="0.35">
      <c r="A2054" t="str">
        <f>"2013-04-24"</f>
        <v>2013-04-24</v>
      </c>
      <c r="B2054" t="str">
        <f>"78.2317"</f>
        <v>78.2317</v>
      </c>
      <c r="C2054">
        <v>2052</v>
      </c>
      <c r="D2054" s="7">
        <v>78.231700000000004</v>
      </c>
      <c r="E2054" s="7">
        <f t="shared" si="64"/>
        <v>160531.44839999999</v>
      </c>
      <c r="F2054" s="7">
        <f t="shared" si="65"/>
        <v>4210704</v>
      </c>
      <c r="G2054" s="7"/>
    </row>
    <row r="2055" spans="1:7" x14ac:dyDescent="0.35">
      <c r="A2055" t="str">
        <f>"2013-04-25"</f>
        <v>2013-04-25</v>
      </c>
      <c r="B2055" t="str">
        <f>"76.5911"</f>
        <v>76.5911</v>
      </c>
      <c r="C2055">
        <v>2053</v>
      </c>
      <c r="D2055" s="7">
        <v>76.591099999999997</v>
      </c>
      <c r="E2055" s="7">
        <f t="shared" si="64"/>
        <v>157241.52830000001</v>
      </c>
      <c r="F2055" s="7">
        <f t="shared" si="65"/>
        <v>4214809</v>
      </c>
      <c r="G2055" s="7"/>
    </row>
    <row r="2056" spans="1:7" x14ac:dyDescent="0.35">
      <c r="A2056" t="str">
        <f>"2013-04-26"</f>
        <v>2013-04-26</v>
      </c>
      <c r="B2056" t="str">
        <f>"78.8436"</f>
        <v>78.8436</v>
      </c>
      <c r="C2056">
        <v>2054</v>
      </c>
      <c r="D2056" s="7">
        <v>78.843599999999995</v>
      </c>
      <c r="E2056" s="7">
        <f t="shared" si="64"/>
        <v>161944.75439999998</v>
      </c>
      <c r="F2056" s="7">
        <f t="shared" si="65"/>
        <v>4218916</v>
      </c>
      <c r="G2056" s="7"/>
    </row>
    <row r="2057" spans="1:7" x14ac:dyDescent="0.35">
      <c r="A2057" t="str">
        <f>"2013-04-29"</f>
        <v>2013-04-29</v>
      </c>
      <c r="B2057" t="str">
        <f>"76.1751"</f>
        <v>76.1751</v>
      </c>
      <c r="C2057">
        <v>2055</v>
      </c>
      <c r="D2057" s="7">
        <v>76.1751</v>
      </c>
      <c r="E2057" s="7">
        <f t="shared" si="64"/>
        <v>156539.83050000001</v>
      </c>
      <c r="F2057" s="7">
        <f t="shared" si="65"/>
        <v>4223025</v>
      </c>
      <c r="G2057" s="7"/>
    </row>
    <row r="2058" spans="1:7" x14ac:dyDescent="0.35">
      <c r="A2058" t="str">
        <f>"2013-04-30"</f>
        <v>2013-04-30</v>
      </c>
      <c r="B2058" t="str">
        <f>"76.4109"</f>
        <v>76.4109</v>
      </c>
      <c r="C2058">
        <v>2056</v>
      </c>
      <c r="D2058" s="7">
        <v>76.410899999999998</v>
      </c>
      <c r="E2058" s="7">
        <f t="shared" si="64"/>
        <v>157100.81039999999</v>
      </c>
      <c r="F2058" s="7">
        <f t="shared" si="65"/>
        <v>4227136</v>
      </c>
      <c r="G2058" s="7"/>
    </row>
    <row r="2059" spans="1:7" x14ac:dyDescent="0.35">
      <c r="A2059" t="str">
        <f>"2013-05-01"</f>
        <v>2013-05-01</v>
      </c>
      <c r="B2059" t="str">
        <f>"77.8878"</f>
        <v>77.8878</v>
      </c>
      <c r="C2059">
        <v>2057</v>
      </c>
      <c r="D2059" s="7">
        <v>77.887799999999999</v>
      </c>
      <c r="E2059" s="7">
        <f t="shared" si="64"/>
        <v>160215.2046</v>
      </c>
      <c r="F2059" s="7">
        <f t="shared" si="65"/>
        <v>4231249</v>
      </c>
      <c r="G2059" s="7"/>
    </row>
    <row r="2060" spans="1:7" x14ac:dyDescent="0.35">
      <c r="A2060" t="str">
        <f>"2013-05-02"</f>
        <v>2013-05-02</v>
      </c>
      <c r="B2060" t="str">
        <f>"78.5694"</f>
        <v>78.5694</v>
      </c>
      <c r="C2060">
        <v>2058</v>
      </c>
      <c r="D2060" s="7">
        <v>78.569400000000002</v>
      </c>
      <c r="E2060" s="7">
        <f t="shared" si="64"/>
        <v>161695.82519999999</v>
      </c>
      <c r="F2060" s="7">
        <f t="shared" si="65"/>
        <v>4235364</v>
      </c>
      <c r="G2060" s="7"/>
    </row>
    <row r="2061" spans="1:7" x14ac:dyDescent="0.35">
      <c r="A2061" t="str">
        <f>"2013-05-03"</f>
        <v>2013-05-03</v>
      </c>
      <c r="B2061" t="str">
        <f>"81.1737"</f>
        <v>81.1737</v>
      </c>
      <c r="C2061">
        <v>2059</v>
      </c>
      <c r="D2061" s="7">
        <v>81.173699999999997</v>
      </c>
      <c r="E2061" s="7">
        <f t="shared" si="64"/>
        <v>167136.6483</v>
      </c>
      <c r="F2061" s="7">
        <f t="shared" si="65"/>
        <v>4239481</v>
      </c>
      <c r="G2061" s="7"/>
    </row>
    <row r="2062" spans="1:7" x14ac:dyDescent="0.35">
      <c r="A2062" t="str">
        <f>"2013-05-06"</f>
        <v>2013-05-06</v>
      </c>
      <c r="B2062" t="str">
        <f>"83.6275"</f>
        <v>83.6275</v>
      </c>
      <c r="C2062">
        <v>2060</v>
      </c>
      <c r="D2062" s="7">
        <v>83.627499999999998</v>
      </c>
      <c r="E2062" s="7">
        <f t="shared" si="64"/>
        <v>172272.65</v>
      </c>
      <c r="F2062" s="7">
        <f t="shared" si="65"/>
        <v>4243600</v>
      </c>
      <c r="G2062" s="7"/>
    </row>
    <row r="2063" spans="1:7" x14ac:dyDescent="0.35">
      <c r="A2063" t="str">
        <f>"2013-05-07"</f>
        <v>2013-05-07</v>
      </c>
      <c r="B2063" t="str">
        <f>"82.7196"</f>
        <v>82.7196</v>
      </c>
      <c r="C2063">
        <v>2061</v>
      </c>
      <c r="D2063" s="7">
        <v>82.7196</v>
      </c>
      <c r="E2063" s="7">
        <f t="shared" si="64"/>
        <v>170485.0956</v>
      </c>
      <c r="F2063" s="7">
        <f t="shared" si="65"/>
        <v>4247721</v>
      </c>
      <c r="G2063" s="7"/>
    </row>
    <row r="2064" spans="1:7" x14ac:dyDescent="0.35">
      <c r="A2064" t="str">
        <f>"2013-05-08"</f>
        <v>2013-05-08</v>
      </c>
      <c r="B2064" t="str">
        <f>"82.1427"</f>
        <v>82.1427</v>
      </c>
      <c r="C2064">
        <v>2062</v>
      </c>
      <c r="D2064" s="7">
        <v>82.142700000000005</v>
      </c>
      <c r="E2064" s="7">
        <f t="shared" si="64"/>
        <v>169378.24740000002</v>
      </c>
      <c r="F2064" s="7">
        <f t="shared" si="65"/>
        <v>4251844</v>
      </c>
      <c r="G2064" s="7"/>
    </row>
    <row r="2065" spans="1:7" x14ac:dyDescent="0.35">
      <c r="A2065" t="str">
        <f>"2013-05-09"</f>
        <v>2013-05-09</v>
      </c>
      <c r="B2065" t="str">
        <f>"82.3332"</f>
        <v>82.3332</v>
      </c>
      <c r="C2065">
        <v>2063</v>
      </c>
      <c r="D2065" s="7">
        <v>82.333200000000005</v>
      </c>
      <c r="E2065" s="7">
        <f t="shared" si="64"/>
        <v>169853.3916</v>
      </c>
      <c r="F2065" s="7">
        <f t="shared" si="65"/>
        <v>4255969</v>
      </c>
      <c r="G2065" s="7"/>
    </row>
    <row r="2066" spans="1:7" x14ac:dyDescent="0.35">
      <c r="A2066" t="str">
        <f>"2013-05-10"</f>
        <v>2013-05-10</v>
      </c>
      <c r="B2066" t="str">
        <f>"84.2975"</f>
        <v>84.2975</v>
      </c>
      <c r="C2066">
        <v>2064</v>
      </c>
      <c r="D2066" s="7">
        <v>84.297499999999999</v>
      </c>
      <c r="E2066" s="7">
        <f t="shared" si="64"/>
        <v>173990.04</v>
      </c>
      <c r="F2066" s="7">
        <f t="shared" si="65"/>
        <v>4260096</v>
      </c>
      <c r="G2066" s="7"/>
    </row>
    <row r="2067" spans="1:7" x14ac:dyDescent="0.35">
      <c r="A2067" t="str">
        <f>"2013-05-13"</f>
        <v>2013-05-13</v>
      </c>
      <c r="B2067" t="str">
        <f>"83.6752"</f>
        <v>83.6752</v>
      </c>
      <c r="C2067">
        <v>2065</v>
      </c>
      <c r="D2067" s="7">
        <v>83.675200000000004</v>
      </c>
      <c r="E2067" s="7">
        <f t="shared" si="64"/>
        <v>172789.288</v>
      </c>
      <c r="F2067" s="7">
        <f t="shared" si="65"/>
        <v>4264225</v>
      </c>
      <c r="G2067" s="7"/>
    </row>
    <row r="2068" spans="1:7" x14ac:dyDescent="0.35">
      <c r="A2068" t="str">
        <f>"2013-05-14"</f>
        <v>2013-05-14</v>
      </c>
      <c r="B2068" t="str">
        <f>"84.9411"</f>
        <v>84.9411</v>
      </c>
      <c r="C2068">
        <v>2066</v>
      </c>
      <c r="D2068" s="7">
        <v>84.941100000000006</v>
      </c>
      <c r="E2068" s="7">
        <f t="shared" si="64"/>
        <v>175488.3126</v>
      </c>
      <c r="F2068" s="7">
        <f t="shared" si="65"/>
        <v>4268356</v>
      </c>
      <c r="G2068" s="7"/>
    </row>
    <row r="2069" spans="1:7" x14ac:dyDescent="0.35">
      <c r="A2069" t="str">
        <f>"2013-05-15"</f>
        <v>2013-05-15</v>
      </c>
      <c r="B2069" t="str">
        <f>"89.2195"</f>
        <v>89.2195</v>
      </c>
      <c r="C2069">
        <v>2067</v>
      </c>
      <c r="D2069" s="7">
        <v>89.219499999999996</v>
      </c>
      <c r="E2069" s="7">
        <f t="shared" si="64"/>
        <v>184416.7065</v>
      </c>
      <c r="F2069" s="7">
        <f t="shared" si="65"/>
        <v>4272489</v>
      </c>
      <c r="G2069" s="7"/>
    </row>
    <row r="2070" spans="1:7" x14ac:dyDescent="0.35">
      <c r="A2070" t="str">
        <f>"2013-05-16"</f>
        <v>2013-05-16</v>
      </c>
      <c r="B2070" t="str">
        <f>"88.3922"</f>
        <v>88.3922</v>
      </c>
      <c r="C2070">
        <v>2068</v>
      </c>
      <c r="D2070" s="7">
        <v>88.392200000000003</v>
      </c>
      <c r="E2070" s="7">
        <f t="shared" si="64"/>
        <v>182795.06960000002</v>
      </c>
      <c r="F2070" s="7">
        <f t="shared" si="65"/>
        <v>4276624</v>
      </c>
      <c r="G2070" s="7"/>
    </row>
    <row r="2071" spans="1:7" x14ac:dyDescent="0.35">
      <c r="A2071" t="str">
        <f>"2013-05-17"</f>
        <v>2013-05-17</v>
      </c>
      <c r="B2071" t="str">
        <f>"90.881"</f>
        <v>90.881</v>
      </c>
      <c r="C2071">
        <v>2069</v>
      </c>
      <c r="D2071" s="7">
        <v>90.881</v>
      </c>
      <c r="E2071" s="7">
        <f t="shared" si="64"/>
        <v>188032.78899999999</v>
      </c>
      <c r="F2071" s="7">
        <f t="shared" si="65"/>
        <v>4280761</v>
      </c>
      <c r="G2071" s="7"/>
    </row>
    <row r="2072" spans="1:7" x14ac:dyDescent="0.35">
      <c r="A2072" t="str">
        <f>"2013-05-20"</f>
        <v>2013-05-20</v>
      </c>
      <c r="B2072" t="str">
        <f>"88.8831"</f>
        <v>88.8831</v>
      </c>
      <c r="C2072">
        <v>2070</v>
      </c>
      <c r="D2072" s="7">
        <v>88.883099999999999</v>
      </c>
      <c r="E2072" s="7">
        <f t="shared" si="64"/>
        <v>183988.01699999999</v>
      </c>
      <c r="F2072" s="7">
        <f t="shared" si="65"/>
        <v>4284900</v>
      </c>
      <c r="G2072" s="7"/>
    </row>
    <row r="2073" spans="1:7" x14ac:dyDescent="0.35">
      <c r="A2073" t="str">
        <f>"2013-05-21"</f>
        <v>2013-05-21</v>
      </c>
      <c r="B2073" t="str">
        <f>"92.1562"</f>
        <v>92.1562</v>
      </c>
      <c r="C2073">
        <v>2071</v>
      </c>
      <c r="D2073" s="7">
        <v>92.156199999999998</v>
      </c>
      <c r="E2073" s="7">
        <f t="shared" si="64"/>
        <v>190855.4902</v>
      </c>
      <c r="F2073" s="7">
        <f t="shared" si="65"/>
        <v>4289041</v>
      </c>
      <c r="G2073" s="7"/>
    </row>
    <row r="2074" spans="1:7" x14ac:dyDescent="0.35">
      <c r="A2074" t="str">
        <f>"2013-05-22"</f>
        <v>2013-05-22</v>
      </c>
      <c r="B2074" t="str">
        <f>"92.9745"</f>
        <v>92.9745</v>
      </c>
      <c r="C2074">
        <v>2072</v>
      </c>
      <c r="D2074" s="7">
        <v>92.974500000000006</v>
      </c>
      <c r="E2074" s="7">
        <f t="shared" si="64"/>
        <v>192643.16400000002</v>
      </c>
      <c r="F2074" s="7">
        <f t="shared" si="65"/>
        <v>4293184</v>
      </c>
      <c r="G2074" s="7"/>
    </row>
    <row r="2075" spans="1:7" x14ac:dyDescent="0.35">
      <c r="A2075" t="str">
        <f>"2013-05-23"</f>
        <v>2013-05-23</v>
      </c>
      <c r="B2075" t="str">
        <f>"91.9038"</f>
        <v>91.9038</v>
      </c>
      <c r="C2075">
        <v>2073</v>
      </c>
      <c r="D2075" s="7">
        <v>91.903800000000004</v>
      </c>
      <c r="E2075" s="7">
        <f t="shared" si="64"/>
        <v>190516.57740000001</v>
      </c>
      <c r="F2075" s="7">
        <f t="shared" si="65"/>
        <v>4297329</v>
      </c>
      <c r="G2075" s="7"/>
    </row>
    <row r="2076" spans="1:7" x14ac:dyDescent="0.35">
      <c r="A2076" t="str">
        <f>"2013-05-24"</f>
        <v>2013-05-24</v>
      </c>
      <c r="B2076" t="str">
        <f>"93.408"</f>
        <v>93.408</v>
      </c>
      <c r="C2076">
        <v>2074</v>
      </c>
      <c r="D2076" s="7">
        <v>93.408000000000001</v>
      </c>
      <c r="E2076" s="7">
        <f t="shared" si="64"/>
        <v>193728.19200000001</v>
      </c>
      <c r="F2076" s="7">
        <f t="shared" si="65"/>
        <v>4301476</v>
      </c>
      <c r="G2076" s="7"/>
    </row>
    <row r="2077" spans="1:7" x14ac:dyDescent="0.35">
      <c r="A2077" t="str">
        <f>"2013-05-28"</f>
        <v>2013-05-28</v>
      </c>
      <c r="B2077" t="str">
        <f>"95.5646"</f>
        <v>95.5646</v>
      </c>
      <c r="C2077">
        <v>2075</v>
      </c>
      <c r="D2077" s="7">
        <v>95.564599999999999</v>
      </c>
      <c r="E2077" s="7">
        <f t="shared" si="64"/>
        <v>198296.54499999998</v>
      </c>
      <c r="F2077" s="7">
        <f t="shared" si="65"/>
        <v>4305625</v>
      </c>
      <c r="G2077" s="7"/>
    </row>
    <row r="2078" spans="1:7" x14ac:dyDescent="0.35">
      <c r="A2078" t="str">
        <f>"2013-05-29"</f>
        <v>2013-05-29</v>
      </c>
      <c r="B2078" t="str">
        <f>"91.9834"</f>
        <v>91.9834</v>
      </c>
      <c r="C2078">
        <v>2076</v>
      </c>
      <c r="D2078" s="7">
        <v>91.983400000000003</v>
      </c>
      <c r="E2078" s="7">
        <f t="shared" si="64"/>
        <v>190957.53840000002</v>
      </c>
      <c r="F2078" s="7">
        <f t="shared" si="65"/>
        <v>4309776</v>
      </c>
      <c r="G2078" s="7"/>
    </row>
    <row r="2079" spans="1:7" x14ac:dyDescent="0.35">
      <c r="A2079" t="str">
        <f>"2013-05-30"</f>
        <v>2013-05-30</v>
      </c>
      <c r="B2079" t="str">
        <f>"90.0014"</f>
        <v>90.0014</v>
      </c>
      <c r="C2079">
        <v>2077</v>
      </c>
      <c r="D2079" s="7">
        <v>90.001400000000004</v>
      </c>
      <c r="E2079" s="7">
        <f t="shared" si="64"/>
        <v>186932.90780000002</v>
      </c>
      <c r="F2079" s="7">
        <f t="shared" si="65"/>
        <v>4313929</v>
      </c>
      <c r="G2079" s="7"/>
    </row>
    <row r="2080" spans="1:7" x14ac:dyDescent="0.35">
      <c r="A2080" t="str">
        <f>"2013-05-31"</f>
        <v>2013-05-31</v>
      </c>
      <c r="B2080" t="str">
        <f>"90.2891"</f>
        <v>90.2891</v>
      </c>
      <c r="C2080">
        <v>2078</v>
      </c>
      <c r="D2080" s="7">
        <v>90.289100000000005</v>
      </c>
      <c r="E2080" s="7">
        <f t="shared" si="64"/>
        <v>187620.74980000002</v>
      </c>
      <c r="F2080" s="7">
        <f t="shared" si="65"/>
        <v>4318084</v>
      </c>
      <c r="G2080" s="7"/>
    </row>
    <row r="2081" spans="1:7" x14ac:dyDescent="0.35">
      <c r="A2081" t="str">
        <f>"2013-06-03"</f>
        <v>2013-06-03</v>
      </c>
      <c r="B2081" t="str">
        <f>"75.1817"</f>
        <v>75.1817</v>
      </c>
      <c r="C2081">
        <v>2079</v>
      </c>
      <c r="D2081" s="7">
        <v>75.181700000000006</v>
      </c>
      <c r="E2081" s="7">
        <f t="shared" si="64"/>
        <v>156302.7543</v>
      </c>
      <c r="F2081" s="7">
        <f t="shared" si="65"/>
        <v>4322241</v>
      </c>
      <c r="G2081" s="7"/>
    </row>
    <row r="2082" spans="1:7" x14ac:dyDescent="0.35">
      <c r="A2082" t="str">
        <f>"2013-06-04"</f>
        <v>2013-06-04</v>
      </c>
      <c r="B2082" t="str">
        <f>"82.8377"</f>
        <v>82.8377</v>
      </c>
      <c r="C2082">
        <v>2080</v>
      </c>
      <c r="D2082" s="7">
        <v>82.837699999999998</v>
      </c>
      <c r="E2082" s="7">
        <f t="shared" si="64"/>
        <v>172302.416</v>
      </c>
      <c r="F2082" s="7">
        <f t="shared" si="65"/>
        <v>4326400</v>
      </c>
      <c r="G2082" s="7"/>
    </row>
    <row r="2083" spans="1:7" x14ac:dyDescent="0.35">
      <c r="A2083" t="str">
        <f>"2013-06-05"</f>
        <v>2013-06-05</v>
      </c>
      <c r="B2083" t="str">
        <f>"84.3373"</f>
        <v>84.3373</v>
      </c>
      <c r="C2083">
        <v>2081</v>
      </c>
      <c r="D2083" s="7">
        <v>84.337299999999999</v>
      </c>
      <c r="E2083" s="7">
        <f t="shared" si="64"/>
        <v>175505.92129999999</v>
      </c>
      <c r="F2083" s="7">
        <f t="shared" si="65"/>
        <v>4330561</v>
      </c>
      <c r="G2083" s="7"/>
    </row>
    <row r="2084" spans="1:7" x14ac:dyDescent="0.35">
      <c r="A2084" t="str">
        <f>"2013-06-06"</f>
        <v>2013-06-06</v>
      </c>
      <c r="B2084" t="str">
        <f>"77.9623"</f>
        <v>77.9623</v>
      </c>
      <c r="C2084">
        <v>2082</v>
      </c>
      <c r="D2084" s="7">
        <v>77.962299999999999</v>
      </c>
      <c r="E2084" s="7">
        <f t="shared" si="64"/>
        <v>162317.5086</v>
      </c>
      <c r="F2084" s="7">
        <f t="shared" si="65"/>
        <v>4334724</v>
      </c>
      <c r="G2084" s="7"/>
    </row>
    <row r="2085" spans="1:7" x14ac:dyDescent="0.35">
      <c r="A2085" t="str">
        <f>"2013-06-07"</f>
        <v>2013-06-07</v>
      </c>
      <c r="B2085" t="str">
        <f>"83.5086"</f>
        <v>83.5086</v>
      </c>
      <c r="C2085">
        <v>2083</v>
      </c>
      <c r="D2085" s="7">
        <v>83.508600000000001</v>
      </c>
      <c r="E2085" s="7">
        <f t="shared" si="64"/>
        <v>173948.41380000001</v>
      </c>
      <c r="F2085" s="7">
        <f t="shared" si="65"/>
        <v>4338889</v>
      </c>
      <c r="G2085" s="7"/>
    </row>
    <row r="2086" spans="1:7" x14ac:dyDescent="0.35">
      <c r="A2086" t="str">
        <f>"2013-06-10"</f>
        <v>2013-06-10</v>
      </c>
      <c r="B2086" t="str">
        <f>"82.6982"</f>
        <v>82.6982</v>
      </c>
      <c r="C2086">
        <v>2084</v>
      </c>
      <c r="D2086" s="7">
        <v>82.6982</v>
      </c>
      <c r="E2086" s="7">
        <f t="shared" si="64"/>
        <v>172343.04879999999</v>
      </c>
      <c r="F2086" s="7">
        <f t="shared" si="65"/>
        <v>4343056</v>
      </c>
      <c r="G2086" s="7"/>
    </row>
    <row r="2087" spans="1:7" x14ac:dyDescent="0.35">
      <c r="A2087" t="str">
        <f>"2013-06-11"</f>
        <v>2013-06-11</v>
      </c>
      <c r="B2087" t="str">
        <f>"77.7735"</f>
        <v>77.7735</v>
      </c>
      <c r="C2087">
        <v>2085</v>
      </c>
      <c r="D2087" s="7">
        <v>77.773499999999999</v>
      </c>
      <c r="E2087" s="7">
        <f t="shared" si="64"/>
        <v>162157.7475</v>
      </c>
      <c r="F2087" s="7">
        <f t="shared" si="65"/>
        <v>4347225</v>
      </c>
      <c r="G2087" s="7"/>
    </row>
    <row r="2088" spans="1:7" x14ac:dyDescent="0.35">
      <c r="A2088" t="str">
        <f>"2013-06-12"</f>
        <v>2013-06-12</v>
      </c>
      <c r="B2088" t="str">
        <f>"78.1353"</f>
        <v>78.1353</v>
      </c>
      <c r="C2088">
        <v>2086</v>
      </c>
      <c r="D2088" s="7">
        <v>78.135300000000001</v>
      </c>
      <c r="E2088" s="7">
        <f t="shared" si="64"/>
        <v>162990.23579999999</v>
      </c>
      <c r="F2088" s="7">
        <f t="shared" si="65"/>
        <v>4351396</v>
      </c>
      <c r="G2088" s="7"/>
    </row>
    <row r="2089" spans="1:7" x14ac:dyDescent="0.35">
      <c r="A2089" t="str">
        <f>"2013-06-13"</f>
        <v>2013-06-13</v>
      </c>
      <c r="B2089" t="str">
        <f>"80.2676"</f>
        <v>80.2676</v>
      </c>
      <c r="C2089">
        <v>2087</v>
      </c>
      <c r="D2089" s="7">
        <v>80.267600000000002</v>
      </c>
      <c r="E2089" s="7">
        <f t="shared" si="64"/>
        <v>167518.48120000001</v>
      </c>
      <c r="F2089" s="7">
        <f t="shared" si="65"/>
        <v>4355569</v>
      </c>
      <c r="G2089" s="7"/>
    </row>
    <row r="2090" spans="1:7" x14ac:dyDescent="0.35">
      <c r="A2090" t="str">
        <f>"2013-06-14"</f>
        <v>2013-06-14</v>
      </c>
      <c r="B2090" t="str">
        <f>"84.0639"</f>
        <v>84.0639</v>
      </c>
      <c r="C2090">
        <v>2088</v>
      </c>
      <c r="D2090" s="7">
        <v>84.063900000000004</v>
      </c>
      <c r="E2090" s="7">
        <f t="shared" si="64"/>
        <v>175525.42320000002</v>
      </c>
      <c r="F2090" s="7">
        <f t="shared" si="65"/>
        <v>4359744</v>
      </c>
      <c r="G2090" s="7"/>
    </row>
    <row r="2091" spans="1:7" x14ac:dyDescent="0.35">
      <c r="A2091" t="str">
        <f>"2013-06-17"</f>
        <v>2013-06-17</v>
      </c>
      <c r="B2091" t="str">
        <f>"82.7346"</f>
        <v>82.7346</v>
      </c>
      <c r="C2091">
        <v>2089</v>
      </c>
      <c r="D2091" s="7">
        <v>82.7346</v>
      </c>
      <c r="E2091" s="7">
        <f t="shared" si="64"/>
        <v>172832.57939999999</v>
      </c>
      <c r="F2091" s="7">
        <f t="shared" si="65"/>
        <v>4363921</v>
      </c>
      <c r="G2091" s="7"/>
    </row>
    <row r="2092" spans="1:7" x14ac:dyDescent="0.35">
      <c r="A2092" t="str">
        <f>"2013-06-18"</f>
        <v>2013-06-18</v>
      </c>
      <c r="B2092" t="str">
        <f>"85.5465"</f>
        <v>85.5465</v>
      </c>
      <c r="C2092">
        <v>2090</v>
      </c>
      <c r="D2092" s="7">
        <v>85.546499999999995</v>
      </c>
      <c r="E2092" s="7">
        <f t="shared" si="64"/>
        <v>178792.185</v>
      </c>
      <c r="F2092" s="7">
        <f t="shared" si="65"/>
        <v>4368100</v>
      </c>
      <c r="G2092" s="7"/>
    </row>
    <row r="2093" spans="1:7" x14ac:dyDescent="0.35">
      <c r="A2093" t="str">
        <f>"2013-06-19"</f>
        <v>2013-06-19</v>
      </c>
      <c r="B2093" t="str">
        <f>"85.2251"</f>
        <v>85.2251</v>
      </c>
      <c r="C2093">
        <v>2091</v>
      </c>
      <c r="D2093" s="7">
        <v>85.225099999999998</v>
      </c>
      <c r="E2093" s="7">
        <f t="shared" si="64"/>
        <v>178205.68409999998</v>
      </c>
      <c r="F2093" s="7">
        <f t="shared" si="65"/>
        <v>4372281</v>
      </c>
      <c r="G2093" s="7"/>
    </row>
    <row r="2094" spans="1:7" x14ac:dyDescent="0.35">
      <c r="A2094" t="str">
        <f>"2013-06-20"</f>
        <v>2013-06-20</v>
      </c>
      <c r="B2094" t="str">
        <f>"87.3447"</f>
        <v>87.3447</v>
      </c>
      <c r="C2094">
        <v>2092</v>
      </c>
      <c r="D2094" s="7">
        <v>87.344700000000003</v>
      </c>
      <c r="E2094" s="7">
        <f t="shared" si="64"/>
        <v>182725.11240000001</v>
      </c>
      <c r="F2094" s="7">
        <f t="shared" si="65"/>
        <v>4376464</v>
      </c>
      <c r="G2094" s="7"/>
    </row>
    <row r="2095" spans="1:7" x14ac:dyDescent="0.35">
      <c r="A2095" t="str">
        <f>"2013-06-21"</f>
        <v>2013-06-21</v>
      </c>
      <c r="B2095" t="str">
        <f>"82.5213"</f>
        <v>82.5213</v>
      </c>
      <c r="C2095">
        <v>2093</v>
      </c>
      <c r="D2095" s="7">
        <v>82.521299999999997</v>
      </c>
      <c r="E2095" s="7">
        <f t="shared" si="64"/>
        <v>172717.0809</v>
      </c>
      <c r="F2095" s="7">
        <f t="shared" si="65"/>
        <v>4380649</v>
      </c>
      <c r="G2095" s="7"/>
    </row>
    <row r="2096" spans="1:7" x14ac:dyDescent="0.35">
      <c r="A2096" t="str">
        <f>"2013-06-24"</f>
        <v>2013-06-24</v>
      </c>
      <c r="B2096" t="str">
        <f>"80.5098"</f>
        <v>80.5098</v>
      </c>
      <c r="C2096">
        <v>2094</v>
      </c>
      <c r="D2096" s="7">
        <v>80.509799999999998</v>
      </c>
      <c r="E2096" s="7">
        <f t="shared" si="64"/>
        <v>168587.52119999999</v>
      </c>
      <c r="F2096" s="7">
        <f t="shared" si="65"/>
        <v>4384836</v>
      </c>
      <c r="G2096" s="7"/>
    </row>
    <row r="2097" spans="1:7" x14ac:dyDescent="0.35">
      <c r="A2097" t="str">
        <f>"2013-06-25"</f>
        <v>2013-06-25</v>
      </c>
      <c r="B2097" t="str">
        <f>"87.3022"</f>
        <v>87.3022</v>
      </c>
      <c r="C2097">
        <v>2095</v>
      </c>
      <c r="D2097" s="7">
        <v>87.302199999999999</v>
      </c>
      <c r="E2097" s="7">
        <f t="shared" si="64"/>
        <v>182898.109</v>
      </c>
      <c r="F2097" s="7">
        <f t="shared" si="65"/>
        <v>4389025</v>
      </c>
      <c r="G2097" s="7"/>
    </row>
    <row r="2098" spans="1:7" x14ac:dyDescent="0.35">
      <c r="A2098" t="str">
        <f>"2013-06-26"</f>
        <v>2013-06-26</v>
      </c>
      <c r="B2098" t="str">
        <f>"94.0704"</f>
        <v>94.0704</v>
      </c>
      <c r="C2098">
        <v>2096</v>
      </c>
      <c r="D2098" s="7">
        <v>94.070400000000006</v>
      </c>
      <c r="E2098" s="7">
        <f t="shared" si="64"/>
        <v>197171.55840000001</v>
      </c>
      <c r="F2098" s="7">
        <f t="shared" si="65"/>
        <v>4393216</v>
      </c>
      <c r="G2098" s="7"/>
    </row>
    <row r="2099" spans="1:7" x14ac:dyDescent="0.35">
      <c r="A2099" t="str">
        <f>"2013-06-27"</f>
        <v>2013-06-27</v>
      </c>
      <c r="B2099" t="str">
        <f>"101.7058"</f>
        <v>101.7058</v>
      </c>
      <c r="C2099">
        <v>2097</v>
      </c>
      <c r="D2099" s="7">
        <v>101.7058</v>
      </c>
      <c r="E2099" s="7">
        <f t="shared" si="64"/>
        <v>213277.0626</v>
      </c>
      <c r="F2099" s="7">
        <f t="shared" si="65"/>
        <v>4397409</v>
      </c>
      <c r="G2099" s="7"/>
    </row>
    <row r="2100" spans="1:7" x14ac:dyDescent="0.35">
      <c r="A2100" t="str">
        <f>"2013-06-28"</f>
        <v>2013-06-28</v>
      </c>
      <c r="B2100" t="str">
        <f>"99.4"</f>
        <v>99.4</v>
      </c>
      <c r="C2100">
        <v>2098</v>
      </c>
      <c r="D2100" s="7">
        <v>99.4</v>
      </c>
      <c r="E2100" s="7">
        <f t="shared" si="64"/>
        <v>208541.2</v>
      </c>
      <c r="F2100" s="7">
        <f t="shared" si="65"/>
        <v>4401604</v>
      </c>
      <c r="G2100" s="7"/>
    </row>
    <row r="2101" spans="1:7" x14ac:dyDescent="0.35">
      <c r="A2101" t="str">
        <f>"2013-07-01"</f>
        <v>2013-07-01</v>
      </c>
      <c r="B2101" t="str">
        <f>"97.5971"</f>
        <v>97.5971</v>
      </c>
      <c r="C2101">
        <v>2099</v>
      </c>
      <c r="D2101" s="7">
        <v>97.597099999999998</v>
      </c>
      <c r="E2101" s="7">
        <f t="shared" si="64"/>
        <v>204856.31289999999</v>
      </c>
      <c r="F2101" s="7">
        <f t="shared" si="65"/>
        <v>4405801</v>
      </c>
      <c r="G2101" s="7"/>
    </row>
    <row r="2102" spans="1:7" x14ac:dyDescent="0.35">
      <c r="A2102" t="str">
        <f>"2013-07-02"</f>
        <v>2013-07-02</v>
      </c>
      <c r="B2102" t="str">
        <f>"97.7926"</f>
        <v>97.7926</v>
      </c>
      <c r="C2102">
        <v>2100</v>
      </c>
      <c r="D2102" s="7">
        <v>97.792599999999993</v>
      </c>
      <c r="E2102" s="7">
        <f t="shared" si="64"/>
        <v>205364.46</v>
      </c>
      <c r="F2102" s="7">
        <f t="shared" si="65"/>
        <v>4410000</v>
      </c>
      <c r="G2102" s="7"/>
    </row>
    <row r="2103" spans="1:7" x14ac:dyDescent="0.35">
      <c r="A2103" t="str">
        <f>"2013-07-03"</f>
        <v>2013-07-03</v>
      </c>
      <c r="B2103" t="str">
        <f>"94.3481"</f>
        <v>94.3481</v>
      </c>
      <c r="C2103">
        <v>2101</v>
      </c>
      <c r="D2103" s="7">
        <v>94.348100000000002</v>
      </c>
      <c r="E2103" s="7">
        <f t="shared" si="64"/>
        <v>198225.35810000001</v>
      </c>
      <c r="F2103" s="7">
        <f t="shared" si="65"/>
        <v>4414201</v>
      </c>
      <c r="G2103" s="7"/>
    </row>
    <row r="2104" spans="1:7" x14ac:dyDescent="0.35">
      <c r="A2104" t="str">
        <f>"2013-07-05"</f>
        <v>2013-07-05</v>
      </c>
      <c r="B2104" t="str">
        <f>"98.8235"</f>
        <v>98.8235</v>
      </c>
      <c r="C2104">
        <v>2102</v>
      </c>
      <c r="D2104" s="7">
        <v>98.823499999999996</v>
      </c>
      <c r="E2104" s="7">
        <f t="shared" si="64"/>
        <v>207726.997</v>
      </c>
      <c r="F2104" s="7">
        <f t="shared" si="65"/>
        <v>4418404</v>
      </c>
      <c r="G2104" s="7"/>
    </row>
    <row r="2105" spans="1:7" x14ac:dyDescent="0.35">
      <c r="A2105" t="str">
        <f>"2013-07-08"</f>
        <v>2013-07-08</v>
      </c>
      <c r="B2105" t="str">
        <f>"97.0674"</f>
        <v>97.0674</v>
      </c>
      <c r="C2105">
        <v>2103</v>
      </c>
      <c r="D2105" s="7">
        <v>97.067400000000006</v>
      </c>
      <c r="E2105" s="7">
        <f t="shared" si="64"/>
        <v>204132.74220000001</v>
      </c>
      <c r="F2105" s="7">
        <f t="shared" si="65"/>
        <v>4422609</v>
      </c>
      <c r="G2105" s="7"/>
    </row>
    <row r="2106" spans="1:7" x14ac:dyDescent="0.35">
      <c r="A2106" t="str">
        <f>"2013-07-09"</f>
        <v>2013-07-09</v>
      </c>
      <c r="B2106" t="str">
        <f>"102.1008"</f>
        <v>102.1008</v>
      </c>
      <c r="C2106">
        <v>2104</v>
      </c>
      <c r="D2106" s="7">
        <v>102.10080000000001</v>
      </c>
      <c r="E2106" s="7">
        <f t="shared" si="64"/>
        <v>214820.08320000002</v>
      </c>
      <c r="F2106" s="7">
        <f t="shared" si="65"/>
        <v>4426816</v>
      </c>
      <c r="G2106" s="7"/>
    </row>
    <row r="2107" spans="1:7" x14ac:dyDescent="0.35">
      <c r="A2107" t="str">
        <f>"2013-07-10"</f>
        <v>2013-07-10</v>
      </c>
      <c r="B2107" t="str">
        <f>"103.3417"</f>
        <v>103.3417</v>
      </c>
      <c r="C2107">
        <v>2105</v>
      </c>
      <c r="D2107" s="7">
        <v>103.3417</v>
      </c>
      <c r="E2107" s="7">
        <f t="shared" si="64"/>
        <v>217534.27850000001</v>
      </c>
      <c r="F2107" s="7">
        <f t="shared" si="65"/>
        <v>4431025</v>
      </c>
      <c r="G2107" s="7"/>
    </row>
    <row r="2108" spans="1:7" x14ac:dyDescent="0.35">
      <c r="A2108" t="str">
        <f>"2013-07-11"</f>
        <v>2013-07-11</v>
      </c>
      <c r="B2108" t="str">
        <f>"101.2684"</f>
        <v>101.2684</v>
      </c>
      <c r="C2108">
        <v>2106</v>
      </c>
      <c r="D2108" s="7">
        <v>101.2684</v>
      </c>
      <c r="E2108" s="7">
        <f t="shared" si="64"/>
        <v>213271.25039999999</v>
      </c>
      <c r="F2108" s="7">
        <f t="shared" si="65"/>
        <v>4435236</v>
      </c>
      <c r="G2108" s="7"/>
    </row>
    <row r="2109" spans="1:7" x14ac:dyDescent="0.35">
      <c r="A2109" t="str">
        <f>"2013-07-12"</f>
        <v>2013-07-12</v>
      </c>
      <c r="B2109" t="str">
        <f>"100.9112"</f>
        <v>100.9112</v>
      </c>
      <c r="C2109">
        <v>2107</v>
      </c>
      <c r="D2109" s="7">
        <v>100.91119999999999</v>
      </c>
      <c r="E2109" s="7">
        <f t="shared" si="64"/>
        <v>212619.89839999998</v>
      </c>
      <c r="F2109" s="7">
        <f t="shared" si="65"/>
        <v>4439449</v>
      </c>
      <c r="G2109" s="7"/>
    </row>
    <row r="2110" spans="1:7" x14ac:dyDescent="0.35">
      <c r="A2110" t="str">
        <f>"2013-07-15"</f>
        <v>2013-07-15</v>
      </c>
      <c r="B2110" t="str">
        <f>"100.0426"</f>
        <v>100.0426</v>
      </c>
      <c r="C2110">
        <v>2108</v>
      </c>
      <c r="D2110" s="7">
        <v>100.04259999999999</v>
      </c>
      <c r="E2110" s="7">
        <f t="shared" si="64"/>
        <v>210889.8008</v>
      </c>
      <c r="F2110" s="7">
        <f t="shared" si="65"/>
        <v>4443664</v>
      </c>
      <c r="G2110" s="7"/>
    </row>
    <row r="2111" spans="1:7" x14ac:dyDescent="0.35">
      <c r="A2111" t="str">
        <f>"2013-07-16"</f>
        <v>2013-07-16</v>
      </c>
      <c r="B2111" t="str">
        <f>"100.5312"</f>
        <v>100.5312</v>
      </c>
      <c r="C2111">
        <v>2109</v>
      </c>
      <c r="D2111" s="7">
        <v>100.5312</v>
      </c>
      <c r="E2111" s="7">
        <f t="shared" si="64"/>
        <v>212020.3008</v>
      </c>
      <c r="F2111" s="7">
        <f t="shared" si="65"/>
        <v>4447881</v>
      </c>
      <c r="G2111" s="7"/>
    </row>
    <row r="2112" spans="1:7" x14ac:dyDescent="0.35">
      <c r="A2112" t="str">
        <f>"2013-07-17"</f>
        <v>2013-07-17</v>
      </c>
      <c r="B2112" t="str">
        <f>"101.4295"</f>
        <v>101.4295</v>
      </c>
      <c r="C2112">
        <v>2110</v>
      </c>
      <c r="D2112" s="7">
        <v>101.4295</v>
      </c>
      <c r="E2112" s="7">
        <f t="shared" si="64"/>
        <v>214016.245</v>
      </c>
      <c r="F2112" s="7">
        <f t="shared" si="65"/>
        <v>4452100</v>
      </c>
      <c r="G2112" s="7"/>
    </row>
    <row r="2113" spans="1:7" x14ac:dyDescent="0.35">
      <c r="A2113" t="str">
        <f>"2013-07-18"</f>
        <v>2013-07-18</v>
      </c>
      <c r="B2113" t="str">
        <f>"102.1639"</f>
        <v>102.1639</v>
      </c>
      <c r="C2113">
        <v>2111</v>
      </c>
      <c r="D2113" s="7">
        <v>102.1639</v>
      </c>
      <c r="E2113" s="7">
        <f t="shared" si="64"/>
        <v>215667.99289999998</v>
      </c>
      <c r="F2113" s="7">
        <f t="shared" si="65"/>
        <v>4456321</v>
      </c>
      <c r="G2113" s="7"/>
    </row>
    <row r="2114" spans="1:7" x14ac:dyDescent="0.35">
      <c r="A2114" t="str">
        <f>"2013-07-19"</f>
        <v>2013-07-19</v>
      </c>
      <c r="B2114" t="str">
        <f>"99.4401"</f>
        <v>99.4401</v>
      </c>
      <c r="C2114">
        <v>2112</v>
      </c>
      <c r="D2114" s="7">
        <v>99.440100000000001</v>
      </c>
      <c r="E2114" s="7">
        <f t="shared" si="64"/>
        <v>210017.49119999999</v>
      </c>
      <c r="F2114" s="7">
        <f t="shared" si="65"/>
        <v>4460544</v>
      </c>
      <c r="G2114" s="7"/>
    </row>
    <row r="2115" spans="1:7" x14ac:dyDescent="0.35">
      <c r="A2115" t="str">
        <f>"2013-07-22"</f>
        <v>2013-07-22</v>
      </c>
      <c r="B2115" t="str">
        <f>"97.9476"</f>
        <v>97.9476</v>
      </c>
      <c r="C2115">
        <v>2113</v>
      </c>
      <c r="D2115" s="7">
        <v>97.947599999999994</v>
      </c>
      <c r="E2115" s="7">
        <f t="shared" si="64"/>
        <v>206963.2788</v>
      </c>
      <c r="F2115" s="7">
        <f t="shared" si="65"/>
        <v>4464769</v>
      </c>
      <c r="G2115" s="7"/>
    </row>
    <row r="2116" spans="1:7" x14ac:dyDescent="0.35">
      <c r="A2116" t="str">
        <f>"2013-07-23"</f>
        <v>2013-07-23</v>
      </c>
      <c r="B2116" t="str">
        <f>"98.9909"</f>
        <v>98.9909</v>
      </c>
      <c r="C2116">
        <v>2114</v>
      </c>
      <c r="D2116" s="7">
        <v>98.990899999999996</v>
      </c>
      <c r="E2116" s="7">
        <f t="shared" ref="E2116:E2179" si="66">C2116*D2116</f>
        <v>209266.76259999999</v>
      </c>
      <c r="F2116" s="7">
        <f t="shared" ref="F2116:F2179" si="67">C2116*C2116</f>
        <v>4468996</v>
      </c>
      <c r="G2116" s="7"/>
    </row>
    <row r="2117" spans="1:7" x14ac:dyDescent="0.35">
      <c r="A2117" t="str">
        <f>"2013-07-24"</f>
        <v>2013-07-24</v>
      </c>
      <c r="B2117" t="str">
        <f>"100.4868"</f>
        <v>100.4868</v>
      </c>
      <c r="C2117">
        <v>2115</v>
      </c>
      <c r="D2117" s="7">
        <v>100.4868</v>
      </c>
      <c r="E2117" s="7">
        <f t="shared" si="66"/>
        <v>212529.58199999999</v>
      </c>
      <c r="F2117" s="7">
        <f t="shared" si="67"/>
        <v>4473225</v>
      </c>
      <c r="G2117" s="7"/>
    </row>
    <row r="2118" spans="1:7" x14ac:dyDescent="0.35">
      <c r="A2118" t="str">
        <f>"2013-07-25"</f>
        <v>2013-07-25</v>
      </c>
      <c r="B2118" t="str">
        <f>"97.905"</f>
        <v>97.905</v>
      </c>
      <c r="C2118">
        <v>2116</v>
      </c>
      <c r="D2118" s="7">
        <v>97.905000000000001</v>
      </c>
      <c r="E2118" s="7">
        <f t="shared" si="66"/>
        <v>207166.98</v>
      </c>
      <c r="F2118" s="7">
        <f t="shared" si="67"/>
        <v>4477456</v>
      </c>
      <c r="G2118" s="7"/>
    </row>
    <row r="2119" spans="1:7" x14ac:dyDescent="0.35">
      <c r="A2119" t="str">
        <f>"2013-07-26"</f>
        <v>2013-07-26</v>
      </c>
      <c r="B2119" t="str">
        <f>"99.4543"</f>
        <v>99.4543</v>
      </c>
      <c r="C2119">
        <v>2117</v>
      </c>
      <c r="D2119" s="7">
        <v>99.454300000000003</v>
      </c>
      <c r="E2119" s="7">
        <f t="shared" si="66"/>
        <v>210544.7531</v>
      </c>
      <c r="F2119" s="7">
        <f t="shared" si="67"/>
        <v>4481689</v>
      </c>
      <c r="G2119" s="7"/>
    </row>
    <row r="2120" spans="1:7" x14ac:dyDescent="0.35">
      <c r="A2120" t="str">
        <f>"2013-07-29"</f>
        <v>2013-07-29</v>
      </c>
      <c r="B2120" t="str">
        <f>"98.5469"</f>
        <v>98.5469</v>
      </c>
      <c r="C2120">
        <v>2118</v>
      </c>
      <c r="D2120" s="7">
        <v>98.546899999999994</v>
      </c>
      <c r="E2120" s="7">
        <f t="shared" si="66"/>
        <v>208722.33419999998</v>
      </c>
      <c r="F2120" s="7">
        <f t="shared" si="67"/>
        <v>4485924</v>
      </c>
      <c r="G2120" s="7"/>
    </row>
    <row r="2121" spans="1:7" x14ac:dyDescent="0.35">
      <c r="A2121" t="str">
        <f>"2013-07-30"</f>
        <v>2013-07-30</v>
      </c>
      <c r="B2121" t="str">
        <f>"100.2257"</f>
        <v>100.2257</v>
      </c>
      <c r="C2121">
        <v>2119</v>
      </c>
      <c r="D2121" s="7">
        <v>100.2257</v>
      </c>
      <c r="E2121" s="7">
        <f t="shared" si="66"/>
        <v>212378.25830000002</v>
      </c>
      <c r="F2121" s="7">
        <f t="shared" si="67"/>
        <v>4490161</v>
      </c>
      <c r="G2121" s="7"/>
    </row>
    <row r="2122" spans="1:7" x14ac:dyDescent="0.35">
      <c r="A2122" t="str">
        <f>"2013-07-31"</f>
        <v>2013-07-31</v>
      </c>
      <c r="B2122" t="str">
        <f>"100.5954"</f>
        <v>100.5954</v>
      </c>
      <c r="C2122">
        <v>2120</v>
      </c>
      <c r="D2122" s="7">
        <v>100.5954</v>
      </c>
      <c r="E2122" s="7">
        <f t="shared" si="66"/>
        <v>213262.24799999999</v>
      </c>
      <c r="F2122" s="7">
        <f t="shared" si="67"/>
        <v>4494400</v>
      </c>
      <c r="G2122" s="7"/>
    </row>
    <row r="2123" spans="1:7" x14ac:dyDescent="0.35">
      <c r="A2123" t="str">
        <f>"2013-08-01"</f>
        <v>2013-08-01</v>
      </c>
      <c r="B2123" t="str">
        <f>"99.4029"</f>
        <v>99.4029</v>
      </c>
      <c r="C2123">
        <v>2121</v>
      </c>
      <c r="D2123" s="7">
        <v>99.402900000000002</v>
      </c>
      <c r="E2123" s="7">
        <f t="shared" si="66"/>
        <v>210833.5509</v>
      </c>
      <c r="F2123" s="7">
        <f t="shared" si="67"/>
        <v>4498641</v>
      </c>
      <c r="G2123" s="7"/>
    </row>
    <row r="2124" spans="1:7" x14ac:dyDescent="0.35">
      <c r="A2124" t="str">
        <f>"2013-08-02"</f>
        <v>2013-08-02</v>
      </c>
      <c r="B2124" t="str">
        <f>"100.045"</f>
        <v>100.045</v>
      </c>
      <c r="C2124">
        <v>2122</v>
      </c>
      <c r="D2124" s="7">
        <v>100.045</v>
      </c>
      <c r="E2124" s="7">
        <f t="shared" si="66"/>
        <v>212295.49</v>
      </c>
      <c r="F2124" s="7">
        <f t="shared" si="67"/>
        <v>4502884</v>
      </c>
      <c r="G2124" s="7"/>
    </row>
    <row r="2125" spans="1:7" x14ac:dyDescent="0.35">
      <c r="A2125" t="str">
        <f>"2013-08-05"</f>
        <v>2013-08-05</v>
      </c>
      <c r="B2125" t="str">
        <f>"102.1477"</f>
        <v>102.1477</v>
      </c>
      <c r="C2125">
        <v>2123</v>
      </c>
      <c r="D2125" s="7">
        <v>102.1477</v>
      </c>
      <c r="E2125" s="7">
        <f t="shared" si="66"/>
        <v>216859.56710000001</v>
      </c>
      <c r="F2125" s="7">
        <f t="shared" si="67"/>
        <v>4507129</v>
      </c>
      <c r="G2125" s="7"/>
    </row>
    <row r="2126" spans="1:7" x14ac:dyDescent="0.35">
      <c r="A2126" t="str">
        <f>"2013-08-06"</f>
        <v>2013-08-06</v>
      </c>
      <c r="B2126" t="str">
        <f>"105.0772"</f>
        <v>105.0772</v>
      </c>
      <c r="C2126">
        <v>2124</v>
      </c>
      <c r="D2126" s="7">
        <v>105.0772</v>
      </c>
      <c r="E2126" s="7">
        <f t="shared" si="66"/>
        <v>223183.97280000002</v>
      </c>
      <c r="F2126" s="7">
        <f t="shared" si="67"/>
        <v>4511376</v>
      </c>
      <c r="G2126" s="7"/>
    </row>
    <row r="2127" spans="1:7" x14ac:dyDescent="0.35">
      <c r="A2127" t="str">
        <f>"2013-08-07"</f>
        <v>2013-08-07</v>
      </c>
      <c r="B2127" t="str">
        <f>"106.004"</f>
        <v>106.004</v>
      </c>
      <c r="C2127">
        <v>2125</v>
      </c>
      <c r="D2127" s="7">
        <v>106.004</v>
      </c>
      <c r="E2127" s="7">
        <f t="shared" si="66"/>
        <v>225258.5</v>
      </c>
      <c r="F2127" s="7">
        <f t="shared" si="67"/>
        <v>4515625</v>
      </c>
      <c r="G2127" s="7"/>
    </row>
    <row r="2128" spans="1:7" x14ac:dyDescent="0.35">
      <c r="A2128" t="str">
        <f>"2013-08-08"</f>
        <v>2013-08-08</v>
      </c>
      <c r="B2128" t="str">
        <f>"102.7979"</f>
        <v>102.7979</v>
      </c>
      <c r="C2128">
        <v>2126</v>
      </c>
      <c r="D2128" s="7">
        <v>102.7979</v>
      </c>
      <c r="E2128" s="7">
        <f t="shared" si="66"/>
        <v>218548.33540000001</v>
      </c>
      <c r="F2128" s="7">
        <f t="shared" si="67"/>
        <v>4519876</v>
      </c>
      <c r="G2128" s="7"/>
    </row>
    <row r="2129" spans="1:7" x14ac:dyDescent="0.35">
      <c r="A2129" t="str">
        <f>"2013-08-09"</f>
        <v>2013-08-09</v>
      </c>
      <c r="B2129" t="str">
        <f>"103.0743"</f>
        <v>103.0743</v>
      </c>
      <c r="C2129">
        <v>2127</v>
      </c>
      <c r="D2129" s="7">
        <v>103.07429999999999</v>
      </c>
      <c r="E2129" s="7">
        <f t="shared" si="66"/>
        <v>219239.0361</v>
      </c>
      <c r="F2129" s="7">
        <f t="shared" si="67"/>
        <v>4524129</v>
      </c>
      <c r="G2129" s="7"/>
    </row>
    <row r="2130" spans="1:7" x14ac:dyDescent="0.35">
      <c r="A2130" t="str">
        <f>"2013-08-12"</f>
        <v>2013-08-12</v>
      </c>
      <c r="B2130" t="str">
        <f>"105.5852"</f>
        <v>105.5852</v>
      </c>
      <c r="C2130">
        <v>2128</v>
      </c>
      <c r="D2130" s="7">
        <v>105.5852</v>
      </c>
      <c r="E2130" s="7">
        <f t="shared" si="66"/>
        <v>224685.30559999999</v>
      </c>
      <c r="F2130" s="7">
        <f t="shared" si="67"/>
        <v>4528384</v>
      </c>
      <c r="G2130" s="7"/>
    </row>
    <row r="2131" spans="1:7" x14ac:dyDescent="0.35">
      <c r="A2131" t="str">
        <f>"2013-08-13"</f>
        <v>2013-08-13</v>
      </c>
      <c r="B2131" t="str">
        <f>"104.7256"</f>
        <v>104.7256</v>
      </c>
      <c r="C2131">
        <v>2129</v>
      </c>
      <c r="D2131" s="7">
        <v>104.7256</v>
      </c>
      <c r="E2131" s="7">
        <f t="shared" si="66"/>
        <v>222960.80239999999</v>
      </c>
      <c r="F2131" s="7">
        <f t="shared" si="67"/>
        <v>4532641</v>
      </c>
      <c r="G2131" s="7"/>
    </row>
    <row r="2132" spans="1:7" x14ac:dyDescent="0.35">
      <c r="A2132" t="str">
        <f>"2013-08-14"</f>
        <v>2013-08-14</v>
      </c>
      <c r="B2132" t="str">
        <f>"102.3631"</f>
        <v>102.3631</v>
      </c>
      <c r="C2132">
        <v>2130</v>
      </c>
      <c r="D2132" s="7">
        <v>102.3631</v>
      </c>
      <c r="E2132" s="7">
        <f t="shared" si="66"/>
        <v>218033.40300000002</v>
      </c>
      <c r="F2132" s="7">
        <f t="shared" si="67"/>
        <v>4536900</v>
      </c>
      <c r="G2132" s="7"/>
    </row>
    <row r="2133" spans="1:7" x14ac:dyDescent="0.35">
      <c r="A2133" t="str">
        <f>"2013-08-15"</f>
        <v>2013-08-15</v>
      </c>
      <c r="B2133" t="str">
        <f>"98.5702"</f>
        <v>98.5702</v>
      </c>
      <c r="C2133">
        <v>2131</v>
      </c>
      <c r="D2133" s="7">
        <v>98.5702</v>
      </c>
      <c r="E2133" s="7">
        <f t="shared" si="66"/>
        <v>210053.0962</v>
      </c>
      <c r="F2133" s="7">
        <f t="shared" si="67"/>
        <v>4541161</v>
      </c>
      <c r="G2133" s="7"/>
    </row>
    <row r="2134" spans="1:7" x14ac:dyDescent="0.35">
      <c r="A2134" t="str">
        <f>"2013-08-16"</f>
        <v>2013-08-16</v>
      </c>
      <c r="B2134" t="str">
        <f>"100.2323"</f>
        <v>100.2323</v>
      </c>
      <c r="C2134">
        <v>2132</v>
      </c>
      <c r="D2134" s="7">
        <v>100.2323</v>
      </c>
      <c r="E2134" s="7">
        <f t="shared" si="66"/>
        <v>213695.26359999998</v>
      </c>
      <c r="F2134" s="7">
        <f t="shared" si="67"/>
        <v>4545424</v>
      </c>
      <c r="G2134" s="7"/>
    </row>
    <row r="2135" spans="1:7" x14ac:dyDescent="0.35">
      <c r="A2135" t="str">
        <f>"2013-08-19"</f>
        <v>2013-08-19</v>
      </c>
      <c r="B2135" t="str">
        <f>"98.4383"</f>
        <v>98.4383</v>
      </c>
      <c r="C2135">
        <v>2133</v>
      </c>
      <c r="D2135" s="7">
        <v>98.438299999999998</v>
      </c>
      <c r="E2135" s="7">
        <f t="shared" si="66"/>
        <v>209968.8939</v>
      </c>
      <c r="F2135" s="7">
        <f t="shared" si="67"/>
        <v>4549689</v>
      </c>
      <c r="G2135" s="7"/>
    </row>
    <row r="2136" spans="1:7" x14ac:dyDescent="0.35">
      <c r="A2136" t="str">
        <f>"2013-08-20"</f>
        <v>2013-08-20</v>
      </c>
      <c r="B2136" t="str">
        <f>"93.2478"</f>
        <v>93.2478</v>
      </c>
      <c r="C2136">
        <v>2134</v>
      </c>
      <c r="D2136" s="7">
        <v>93.247799999999998</v>
      </c>
      <c r="E2136" s="7">
        <f t="shared" si="66"/>
        <v>198990.8052</v>
      </c>
      <c r="F2136" s="7">
        <f t="shared" si="67"/>
        <v>4553956</v>
      </c>
      <c r="G2136" s="7"/>
    </row>
    <row r="2137" spans="1:7" x14ac:dyDescent="0.35">
      <c r="A2137" t="str">
        <f>"2013-08-21"</f>
        <v>2013-08-21</v>
      </c>
      <c r="B2137" t="str">
        <f>"86.6727"</f>
        <v>86.6727</v>
      </c>
      <c r="C2137">
        <v>2135</v>
      </c>
      <c r="D2137" s="7">
        <v>86.672700000000006</v>
      </c>
      <c r="E2137" s="7">
        <f t="shared" si="66"/>
        <v>185046.2145</v>
      </c>
      <c r="F2137" s="7">
        <f t="shared" si="67"/>
        <v>4558225</v>
      </c>
      <c r="G2137" s="7"/>
    </row>
    <row r="2138" spans="1:7" x14ac:dyDescent="0.35">
      <c r="A2138" t="str">
        <f>"2013-08-22"</f>
        <v>2013-08-22</v>
      </c>
      <c r="B2138" t="str">
        <f>"83.8599"</f>
        <v>83.8599</v>
      </c>
      <c r="C2138">
        <v>2136</v>
      </c>
      <c r="D2138" s="7">
        <v>83.859899999999996</v>
      </c>
      <c r="E2138" s="7">
        <f t="shared" si="66"/>
        <v>179124.7464</v>
      </c>
      <c r="F2138" s="7">
        <f t="shared" si="67"/>
        <v>4562496</v>
      </c>
      <c r="G2138" s="7"/>
    </row>
    <row r="2139" spans="1:7" x14ac:dyDescent="0.35">
      <c r="A2139" t="str">
        <f>"2013-08-23"</f>
        <v>2013-08-23</v>
      </c>
      <c r="B2139" t="str">
        <f>"82.0439"</f>
        <v>82.0439</v>
      </c>
      <c r="C2139">
        <v>2137</v>
      </c>
      <c r="D2139" s="7">
        <v>82.043899999999994</v>
      </c>
      <c r="E2139" s="7">
        <f t="shared" si="66"/>
        <v>175327.8143</v>
      </c>
      <c r="F2139" s="7">
        <f t="shared" si="67"/>
        <v>4566769</v>
      </c>
      <c r="G2139" s="7"/>
    </row>
    <row r="2140" spans="1:7" x14ac:dyDescent="0.35">
      <c r="A2140" t="str">
        <f>"2013-08-26"</f>
        <v>2013-08-26</v>
      </c>
      <c r="B2140" t="str">
        <f>"83.7195"</f>
        <v>83.7195</v>
      </c>
      <c r="C2140">
        <v>2138</v>
      </c>
      <c r="D2140" s="7">
        <v>83.719499999999996</v>
      </c>
      <c r="E2140" s="7">
        <f t="shared" si="66"/>
        <v>178992.291</v>
      </c>
      <c r="F2140" s="7">
        <f t="shared" si="67"/>
        <v>4571044</v>
      </c>
      <c r="G2140" s="7"/>
    </row>
    <row r="2141" spans="1:7" x14ac:dyDescent="0.35">
      <c r="A2141" t="str">
        <f>"2013-08-27"</f>
        <v>2013-08-27</v>
      </c>
      <c r="B2141" t="str">
        <f>"74.6014"</f>
        <v>74.6014</v>
      </c>
      <c r="C2141">
        <v>2139</v>
      </c>
      <c r="D2141" s="7">
        <v>74.601399999999998</v>
      </c>
      <c r="E2141" s="7">
        <f t="shared" si="66"/>
        <v>159572.3946</v>
      </c>
      <c r="F2141" s="7">
        <f t="shared" si="67"/>
        <v>4575321</v>
      </c>
      <c r="G2141" s="7"/>
    </row>
    <row r="2142" spans="1:7" x14ac:dyDescent="0.35">
      <c r="A2142" t="str">
        <f>"2013-08-28"</f>
        <v>2013-08-28</v>
      </c>
      <c r="B2142" t="str">
        <f>"68.9583"</f>
        <v>68.9583</v>
      </c>
      <c r="C2142">
        <v>2140</v>
      </c>
      <c r="D2142" s="7">
        <v>68.958299999999994</v>
      </c>
      <c r="E2142" s="7">
        <f t="shared" si="66"/>
        <v>147570.76199999999</v>
      </c>
      <c r="F2142" s="7">
        <f t="shared" si="67"/>
        <v>4579600</v>
      </c>
      <c r="G2142" s="7"/>
    </row>
    <row r="2143" spans="1:7" x14ac:dyDescent="0.35">
      <c r="A2143" t="str">
        <f>"2013-08-29"</f>
        <v>2013-08-29</v>
      </c>
      <c r="B2143" t="str">
        <f>"68.5884"</f>
        <v>68.5884</v>
      </c>
      <c r="C2143">
        <v>2141</v>
      </c>
      <c r="D2143" s="7">
        <v>68.588399999999993</v>
      </c>
      <c r="E2143" s="7">
        <f t="shared" si="66"/>
        <v>146847.76439999999</v>
      </c>
      <c r="F2143" s="7">
        <f t="shared" si="67"/>
        <v>4583881</v>
      </c>
      <c r="G2143" s="7"/>
    </row>
    <row r="2144" spans="1:7" x14ac:dyDescent="0.35">
      <c r="A2144" t="str">
        <f>"2013-08-30"</f>
        <v>2013-08-30</v>
      </c>
      <c r="B2144" t="str">
        <f>"69.3956"</f>
        <v>69.3956</v>
      </c>
      <c r="C2144">
        <v>2142</v>
      </c>
      <c r="D2144" s="7">
        <v>69.395600000000002</v>
      </c>
      <c r="E2144" s="7">
        <f t="shared" si="66"/>
        <v>148645.37520000001</v>
      </c>
      <c r="F2144" s="7">
        <f t="shared" si="67"/>
        <v>4588164</v>
      </c>
      <c r="G2144" s="7"/>
    </row>
    <row r="2145" spans="1:7" x14ac:dyDescent="0.35">
      <c r="A2145" t="str">
        <f>"2013-09-03"</f>
        <v>2013-09-03</v>
      </c>
      <c r="B2145" t="str">
        <f>"68.0991"</f>
        <v>68.0991</v>
      </c>
      <c r="C2145">
        <v>2143</v>
      </c>
      <c r="D2145" s="7">
        <v>68.099100000000007</v>
      </c>
      <c r="E2145" s="7">
        <f t="shared" si="66"/>
        <v>145936.37130000003</v>
      </c>
      <c r="F2145" s="7">
        <f t="shared" si="67"/>
        <v>4592449</v>
      </c>
      <c r="G2145" s="7"/>
    </row>
    <row r="2146" spans="1:7" x14ac:dyDescent="0.35">
      <c r="A2146" t="str">
        <f>"2013-09-04"</f>
        <v>2013-09-04</v>
      </c>
      <c r="B2146" t="str">
        <f>"67.6901"</f>
        <v>67.6901</v>
      </c>
      <c r="C2146">
        <v>2144</v>
      </c>
      <c r="D2146" s="7">
        <v>67.690100000000001</v>
      </c>
      <c r="E2146" s="7">
        <f t="shared" si="66"/>
        <v>145127.57440000001</v>
      </c>
      <c r="F2146" s="7">
        <f t="shared" si="67"/>
        <v>4596736</v>
      </c>
      <c r="G2146" s="7"/>
    </row>
    <row r="2147" spans="1:7" x14ac:dyDescent="0.35">
      <c r="A2147" t="str">
        <f>"2013-09-05"</f>
        <v>2013-09-05</v>
      </c>
      <c r="B2147" t="str">
        <f>"66.6047"</f>
        <v>66.6047</v>
      </c>
      <c r="C2147">
        <v>2145</v>
      </c>
      <c r="D2147" s="7">
        <v>66.604699999999994</v>
      </c>
      <c r="E2147" s="7">
        <f t="shared" si="66"/>
        <v>142867.0815</v>
      </c>
      <c r="F2147" s="7">
        <f t="shared" si="67"/>
        <v>4601025</v>
      </c>
      <c r="G2147" s="7"/>
    </row>
    <row r="2148" spans="1:7" x14ac:dyDescent="0.35">
      <c r="A2148" t="str">
        <f>"2013-09-06"</f>
        <v>2013-09-06</v>
      </c>
      <c r="B2148" t="str">
        <f>"64.6425"</f>
        <v>64.6425</v>
      </c>
      <c r="C2148">
        <v>2146</v>
      </c>
      <c r="D2148" s="7">
        <v>64.642499999999998</v>
      </c>
      <c r="E2148" s="7">
        <f t="shared" si="66"/>
        <v>138722.80499999999</v>
      </c>
      <c r="F2148" s="7">
        <f t="shared" si="67"/>
        <v>4605316</v>
      </c>
      <c r="G2148" s="7"/>
    </row>
    <row r="2149" spans="1:7" x14ac:dyDescent="0.35">
      <c r="A2149" t="str">
        <f>"2013-09-09"</f>
        <v>2013-09-09</v>
      </c>
      <c r="B2149" t="str">
        <f>"68.2162"</f>
        <v>68.2162</v>
      </c>
      <c r="C2149">
        <v>2147</v>
      </c>
      <c r="D2149" s="7">
        <v>68.216200000000001</v>
      </c>
      <c r="E2149" s="7">
        <f t="shared" si="66"/>
        <v>146460.1814</v>
      </c>
      <c r="F2149" s="7">
        <f t="shared" si="67"/>
        <v>4609609</v>
      </c>
      <c r="G2149" s="7"/>
    </row>
    <row r="2150" spans="1:7" x14ac:dyDescent="0.35">
      <c r="A2150" t="str">
        <f>"2013-09-10"</f>
        <v>2013-09-10</v>
      </c>
      <c r="B2150" t="str">
        <f>"77.9522"</f>
        <v>77.9522</v>
      </c>
      <c r="C2150">
        <v>2148</v>
      </c>
      <c r="D2150" s="7">
        <v>77.952200000000005</v>
      </c>
      <c r="E2150" s="7">
        <f t="shared" si="66"/>
        <v>167441.32560000001</v>
      </c>
      <c r="F2150" s="7">
        <f t="shared" si="67"/>
        <v>4613904</v>
      </c>
      <c r="G2150" s="7"/>
    </row>
    <row r="2151" spans="1:7" x14ac:dyDescent="0.35">
      <c r="A2151" t="str">
        <f>"2013-09-11"</f>
        <v>2013-09-11</v>
      </c>
      <c r="B2151" t="str">
        <f>"77.8631"</f>
        <v>77.8631</v>
      </c>
      <c r="C2151">
        <v>2149</v>
      </c>
      <c r="D2151" s="7">
        <v>77.863100000000003</v>
      </c>
      <c r="E2151" s="7">
        <f t="shared" si="66"/>
        <v>167327.80190000002</v>
      </c>
      <c r="F2151" s="7">
        <f t="shared" si="67"/>
        <v>4618201</v>
      </c>
      <c r="G2151" s="7"/>
    </row>
    <row r="2152" spans="1:7" x14ac:dyDescent="0.35">
      <c r="A2152" t="str">
        <f>"2013-09-12"</f>
        <v>2013-09-12</v>
      </c>
      <c r="B2152" t="str">
        <f>"81.1389"</f>
        <v>81.1389</v>
      </c>
      <c r="C2152">
        <v>2150</v>
      </c>
      <c r="D2152" s="7">
        <v>81.138900000000007</v>
      </c>
      <c r="E2152" s="7">
        <f t="shared" si="66"/>
        <v>174448.63500000001</v>
      </c>
      <c r="F2152" s="7">
        <f t="shared" si="67"/>
        <v>4622500</v>
      </c>
      <c r="G2152" s="7"/>
    </row>
    <row r="2153" spans="1:7" x14ac:dyDescent="0.35">
      <c r="A2153" t="str">
        <f>"2013-09-13"</f>
        <v>2013-09-13</v>
      </c>
      <c r="B2153" t="str">
        <f>"79.7802"</f>
        <v>79.7802</v>
      </c>
      <c r="C2153">
        <v>2151</v>
      </c>
      <c r="D2153" s="7">
        <v>79.780199999999994</v>
      </c>
      <c r="E2153" s="7">
        <f t="shared" si="66"/>
        <v>171607.21019999997</v>
      </c>
      <c r="F2153" s="7">
        <f t="shared" si="67"/>
        <v>4626801</v>
      </c>
      <c r="G2153" s="7"/>
    </row>
    <row r="2154" spans="1:7" x14ac:dyDescent="0.35">
      <c r="A2154" t="str">
        <f>"2013-09-16"</f>
        <v>2013-09-16</v>
      </c>
      <c r="B2154" t="str">
        <f>"83.6996"</f>
        <v>83.6996</v>
      </c>
      <c r="C2154">
        <v>2152</v>
      </c>
      <c r="D2154" s="7">
        <v>83.699600000000004</v>
      </c>
      <c r="E2154" s="7">
        <f t="shared" si="66"/>
        <v>180121.5392</v>
      </c>
      <c r="F2154" s="7">
        <f t="shared" si="67"/>
        <v>4631104</v>
      </c>
      <c r="G2154" s="7"/>
    </row>
    <row r="2155" spans="1:7" x14ac:dyDescent="0.35">
      <c r="A2155" t="str">
        <f>"2013-09-17"</f>
        <v>2013-09-17</v>
      </c>
      <c r="B2155" t="str">
        <f>"84.3097"</f>
        <v>84.3097</v>
      </c>
      <c r="C2155">
        <v>2153</v>
      </c>
      <c r="D2155" s="7">
        <v>84.309700000000007</v>
      </c>
      <c r="E2155" s="7">
        <f t="shared" si="66"/>
        <v>181518.78410000002</v>
      </c>
      <c r="F2155" s="7">
        <f t="shared" si="67"/>
        <v>4635409</v>
      </c>
      <c r="G2155" s="7"/>
    </row>
    <row r="2156" spans="1:7" x14ac:dyDescent="0.35">
      <c r="A2156" t="str">
        <f>"2013-09-18"</f>
        <v>2013-09-18</v>
      </c>
      <c r="B2156" t="str">
        <f>"85.5703"</f>
        <v>85.5703</v>
      </c>
      <c r="C2156">
        <v>2154</v>
      </c>
      <c r="D2156" s="7">
        <v>85.570300000000003</v>
      </c>
      <c r="E2156" s="7">
        <f t="shared" si="66"/>
        <v>184318.42620000002</v>
      </c>
      <c r="F2156" s="7">
        <f t="shared" si="67"/>
        <v>4639716</v>
      </c>
      <c r="G2156" s="7"/>
    </row>
    <row r="2157" spans="1:7" x14ac:dyDescent="0.35">
      <c r="A2157" t="str">
        <f>"2013-09-19"</f>
        <v>2013-09-19</v>
      </c>
      <c r="B2157" t="str">
        <f>"89.5338"</f>
        <v>89.5338</v>
      </c>
      <c r="C2157">
        <v>2155</v>
      </c>
      <c r="D2157" s="7">
        <v>89.533799999999999</v>
      </c>
      <c r="E2157" s="7">
        <f t="shared" si="66"/>
        <v>192945.33900000001</v>
      </c>
      <c r="F2157" s="7">
        <f t="shared" si="67"/>
        <v>4644025</v>
      </c>
      <c r="G2157" s="7"/>
    </row>
    <row r="2158" spans="1:7" x14ac:dyDescent="0.35">
      <c r="A2158" t="str">
        <f>"2013-09-20"</f>
        <v>2013-09-20</v>
      </c>
      <c r="B2158" t="str">
        <f>"93.1231"</f>
        <v>93.1231</v>
      </c>
      <c r="C2158">
        <v>2156</v>
      </c>
      <c r="D2158" s="7">
        <v>93.123099999999994</v>
      </c>
      <c r="E2158" s="7">
        <f t="shared" si="66"/>
        <v>200773.40359999999</v>
      </c>
      <c r="F2158" s="7">
        <f t="shared" si="67"/>
        <v>4648336</v>
      </c>
      <c r="G2158" s="7"/>
    </row>
    <row r="2159" spans="1:7" x14ac:dyDescent="0.35">
      <c r="A2159" t="str">
        <f>"2013-09-23"</f>
        <v>2013-09-23</v>
      </c>
      <c r="B2159" t="str">
        <f>"91.5945"</f>
        <v>91.5945</v>
      </c>
      <c r="C2159">
        <v>2157</v>
      </c>
      <c r="D2159" s="7">
        <v>91.594499999999996</v>
      </c>
      <c r="E2159" s="7">
        <f t="shared" si="66"/>
        <v>197569.3365</v>
      </c>
      <c r="F2159" s="7">
        <f t="shared" si="67"/>
        <v>4652649</v>
      </c>
      <c r="G2159" s="7"/>
    </row>
    <row r="2160" spans="1:7" x14ac:dyDescent="0.35">
      <c r="A2160" t="str">
        <f>"2013-09-24"</f>
        <v>2013-09-24</v>
      </c>
      <c r="B2160" t="str">
        <f>"93.6219"</f>
        <v>93.6219</v>
      </c>
      <c r="C2160">
        <v>2158</v>
      </c>
      <c r="D2160" s="7">
        <v>93.621899999999997</v>
      </c>
      <c r="E2160" s="7">
        <f t="shared" si="66"/>
        <v>202036.06019999998</v>
      </c>
      <c r="F2160" s="7">
        <f t="shared" si="67"/>
        <v>4656964</v>
      </c>
      <c r="G2160" s="7"/>
    </row>
    <row r="2161" spans="1:7" x14ac:dyDescent="0.35">
      <c r="A2161" t="str">
        <f>"2013-09-25"</f>
        <v>2013-09-25</v>
      </c>
      <c r="B2161" t="str">
        <f>"90.793"</f>
        <v>90.793</v>
      </c>
      <c r="C2161">
        <v>2159</v>
      </c>
      <c r="D2161" s="7">
        <v>90.793000000000006</v>
      </c>
      <c r="E2161" s="7">
        <f t="shared" si="66"/>
        <v>196022.087</v>
      </c>
      <c r="F2161" s="7">
        <f t="shared" si="67"/>
        <v>4661281</v>
      </c>
      <c r="G2161" s="7"/>
    </row>
    <row r="2162" spans="1:7" x14ac:dyDescent="0.35">
      <c r="A2162" t="str">
        <f>"2013-09-26"</f>
        <v>2013-09-26</v>
      </c>
      <c r="B2162" t="str">
        <f>"89.3899"</f>
        <v>89.3899</v>
      </c>
      <c r="C2162">
        <v>2160</v>
      </c>
      <c r="D2162" s="7">
        <v>89.389899999999997</v>
      </c>
      <c r="E2162" s="7">
        <f t="shared" si="66"/>
        <v>193082.18400000001</v>
      </c>
      <c r="F2162" s="7">
        <f t="shared" si="67"/>
        <v>4665600</v>
      </c>
      <c r="G2162" s="7"/>
    </row>
    <row r="2163" spans="1:7" x14ac:dyDescent="0.35">
      <c r="A2163" t="str">
        <f>"2013-09-27"</f>
        <v>2013-09-27</v>
      </c>
      <c r="B2163" t="str">
        <f>"86.7662"</f>
        <v>86.7662</v>
      </c>
      <c r="C2163">
        <v>2161</v>
      </c>
      <c r="D2163" s="7">
        <v>86.766199999999998</v>
      </c>
      <c r="E2163" s="7">
        <f t="shared" si="66"/>
        <v>187501.75819999998</v>
      </c>
      <c r="F2163" s="7">
        <f t="shared" si="67"/>
        <v>4669921</v>
      </c>
      <c r="G2163" s="7"/>
    </row>
    <row r="2164" spans="1:7" x14ac:dyDescent="0.35">
      <c r="A2164" t="str">
        <f>"2013-09-30"</f>
        <v>2013-09-30</v>
      </c>
      <c r="B2164" t="str">
        <f>"88.5856"</f>
        <v>88.5856</v>
      </c>
      <c r="C2164">
        <v>2162</v>
      </c>
      <c r="D2164" s="7">
        <v>88.585599999999999</v>
      </c>
      <c r="E2164" s="7">
        <f t="shared" si="66"/>
        <v>191522.06719999999</v>
      </c>
      <c r="F2164" s="7">
        <f t="shared" si="67"/>
        <v>4674244</v>
      </c>
      <c r="G2164" s="7"/>
    </row>
    <row r="2165" spans="1:7" x14ac:dyDescent="0.35">
      <c r="A2165" t="str">
        <f>"2013-10-01"</f>
        <v>2013-10-01</v>
      </c>
      <c r="B2165" t="str">
        <f>"92.9498"</f>
        <v>92.9498</v>
      </c>
      <c r="C2165">
        <v>2163</v>
      </c>
      <c r="D2165" s="7">
        <v>92.949799999999996</v>
      </c>
      <c r="E2165" s="7">
        <f t="shared" si="66"/>
        <v>201050.41740000001</v>
      </c>
      <c r="F2165" s="7">
        <f t="shared" si="67"/>
        <v>4678569</v>
      </c>
      <c r="G2165" s="7"/>
    </row>
    <row r="2166" spans="1:7" x14ac:dyDescent="0.35">
      <c r="A2166" t="str">
        <f>"2013-10-02"</f>
        <v>2013-10-02</v>
      </c>
      <c r="B2166" t="str">
        <f>"90.0546"</f>
        <v>90.0546</v>
      </c>
      <c r="C2166">
        <v>2164</v>
      </c>
      <c r="D2166" s="7">
        <v>90.054599999999994</v>
      </c>
      <c r="E2166" s="7">
        <f t="shared" si="66"/>
        <v>194878.1544</v>
      </c>
      <c r="F2166" s="7">
        <f t="shared" si="67"/>
        <v>4682896</v>
      </c>
      <c r="G2166" s="7"/>
    </row>
    <row r="2167" spans="1:7" x14ac:dyDescent="0.35">
      <c r="A2167" t="str">
        <f>"2013-10-03"</f>
        <v>2013-10-03</v>
      </c>
      <c r="B2167" t="str">
        <f>"91.4685"</f>
        <v>91.4685</v>
      </c>
      <c r="C2167">
        <v>2165</v>
      </c>
      <c r="D2167" s="7">
        <v>91.468500000000006</v>
      </c>
      <c r="E2167" s="7">
        <f t="shared" si="66"/>
        <v>198029.30250000002</v>
      </c>
      <c r="F2167" s="7">
        <f t="shared" si="67"/>
        <v>4687225</v>
      </c>
      <c r="G2167" s="7"/>
    </row>
    <row r="2168" spans="1:7" x14ac:dyDescent="0.35">
      <c r="A2168" t="str">
        <f>"2013-10-04"</f>
        <v>2013-10-04</v>
      </c>
      <c r="B2168" t="str">
        <f>"92.5177"</f>
        <v>92.5177</v>
      </c>
      <c r="C2168">
        <v>2166</v>
      </c>
      <c r="D2168" s="7">
        <v>92.517700000000005</v>
      </c>
      <c r="E2168" s="7">
        <f t="shared" si="66"/>
        <v>200393.3382</v>
      </c>
      <c r="F2168" s="7">
        <f t="shared" si="67"/>
        <v>4691556</v>
      </c>
      <c r="G2168" s="7"/>
    </row>
    <row r="2169" spans="1:7" x14ac:dyDescent="0.35">
      <c r="A2169" t="str">
        <f>"2013-10-07"</f>
        <v>2013-10-07</v>
      </c>
      <c r="B2169" t="str">
        <f>"91.4948"</f>
        <v>91.4948</v>
      </c>
      <c r="C2169">
        <v>2167</v>
      </c>
      <c r="D2169" s="7">
        <v>91.494799999999998</v>
      </c>
      <c r="E2169" s="7">
        <f t="shared" si="66"/>
        <v>198269.2316</v>
      </c>
      <c r="F2169" s="7">
        <f t="shared" si="67"/>
        <v>4695889</v>
      </c>
      <c r="G2169" s="7"/>
    </row>
    <row r="2170" spans="1:7" x14ac:dyDescent="0.35">
      <c r="A2170" t="str">
        <f>"2013-10-09"</f>
        <v>2013-10-09</v>
      </c>
      <c r="B2170" t="str">
        <f>"89.5905"</f>
        <v>89.5905</v>
      </c>
      <c r="C2170">
        <v>2168</v>
      </c>
      <c r="D2170" s="7">
        <v>89.590500000000006</v>
      </c>
      <c r="E2170" s="7">
        <f t="shared" si="66"/>
        <v>194232.20400000003</v>
      </c>
      <c r="F2170" s="7">
        <f t="shared" si="67"/>
        <v>4700224</v>
      </c>
      <c r="G2170" s="7"/>
    </row>
    <row r="2171" spans="1:7" x14ac:dyDescent="0.35">
      <c r="A2171" t="str">
        <f>"2013-10-10"</f>
        <v>2013-10-10</v>
      </c>
      <c r="B2171" t="str">
        <f>"92.2216"</f>
        <v>92.2216</v>
      </c>
      <c r="C2171">
        <v>2169</v>
      </c>
      <c r="D2171" s="7">
        <v>92.221599999999995</v>
      </c>
      <c r="E2171" s="7">
        <f t="shared" si="66"/>
        <v>200028.65039999998</v>
      </c>
      <c r="F2171" s="7">
        <f t="shared" si="67"/>
        <v>4704561</v>
      </c>
      <c r="G2171" s="7"/>
    </row>
    <row r="2172" spans="1:7" x14ac:dyDescent="0.35">
      <c r="A2172" t="str">
        <f>"2013-10-11"</f>
        <v>2013-10-11</v>
      </c>
      <c r="B2172" t="str">
        <f>"96.6284"</f>
        <v>96.6284</v>
      </c>
      <c r="C2172">
        <v>2170</v>
      </c>
      <c r="D2172" s="7">
        <v>96.628399999999999</v>
      </c>
      <c r="E2172" s="7">
        <f t="shared" si="66"/>
        <v>209683.628</v>
      </c>
      <c r="F2172" s="7">
        <f t="shared" si="67"/>
        <v>4708900</v>
      </c>
      <c r="G2172" s="7"/>
    </row>
    <row r="2173" spans="1:7" x14ac:dyDescent="0.35">
      <c r="A2173" t="str">
        <f>"2013-10-14"</f>
        <v>2013-10-14</v>
      </c>
      <c r="B2173" t="str">
        <f>"95.4151"</f>
        <v>95.4151</v>
      </c>
      <c r="C2173">
        <v>2171</v>
      </c>
      <c r="D2173" s="7">
        <v>95.415099999999995</v>
      </c>
      <c r="E2173" s="7">
        <f t="shared" si="66"/>
        <v>207146.18209999998</v>
      </c>
      <c r="F2173" s="7">
        <f t="shared" si="67"/>
        <v>4713241</v>
      </c>
      <c r="G2173" s="7"/>
    </row>
    <row r="2174" spans="1:7" x14ac:dyDescent="0.35">
      <c r="A2174" t="str">
        <f>"2013-10-15"</f>
        <v>2013-10-15</v>
      </c>
      <c r="B2174" t="str">
        <f>"95.9472"</f>
        <v>95.9472</v>
      </c>
      <c r="C2174">
        <v>2172</v>
      </c>
      <c r="D2174" s="7">
        <v>95.947199999999995</v>
      </c>
      <c r="E2174" s="7">
        <f t="shared" si="66"/>
        <v>208397.31839999999</v>
      </c>
      <c r="F2174" s="7">
        <f t="shared" si="67"/>
        <v>4717584</v>
      </c>
      <c r="G2174" s="7"/>
    </row>
    <row r="2175" spans="1:7" x14ac:dyDescent="0.35">
      <c r="A2175" t="str">
        <f>"2013-10-16"</f>
        <v>2013-10-16</v>
      </c>
      <c r="B2175" t="str">
        <f>"95.119"</f>
        <v>95.119</v>
      </c>
      <c r="C2175">
        <v>2173</v>
      </c>
      <c r="D2175" s="7">
        <v>95.119</v>
      </c>
      <c r="E2175" s="7">
        <f t="shared" si="66"/>
        <v>206693.587</v>
      </c>
      <c r="F2175" s="7">
        <f t="shared" si="67"/>
        <v>4721929</v>
      </c>
      <c r="G2175" s="7"/>
    </row>
    <row r="2176" spans="1:7" x14ac:dyDescent="0.35">
      <c r="A2176" t="str">
        <f>"2013-10-17"</f>
        <v>2013-10-17</v>
      </c>
      <c r="B2176" t="str">
        <f>"92.6934"</f>
        <v>92.6934</v>
      </c>
      <c r="C2176">
        <v>2174</v>
      </c>
      <c r="D2176" s="7">
        <v>92.693399999999997</v>
      </c>
      <c r="E2176" s="7">
        <f t="shared" si="66"/>
        <v>201515.4516</v>
      </c>
      <c r="F2176" s="7">
        <f t="shared" si="67"/>
        <v>4726276</v>
      </c>
      <c r="G2176" s="7"/>
    </row>
    <row r="2177" spans="1:7" x14ac:dyDescent="0.35">
      <c r="A2177" t="str">
        <f>"2013-10-18"</f>
        <v>2013-10-18</v>
      </c>
      <c r="B2177" t="str">
        <f>"93.6402"</f>
        <v>93.6402</v>
      </c>
      <c r="C2177">
        <v>2175</v>
      </c>
      <c r="D2177" s="7">
        <v>93.640199999999993</v>
      </c>
      <c r="E2177" s="7">
        <f t="shared" si="66"/>
        <v>203667.435</v>
      </c>
      <c r="F2177" s="7">
        <f t="shared" si="67"/>
        <v>4730625</v>
      </c>
      <c r="G2177" s="7"/>
    </row>
    <row r="2178" spans="1:7" x14ac:dyDescent="0.35">
      <c r="A2178" t="str">
        <f>"2013-10-21"</f>
        <v>2013-10-21</v>
      </c>
      <c r="B2178" t="str">
        <f>"98.9268"</f>
        <v>98.9268</v>
      </c>
      <c r="C2178">
        <v>2176</v>
      </c>
      <c r="D2178" s="7">
        <v>98.9268</v>
      </c>
      <c r="E2178" s="7">
        <f t="shared" si="66"/>
        <v>215264.71679999999</v>
      </c>
      <c r="F2178" s="7">
        <f t="shared" si="67"/>
        <v>4734976</v>
      </c>
      <c r="G2178" s="7"/>
    </row>
    <row r="2179" spans="1:7" x14ac:dyDescent="0.35">
      <c r="A2179" t="str">
        <f>"2013-10-22"</f>
        <v>2013-10-22</v>
      </c>
      <c r="B2179" t="str">
        <f>"97.8718"</f>
        <v>97.8718</v>
      </c>
      <c r="C2179">
        <v>2177</v>
      </c>
      <c r="D2179" s="7">
        <v>97.871799999999993</v>
      </c>
      <c r="E2179" s="7">
        <f t="shared" si="66"/>
        <v>213066.9086</v>
      </c>
      <c r="F2179" s="7">
        <f t="shared" si="67"/>
        <v>4739329</v>
      </c>
      <c r="G2179" s="7"/>
    </row>
    <row r="2180" spans="1:7" x14ac:dyDescent="0.35">
      <c r="A2180" t="str">
        <f>"2013-10-23"</f>
        <v>2013-10-23</v>
      </c>
      <c r="B2180" t="str">
        <f>"96.7412"</f>
        <v>96.7412</v>
      </c>
      <c r="C2180">
        <v>2178</v>
      </c>
      <c r="D2180" s="7">
        <v>96.741200000000006</v>
      </c>
      <c r="E2180" s="7">
        <f t="shared" ref="E2180:E2243" si="68">C2180*D2180</f>
        <v>210702.33360000001</v>
      </c>
      <c r="F2180" s="7">
        <f t="shared" ref="F2180:F2243" si="69">C2180*C2180</f>
        <v>4743684</v>
      </c>
      <c r="G2180" s="7"/>
    </row>
    <row r="2181" spans="1:7" x14ac:dyDescent="0.35">
      <c r="A2181" t="str">
        <f>"2013-10-24"</f>
        <v>2013-10-24</v>
      </c>
      <c r="B2181" t="str">
        <f>"97.3371"</f>
        <v>97.3371</v>
      </c>
      <c r="C2181">
        <v>2179</v>
      </c>
      <c r="D2181" s="7">
        <v>97.337100000000007</v>
      </c>
      <c r="E2181" s="7">
        <f t="shared" si="68"/>
        <v>212097.54090000002</v>
      </c>
      <c r="F2181" s="7">
        <f t="shared" si="69"/>
        <v>4748041</v>
      </c>
      <c r="G2181" s="7"/>
    </row>
    <row r="2182" spans="1:7" x14ac:dyDescent="0.35">
      <c r="A2182" t="str">
        <f>"2013-10-25"</f>
        <v>2013-10-25</v>
      </c>
      <c r="B2182" t="str">
        <f>"96.1974"</f>
        <v>96.1974</v>
      </c>
      <c r="C2182">
        <v>2180</v>
      </c>
      <c r="D2182" s="7">
        <v>96.197400000000002</v>
      </c>
      <c r="E2182" s="7">
        <f t="shared" si="68"/>
        <v>209710.33199999999</v>
      </c>
      <c r="F2182" s="7">
        <f t="shared" si="69"/>
        <v>4752400</v>
      </c>
      <c r="G2182" s="7"/>
    </row>
    <row r="2183" spans="1:7" x14ac:dyDescent="0.35">
      <c r="A2183" t="str">
        <f>"2013-10-28"</f>
        <v>2013-10-28</v>
      </c>
      <c r="B2183" t="str">
        <f>"95.8981"</f>
        <v>95.8981</v>
      </c>
      <c r="C2183">
        <v>2181</v>
      </c>
      <c r="D2183" s="7">
        <v>95.898099999999999</v>
      </c>
      <c r="E2183" s="7">
        <f t="shared" si="68"/>
        <v>209153.7561</v>
      </c>
      <c r="F2183" s="7">
        <f t="shared" si="69"/>
        <v>4756761</v>
      </c>
      <c r="G2183" s="7"/>
    </row>
    <row r="2184" spans="1:7" x14ac:dyDescent="0.35">
      <c r="A2184" t="str">
        <f>"2013-10-29"</f>
        <v>2013-10-29</v>
      </c>
      <c r="B2184" t="str">
        <f>"96.3454"</f>
        <v>96.3454</v>
      </c>
      <c r="C2184">
        <v>2182</v>
      </c>
      <c r="D2184" s="7">
        <v>96.345399999999998</v>
      </c>
      <c r="E2184" s="7">
        <f t="shared" si="68"/>
        <v>210225.66279999999</v>
      </c>
      <c r="F2184" s="7">
        <f t="shared" si="69"/>
        <v>4761124</v>
      </c>
      <c r="G2184" s="7"/>
    </row>
    <row r="2185" spans="1:7" x14ac:dyDescent="0.35">
      <c r="A2185" t="str">
        <f>"2013-10-30"</f>
        <v>2013-10-30</v>
      </c>
      <c r="B2185" t="str">
        <f>"92.6856"</f>
        <v>92.6856</v>
      </c>
      <c r="C2185">
        <v>2183</v>
      </c>
      <c r="D2185" s="7">
        <v>92.685599999999994</v>
      </c>
      <c r="E2185" s="7">
        <f t="shared" si="68"/>
        <v>202332.6648</v>
      </c>
      <c r="F2185" s="7">
        <f t="shared" si="69"/>
        <v>4765489</v>
      </c>
      <c r="G2185" s="7"/>
    </row>
    <row r="2186" spans="1:7" x14ac:dyDescent="0.35">
      <c r="A2186" t="str">
        <f>"2013-10-31"</f>
        <v>2013-10-31</v>
      </c>
      <c r="B2186" t="str">
        <f>"92.2096"</f>
        <v>92.2096</v>
      </c>
      <c r="C2186">
        <v>2184</v>
      </c>
      <c r="D2186" s="7">
        <v>92.209599999999995</v>
      </c>
      <c r="E2186" s="7">
        <f t="shared" si="68"/>
        <v>201385.76639999999</v>
      </c>
      <c r="F2186" s="7">
        <f t="shared" si="69"/>
        <v>4769856</v>
      </c>
      <c r="G2186" s="7"/>
    </row>
    <row r="2187" spans="1:7" x14ac:dyDescent="0.35">
      <c r="A2187" t="str">
        <f>"2013-11-01"</f>
        <v>2013-11-01</v>
      </c>
      <c r="B2187" t="str">
        <f>"93.9893"</f>
        <v>93.9893</v>
      </c>
      <c r="C2187">
        <v>2185</v>
      </c>
      <c r="D2187" s="7">
        <v>93.9893</v>
      </c>
      <c r="E2187" s="7">
        <f t="shared" si="68"/>
        <v>205366.62049999999</v>
      </c>
      <c r="F2187" s="7">
        <f t="shared" si="69"/>
        <v>4774225</v>
      </c>
      <c r="G2187" s="7"/>
    </row>
    <row r="2188" spans="1:7" x14ac:dyDescent="0.35">
      <c r="A2188" t="str">
        <f>"2013-11-04"</f>
        <v>2013-11-04</v>
      </c>
      <c r="B2188" t="str">
        <f>"92.2785"</f>
        <v>92.2785</v>
      </c>
      <c r="C2188">
        <v>2186</v>
      </c>
      <c r="D2188" s="7">
        <v>92.278499999999994</v>
      </c>
      <c r="E2188" s="7">
        <f t="shared" si="68"/>
        <v>201720.80099999998</v>
      </c>
      <c r="F2188" s="7">
        <f t="shared" si="69"/>
        <v>4778596</v>
      </c>
      <c r="G2188" s="7"/>
    </row>
    <row r="2189" spans="1:7" x14ac:dyDescent="0.35">
      <c r="A2189" t="str">
        <f>"2013-11-05"</f>
        <v>2013-11-05</v>
      </c>
      <c r="B2189" t="str">
        <f>"90.4112"</f>
        <v>90.4112</v>
      </c>
      <c r="C2189">
        <v>2187</v>
      </c>
      <c r="D2189" s="7">
        <v>90.411199999999994</v>
      </c>
      <c r="E2189" s="7">
        <f t="shared" si="68"/>
        <v>197729.29439999998</v>
      </c>
      <c r="F2189" s="7">
        <f t="shared" si="69"/>
        <v>4782969</v>
      </c>
      <c r="G2189" s="7"/>
    </row>
    <row r="2190" spans="1:7" x14ac:dyDescent="0.35">
      <c r="A2190" t="str">
        <f>"2013-11-06"</f>
        <v>2013-11-06</v>
      </c>
      <c r="B2190" t="str">
        <f>"90.2805"</f>
        <v>90.2805</v>
      </c>
      <c r="C2190">
        <v>2188</v>
      </c>
      <c r="D2190" s="7">
        <v>90.280500000000004</v>
      </c>
      <c r="E2190" s="7">
        <f t="shared" si="68"/>
        <v>197533.734</v>
      </c>
      <c r="F2190" s="7">
        <f t="shared" si="69"/>
        <v>4787344</v>
      </c>
      <c r="G2190" s="7"/>
    </row>
    <row r="2191" spans="1:7" x14ac:dyDescent="0.35">
      <c r="A2191" t="str">
        <f>"2013-11-07"</f>
        <v>2013-11-07</v>
      </c>
      <c r="B2191" t="str">
        <f>"89.9814"</f>
        <v>89.9814</v>
      </c>
      <c r="C2191">
        <v>2189</v>
      </c>
      <c r="D2191" s="7">
        <v>89.981399999999994</v>
      </c>
      <c r="E2191" s="7">
        <f t="shared" si="68"/>
        <v>196969.28459999998</v>
      </c>
      <c r="F2191" s="7">
        <f t="shared" si="69"/>
        <v>4791721</v>
      </c>
      <c r="G2191" s="7"/>
    </row>
    <row r="2192" spans="1:7" x14ac:dyDescent="0.35">
      <c r="A2192" t="str">
        <f>"2013-11-08"</f>
        <v>2013-11-08</v>
      </c>
      <c r="B2192" t="str">
        <f>"89.7322"</f>
        <v>89.7322</v>
      </c>
      <c r="C2192">
        <v>2190</v>
      </c>
      <c r="D2192" s="7">
        <v>89.732200000000006</v>
      </c>
      <c r="E2192" s="7">
        <f t="shared" si="68"/>
        <v>196513.51800000001</v>
      </c>
      <c r="F2192" s="7">
        <f t="shared" si="69"/>
        <v>4796100</v>
      </c>
      <c r="G2192" s="7"/>
    </row>
    <row r="2193" spans="1:7" x14ac:dyDescent="0.35">
      <c r="A2193" t="str">
        <f>"2013-11-11"</f>
        <v>2013-11-11</v>
      </c>
      <c r="B2193" t="str">
        <f>"85.2709"</f>
        <v>85.2709</v>
      </c>
      <c r="C2193">
        <v>2191</v>
      </c>
      <c r="D2193" s="7">
        <v>85.270899999999997</v>
      </c>
      <c r="E2193" s="7">
        <f t="shared" si="68"/>
        <v>186828.54189999998</v>
      </c>
      <c r="F2193" s="7">
        <f t="shared" si="69"/>
        <v>4800481</v>
      </c>
      <c r="G2193" s="7"/>
    </row>
    <row r="2194" spans="1:7" x14ac:dyDescent="0.35">
      <c r="A2194" t="str">
        <f>"2013-11-12"</f>
        <v>2013-11-12</v>
      </c>
      <c r="B2194" t="str">
        <f>"86.5214"</f>
        <v>86.5214</v>
      </c>
      <c r="C2194">
        <v>2192</v>
      </c>
      <c r="D2194" s="7">
        <v>86.5214</v>
      </c>
      <c r="E2194" s="7">
        <f t="shared" si="68"/>
        <v>189654.9088</v>
      </c>
      <c r="F2194" s="7">
        <f t="shared" si="69"/>
        <v>4804864</v>
      </c>
      <c r="G2194" s="7"/>
    </row>
    <row r="2195" spans="1:7" x14ac:dyDescent="0.35">
      <c r="A2195" t="str">
        <f>"2013-11-13"</f>
        <v>2013-11-13</v>
      </c>
      <c r="B2195" t="str">
        <f>"85.0504"</f>
        <v>85.0504</v>
      </c>
      <c r="C2195">
        <v>2193</v>
      </c>
      <c r="D2195" s="7">
        <v>85.050399999999996</v>
      </c>
      <c r="E2195" s="7">
        <f t="shared" si="68"/>
        <v>186515.52719999998</v>
      </c>
      <c r="F2195" s="7">
        <f t="shared" si="69"/>
        <v>4809249</v>
      </c>
      <c r="G2195" s="7"/>
    </row>
    <row r="2196" spans="1:7" x14ac:dyDescent="0.35">
      <c r="A2196" t="str">
        <f>"2013-11-14"</f>
        <v>2013-11-14</v>
      </c>
      <c r="B2196" t="str">
        <f>"87.1786"</f>
        <v>87.1786</v>
      </c>
      <c r="C2196">
        <v>2194</v>
      </c>
      <c r="D2196" s="7">
        <v>87.178600000000003</v>
      </c>
      <c r="E2196" s="7">
        <f t="shared" si="68"/>
        <v>191269.84840000002</v>
      </c>
      <c r="F2196" s="7">
        <f t="shared" si="69"/>
        <v>4813636</v>
      </c>
      <c r="G2196" s="7"/>
    </row>
    <row r="2197" spans="1:7" x14ac:dyDescent="0.35">
      <c r="A2197" t="str">
        <f>"2013-11-15"</f>
        <v>2013-11-15</v>
      </c>
      <c r="B2197" t="str">
        <f>"88.8372"</f>
        <v>88.8372</v>
      </c>
      <c r="C2197">
        <v>2195</v>
      </c>
      <c r="D2197" s="7">
        <v>88.837199999999996</v>
      </c>
      <c r="E2197" s="7">
        <f t="shared" si="68"/>
        <v>194997.65399999998</v>
      </c>
      <c r="F2197" s="7">
        <f t="shared" si="69"/>
        <v>4818025</v>
      </c>
      <c r="G2197" s="7"/>
    </row>
    <row r="2198" spans="1:7" x14ac:dyDescent="0.35">
      <c r="A2198" t="str">
        <f>"2013-11-18"</f>
        <v>2013-11-18</v>
      </c>
      <c r="B2198" t="str">
        <f>"92.0062"</f>
        <v>92.0062</v>
      </c>
      <c r="C2198">
        <v>2196</v>
      </c>
      <c r="D2198" s="7">
        <v>92.006200000000007</v>
      </c>
      <c r="E2198" s="7">
        <f t="shared" si="68"/>
        <v>202045.61520000003</v>
      </c>
      <c r="F2198" s="7">
        <f t="shared" si="69"/>
        <v>4822416</v>
      </c>
      <c r="G2198" s="7"/>
    </row>
    <row r="2199" spans="1:7" x14ac:dyDescent="0.35">
      <c r="A2199" t="str">
        <f>"2013-11-19"</f>
        <v>2013-11-19</v>
      </c>
      <c r="B2199" t="str">
        <f>"89.4651"</f>
        <v>89.4651</v>
      </c>
      <c r="C2199">
        <v>2197</v>
      </c>
      <c r="D2199" s="7">
        <v>89.465100000000007</v>
      </c>
      <c r="E2199" s="7">
        <f t="shared" si="68"/>
        <v>196554.82470000003</v>
      </c>
      <c r="F2199" s="7">
        <f t="shared" si="69"/>
        <v>4826809</v>
      </c>
      <c r="G2199" s="7"/>
    </row>
    <row r="2200" spans="1:7" x14ac:dyDescent="0.35">
      <c r="A2200" t="str">
        <f>"2013-11-20"</f>
        <v>2013-11-20</v>
      </c>
      <c r="B2200" t="str">
        <f>"93.0318"</f>
        <v>93.0318</v>
      </c>
      <c r="C2200">
        <v>2198</v>
      </c>
      <c r="D2200" s="7">
        <v>93.031800000000004</v>
      </c>
      <c r="E2200" s="7">
        <f t="shared" si="68"/>
        <v>204483.8964</v>
      </c>
      <c r="F2200" s="7">
        <f t="shared" si="69"/>
        <v>4831204</v>
      </c>
      <c r="G2200" s="7"/>
    </row>
    <row r="2201" spans="1:7" x14ac:dyDescent="0.35">
      <c r="A2201" t="str">
        <f>"2013-11-21"</f>
        <v>2013-11-21</v>
      </c>
      <c r="B2201" t="str">
        <f>"92.8683"</f>
        <v>92.8683</v>
      </c>
      <c r="C2201">
        <v>2199</v>
      </c>
      <c r="D2201" s="7">
        <v>92.868300000000005</v>
      </c>
      <c r="E2201" s="7">
        <f t="shared" si="68"/>
        <v>204217.39170000001</v>
      </c>
      <c r="F2201" s="7">
        <f t="shared" si="69"/>
        <v>4835601</v>
      </c>
      <c r="G2201" s="7"/>
    </row>
    <row r="2202" spans="1:7" x14ac:dyDescent="0.35">
      <c r="A2202" t="str">
        <f>"2013-11-22"</f>
        <v>2013-11-22</v>
      </c>
      <c r="B2202" t="str">
        <f>"93.5524"</f>
        <v>93.5524</v>
      </c>
      <c r="C2202">
        <v>2200</v>
      </c>
      <c r="D2202" s="7">
        <v>93.552400000000006</v>
      </c>
      <c r="E2202" s="7">
        <f t="shared" si="68"/>
        <v>205815.28</v>
      </c>
      <c r="F2202" s="7">
        <f t="shared" si="69"/>
        <v>4840000</v>
      </c>
      <c r="G2202" s="7"/>
    </row>
    <row r="2203" spans="1:7" x14ac:dyDescent="0.35">
      <c r="A2203" t="str">
        <f>"2013-11-25"</f>
        <v>2013-11-25</v>
      </c>
      <c r="B2203" t="str">
        <f>"95.635"</f>
        <v>95.635</v>
      </c>
      <c r="C2203">
        <v>2201</v>
      </c>
      <c r="D2203" s="7">
        <v>95.635000000000005</v>
      </c>
      <c r="E2203" s="7">
        <f t="shared" si="68"/>
        <v>210492.63500000001</v>
      </c>
      <c r="F2203" s="7">
        <f t="shared" si="69"/>
        <v>4844401</v>
      </c>
      <c r="G2203" s="7"/>
    </row>
    <row r="2204" spans="1:7" x14ac:dyDescent="0.35">
      <c r="A2204" t="str">
        <f>"2013-11-26"</f>
        <v>2013-11-26</v>
      </c>
      <c r="B2204" t="str">
        <f>"93.1619"</f>
        <v>93.1619</v>
      </c>
      <c r="C2204">
        <v>2202</v>
      </c>
      <c r="D2204" s="7">
        <v>93.161900000000003</v>
      </c>
      <c r="E2204" s="7">
        <f t="shared" si="68"/>
        <v>205142.50380000001</v>
      </c>
      <c r="F2204" s="7">
        <f t="shared" si="69"/>
        <v>4848804</v>
      </c>
      <c r="G2204" s="7"/>
    </row>
    <row r="2205" spans="1:7" x14ac:dyDescent="0.35">
      <c r="A2205" t="str">
        <f>"2013-11-27"</f>
        <v>2013-11-27</v>
      </c>
      <c r="B2205" t="str">
        <f>"92.7156"</f>
        <v>92.7156</v>
      </c>
      <c r="C2205">
        <v>2203</v>
      </c>
      <c r="D2205" s="7">
        <v>92.715599999999995</v>
      </c>
      <c r="E2205" s="7">
        <f t="shared" si="68"/>
        <v>204252.46679999999</v>
      </c>
      <c r="F2205" s="7">
        <f t="shared" si="69"/>
        <v>4853209</v>
      </c>
      <c r="G2205" s="7"/>
    </row>
    <row r="2206" spans="1:7" x14ac:dyDescent="0.35">
      <c r="A2206" t="str">
        <f>"2013-11-29"</f>
        <v>2013-11-29</v>
      </c>
      <c r="B2206" t="str">
        <f>"92.4163"</f>
        <v>92.4163</v>
      </c>
      <c r="C2206">
        <v>2204</v>
      </c>
      <c r="D2206" s="7">
        <v>92.416300000000007</v>
      </c>
      <c r="E2206" s="7">
        <f t="shared" si="68"/>
        <v>203685.5252</v>
      </c>
      <c r="F2206" s="7">
        <f t="shared" si="69"/>
        <v>4857616</v>
      </c>
      <c r="G2206" s="7"/>
    </row>
    <row r="2207" spans="1:7" x14ac:dyDescent="0.35">
      <c r="A2207" t="str">
        <f>"2013-12-02"</f>
        <v>2013-12-02</v>
      </c>
      <c r="B2207" t="str">
        <f>"94.2783"</f>
        <v>94.2783</v>
      </c>
      <c r="C2207">
        <v>2205</v>
      </c>
      <c r="D2207" s="7">
        <v>94.278300000000002</v>
      </c>
      <c r="E2207" s="7">
        <f t="shared" si="68"/>
        <v>207883.65150000001</v>
      </c>
      <c r="F2207" s="7">
        <f t="shared" si="69"/>
        <v>4862025</v>
      </c>
      <c r="G2207" s="7"/>
    </row>
    <row r="2208" spans="1:7" x14ac:dyDescent="0.35">
      <c r="A2208" t="str">
        <f>"2013-12-03"</f>
        <v>2013-12-03</v>
      </c>
      <c r="B2208" t="str">
        <f>"89.192"</f>
        <v>89.192</v>
      </c>
      <c r="C2208">
        <v>2206</v>
      </c>
      <c r="D2208" s="7">
        <v>89.191999999999993</v>
      </c>
      <c r="E2208" s="7">
        <f t="shared" si="68"/>
        <v>196757.552</v>
      </c>
      <c r="F2208" s="7">
        <f t="shared" si="69"/>
        <v>4866436</v>
      </c>
      <c r="G2208" s="7"/>
    </row>
    <row r="2209" spans="1:7" x14ac:dyDescent="0.35">
      <c r="A2209" t="str">
        <f>"2013-12-04"</f>
        <v>2013-12-04</v>
      </c>
      <c r="B2209" t="str">
        <f>"86.3931"</f>
        <v>86.3931</v>
      </c>
      <c r="C2209">
        <v>2207</v>
      </c>
      <c r="D2209" s="7">
        <v>86.393100000000004</v>
      </c>
      <c r="E2209" s="7">
        <f t="shared" si="68"/>
        <v>190669.5717</v>
      </c>
      <c r="F2209" s="7">
        <f t="shared" si="69"/>
        <v>4870849</v>
      </c>
      <c r="G2209" s="7"/>
    </row>
    <row r="2210" spans="1:7" x14ac:dyDescent="0.35">
      <c r="A2210" t="str">
        <f>"2013-12-05"</f>
        <v>2013-12-05</v>
      </c>
      <c r="B2210" t="str">
        <f>"86.2351"</f>
        <v>86.2351</v>
      </c>
      <c r="C2210">
        <v>2208</v>
      </c>
      <c r="D2210" s="7">
        <v>86.235100000000003</v>
      </c>
      <c r="E2210" s="7">
        <f t="shared" si="68"/>
        <v>190407.10080000001</v>
      </c>
      <c r="F2210" s="7">
        <f t="shared" si="69"/>
        <v>4875264</v>
      </c>
      <c r="G2210" s="7"/>
    </row>
    <row r="2211" spans="1:7" x14ac:dyDescent="0.35">
      <c r="A2211" t="str">
        <f>"2013-12-06"</f>
        <v>2013-12-06</v>
      </c>
      <c r="B2211" t="str">
        <f>"89.4427"</f>
        <v>89.4427</v>
      </c>
      <c r="C2211">
        <v>2209</v>
      </c>
      <c r="D2211" s="7">
        <v>89.442700000000002</v>
      </c>
      <c r="E2211" s="7">
        <f t="shared" si="68"/>
        <v>197578.92430000001</v>
      </c>
      <c r="F2211" s="7">
        <f t="shared" si="69"/>
        <v>4879681</v>
      </c>
      <c r="G2211" s="7"/>
    </row>
    <row r="2212" spans="1:7" x14ac:dyDescent="0.35">
      <c r="A2212" t="str">
        <f>"2013-12-09"</f>
        <v>2013-12-09</v>
      </c>
      <c r="B2212" t="str">
        <f>"89.8158"</f>
        <v>89.8158</v>
      </c>
      <c r="C2212">
        <v>2210</v>
      </c>
      <c r="D2212" s="7">
        <v>89.815799999999996</v>
      </c>
      <c r="E2212" s="7">
        <f t="shared" si="68"/>
        <v>198492.91800000001</v>
      </c>
      <c r="F2212" s="7">
        <f t="shared" si="69"/>
        <v>4884100</v>
      </c>
      <c r="G2212" s="7"/>
    </row>
    <row r="2213" spans="1:7" x14ac:dyDescent="0.35">
      <c r="A2213" t="str">
        <f>"2013-12-10"</f>
        <v>2013-12-10</v>
      </c>
      <c r="B2213" t="str">
        <f>"87.0906"</f>
        <v>87.0906</v>
      </c>
      <c r="C2213">
        <v>2211</v>
      </c>
      <c r="D2213" s="7">
        <v>87.090599999999995</v>
      </c>
      <c r="E2213" s="7">
        <f t="shared" si="68"/>
        <v>192557.31659999999</v>
      </c>
      <c r="F2213" s="7">
        <f t="shared" si="69"/>
        <v>4888521</v>
      </c>
      <c r="G2213" s="7"/>
    </row>
    <row r="2214" spans="1:7" x14ac:dyDescent="0.35">
      <c r="A2214" t="str">
        <f>"2013-12-11"</f>
        <v>2013-12-11</v>
      </c>
      <c r="B2214" t="str">
        <f>"88.3279"</f>
        <v>88.3279</v>
      </c>
      <c r="C2214">
        <v>2212</v>
      </c>
      <c r="D2214" s="7">
        <v>88.3279</v>
      </c>
      <c r="E2214" s="7">
        <f t="shared" si="68"/>
        <v>195381.31479999999</v>
      </c>
      <c r="F2214" s="7">
        <f t="shared" si="69"/>
        <v>4892944</v>
      </c>
      <c r="G2214" s="7"/>
    </row>
    <row r="2215" spans="1:7" x14ac:dyDescent="0.35">
      <c r="A2215" t="str">
        <f>"2013-12-12"</f>
        <v>2013-12-12</v>
      </c>
      <c r="B2215" t="str">
        <f>"87.6962"</f>
        <v>87.6962</v>
      </c>
      <c r="C2215">
        <v>2213</v>
      </c>
      <c r="D2215" s="7">
        <v>87.696200000000005</v>
      </c>
      <c r="E2215" s="7">
        <f t="shared" si="68"/>
        <v>194071.6906</v>
      </c>
      <c r="F2215" s="7">
        <f t="shared" si="69"/>
        <v>4897369</v>
      </c>
      <c r="G2215" s="7"/>
    </row>
    <row r="2216" spans="1:7" x14ac:dyDescent="0.35">
      <c r="A2216" t="str">
        <f>"2013-12-13"</f>
        <v>2013-12-13</v>
      </c>
      <c r="B2216" t="str">
        <f>"88.7479"</f>
        <v>88.7479</v>
      </c>
      <c r="C2216">
        <v>2214</v>
      </c>
      <c r="D2216" s="7">
        <v>88.747900000000001</v>
      </c>
      <c r="E2216" s="7">
        <f t="shared" si="68"/>
        <v>196487.85060000001</v>
      </c>
      <c r="F2216" s="7">
        <f t="shared" si="69"/>
        <v>4901796</v>
      </c>
      <c r="G2216" s="7"/>
    </row>
    <row r="2217" spans="1:7" x14ac:dyDescent="0.35">
      <c r="A2217" t="str">
        <f>"2013-12-16"</f>
        <v>2013-12-16</v>
      </c>
      <c r="B2217" t="str">
        <f>"88.5583"</f>
        <v>88.5583</v>
      </c>
      <c r="C2217">
        <v>2215</v>
      </c>
      <c r="D2217" s="7">
        <v>88.558300000000003</v>
      </c>
      <c r="E2217" s="7">
        <f t="shared" si="68"/>
        <v>196156.63450000001</v>
      </c>
      <c r="F2217" s="7">
        <f t="shared" si="69"/>
        <v>4906225</v>
      </c>
      <c r="G2217" s="7"/>
    </row>
    <row r="2218" spans="1:7" x14ac:dyDescent="0.35">
      <c r="A2218" t="str">
        <f>"2013-12-17"</f>
        <v>2013-12-17</v>
      </c>
      <c r="B2218" t="str">
        <f>"84.7743"</f>
        <v>84.7743</v>
      </c>
      <c r="C2218">
        <v>2216</v>
      </c>
      <c r="D2218" s="7">
        <v>84.774299999999997</v>
      </c>
      <c r="E2218" s="7">
        <f t="shared" si="68"/>
        <v>187859.84880000001</v>
      </c>
      <c r="F2218" s="7">
        <f t="shared" si="69"/>
        <v>4910656</v>
      </c>
      <c r="G2218" s="7"/>
    </row>
    <row r="2219" spans="1:7" x14ac:dyDescent="0.35">
      <c r="A2219" t="str">
        <f>"2013-12-18"</f>
        <v>2013-12-18</v>
      </c>
      <c r="B2219" t="str">
        <f>"85.5711"</f>
        <v>85.5711</v>
      </c>
      <c r="C2219">
        <v>2217</v>
      </c>
      <c r="D2219" s="7">
        <v>85.571100000000001</v>
      </c>
      <c r="E2219" s="7">
        <f t="shared" si="68"/>
        <v>189711.1287</v>
      </c>
      <c r="F2219" s="7">
        <f t="shared" si="69"/>
        <v>4915089</v>
      </c>
      <c r="G2219" s="7"/>
    </row>
    <row r="2220" spans="1:7" x14ac:dyDescent="0.35">
      <c r="A2220" t="str">
        <f>"2013-12-19"</f>
        <v>2013-12-19</v>
      </c>
      <c r="B2220" t="str">
        <f>"83.5815"</f>
        <v>83.5815</v>
      </c>
      <c r="C2220">
        <v>2218</v>
      </c>
      <c r="D2220" s="7">
        <v>83.581500000000005</v>
      </c>
      <c r="E2220" s="7">
        <f t="shared" si="68"/>
        <v>185383.76700000002</v>
      </c>
      <c r="F2220" s="7">
        <f t="shared" si="69"/>
        <v>4919524</v>
      </c>
      <c r="G2220" s="7"/>
    </row>
    <row r="2221" spans="1:7" x14ac:dyDescent="0.35">
      <c r="A2221" t="str">
        <f>"2013-12-20"</f>
        <v>2013-12-20</v>
      </c>
      <c r="B2221" t="str">
        <f>"82.2181"</f>
        <v>82.2181</v>
      </c>
      <c r="C2221">
        <v>2219</v>
      </c>
      <c r="D2221" s="7">
        <v>82.218100000000007</v>
      </c>
      <c r="E2221" s="7">
        <f t="shared" si="68"/>
        <v>182441.9639</v>
      </c>
      <c r="F2221" s="7">
        <f t="shared" si="69"/>
        <v>4923961</v>
      </c>
      <c r="G2221" s="7"/>
    </row>
    <row r="2222" spans="1:7" x14ac:dyDescent="0.35">
      <c r="A2222" t="str">
        <f>"2013-12-23"</f>
        <v>2013-12-23</v>
      </c>
      <c r="B2222" t="str">
        <f>"78.7281"</f>
        <v>78.7281</v>
      </c>
      <c r="C2222">
        <v>2220</v>
      </c>
      <c r="D2222" s="7">
        <v>78.728099999999998</v>
      </c>
      <c r="E2222" s="7">
        <f t="shared" si="68"/>
        <v>174776.38199999998</v>
      </c>
      <c r="F2222" s="7">
        <f t="shared" si="69"/>
        <v>4928400</v>
      </c>
      <c r="G2222" s="7"/>
    </row>
    <row r="2223" spans="1:7" x14ac:dyDescent="0.35">
      <c r="A2223" t="str">
        <f>"2013-12-24"</f>
        <v>2013-12-24</v>
      </c>
      <c r="B2223" t="str">
        <f>"80.9786"</f>
        <v>80.9786</v>
      </c>
      <c r="C2223">
        <v>2221</v>
      </c>
      <c r="D2223" s="7">
        <v>80.9786</v>
      </c>
      <c r="E2223" s="7">
        <f t="shared" si="68"/>
        <v>179853.4706</v>
      </c>
      <c r="F2223" s="7">
        <f t="shared" si="69"/>
        <v>4932841</v>
      </c>
      <c r="G2223" s="7"/>
    </row>
    <row r="2224" spans="1:7" x14ac:dyDescent="0.35">
      <c r="A2224" t="str">
        <f>"2013-12-26"</f>
        <v>2013-12-26</v>
      </c>
      <c r="B2224" t="str">
        <f>"73.3604"</f>
        <v>73.3604</v>
      </c>
      <c r="C2224">
        <v>2222</v>
      </c>
      <c r="D2224" s="7">
        <v>73.360399999999998</v>
      </c>
      <c r="E2224" s="7">
        <f t="shared" si="68"/>
        <v>163006.8088</v>
      </c>
      <c r="F2224" s="7">
        <f t="shared" si="69"/>
        <v>4937284</v>
      </c>
      <c r="G2224" s="7"/>
    </row>
    <row r="2225" spans="1:7" x14ac:dyDescent="0.35">
      <c r="A2225" t="str">
        <f>"2013-12-27"</f>
        <v>2013-12-27</v>
      </c>
      <c r="B2225" t="str">
        <f>"69.9063"</f>
        <v>69.9063</v>
      </c>
      <c r="C2225">
        <v>2223</v>
      </c>
      <c r="D2225" s="7">
        <v>69.906300000000002</v>
      </c>
      <c r="E2225" s="7">
        <f t="shared" si="68"/>
        <v>155401.70490000001</v>
      </c>
      <c r="F2225" s="7">
        <f t="shared" si="69"/>
        <v>4941729</v>
      </c>
      <c r="G2225" s="7"/>
    </row>
    <row r="2226" spans="1:7" x14ac:dyDescent="0.35">
      <c r="A2226" t="str">
        <f>"2013-12-30"</f>
        <v>2013-12-30</v>
      </c>
      <c r="B2226" t="str">
        <f>"76.2987"</f>
        <v>76.2987</v>
      </c>
      <c r="C2226">
        <v>2224</v>
      </c>
      <c r="D2226" s="7">
        <v>76.298699999999997</v>
      </c>
      <c r="E2226" s="7">
        <f t="shared" si="68"/>
        <v>169688.3088</v>
      </c>
      <c r="F2226" s="7">
        <f t="shared" si="69"/>
        <v>4946176</v>
      </c>
      <c r="G2226" s="7"/>
    </row>
    <row r="2227" spans="1:7" x14ac:dyDescent="0.35">
      <c r="A2227" t="str">
        <f>"2013-12-31"</f>
        <v>2013-12-31</v>
      </c>
      <c r="B2227" t="str">
        <f>"78.5916"</f>
        <v>78.5916</v>
      </c>
      <c r="C2227">
        <v>2225</v>
      </c>
      <c r="D2227" s="7">
        <v>78.5916</v>
      </c>
      <c r="E2227" s="7">
        <f t="shared" si="68"/>
        <v>174866.31</v>
      </c>
      <c r="F2227" s="7">
        <f t="shared" si="69"/>
        <v>4950625</v>
      </c>
      <c r="G2227" s="7"/>
    </row>
    <row r="2228" spans="1:7" x14ac:dyDescent="0.35">
      <c r="A2228" t="str">
        <f>"2014-01-02"</f>
        <v>2014-01-02</v>
      </c>
      <c r="B2228" t="str">
        <f>"75.235"</f>
        <v>75.235</v>
      </c>
      <c r="C2228">
        <v>2226</v>
      </c>
      <c r="D2228" s="7">
        <v>75.234999999999999</v>
      </c>
      <c r="E2228" s="7">
        <f t="shared" si="68"/>
        <v>167473.10999999999</v>
      </c>
      <c r="F2228" s="7">
        <f t="shared" si="69"/>
        <v>4955076</v>
      </c>
      <c r="G2228" s="7"/>
    </row>
    <row r="2229" spans="1:7" x14ac:dyDescent="0.35">
      <c r="A2229" t="str">
        <f>"2014-01-03"</f>
        <v>2014-01-03</v>
      </c>
      <c r="B2229" t="str">
        <f>"74.2357"</f>
        <v>74.2357</v>
      </c>
      <c r="C2229">
        <v>2227</v>
      </c>
      <c r="D2229" s="7">
        <v>74.235699999999994</v>
      </c>
      <c r="E2229" s="7">
        <f t="shared" si="68"/>
        <v>165322.90389999998</v>
      </c>
      <c r="F2229" s="7">
        <f t="shared" si="69"/>
        <v>4959529</v>
      </c>
      <c r="G2229" s="7"/>
    </row>
    <row r="2230" spans="1:7" x14ac:dyDescent="0.35">
      <c r="A2230" t="str">
        <f>"2014-01-06"</f>
        <v>2014-01-06</v>
      </c>
      <c r="B2230" t="str">
        <f>"77.525"</f>
        <v>77.525</v>
      </c>
      <c r="C2230">
        <v>2228</v>
      </c>
      <c r="D2230" s="7">
        <v>77.525000000000006</v>
      </c>
      <c r="E2230" s="7">
        <f t="shared" si="68"/>
        <v>172725.7</v>
      </c>
      <c r="F2230" s="7">
        <f t="shared" si="69"/>
        <v>4963984</v>
      </c>
      <c r="G2230" s="7"/>
    </row>
    <row r="2231" spans="1:7" x14ac:dyDescent="0.35">
      <c r="A2231" t="str">
        <f>"2014-01-07"</f>
        <v>2014-01-07</v>
      </c>
      <c r="B2231" t="str">
        <f>"79.7621"</f>
        <v>79.7621</v>
      </c>
      <c r="C2231">
        <v>2229</v>
      </c>
      <c r="D2231" s="7">
        <v>79.762100000000004</v>
      </c>
      <c r="E2231" s="7">
        <f t="shared" si="68"/>
        <v>177789.72090000001</v>
      </c>
      <c r="F2231" s="7">
        <f t="shared" si="69"/>
        <v>4968441</v>
      </c>
      <c r="G2231" s="7"/>
    </row>
    <row r="2232" spans="1:7" x14ac:dyDescent="0.35">
      <c r="A2232" t="str">
        <f>"2014-01-08"</f>
        <v>2014-01-08</v>
      </c>
      <c r="B2232" t="str">
        <f>"79.5764"</f>
        <v>79.5764</v>
      </c>
      <c r="C2232">
        <v>2230</v>
      </c>
      <c r="D2232" s="7">
        <v>79.576400000000007</v>
      </c>
      <c r="E2232" s="7">
        <f t="shared" si="68"/>
        <v>177455.372</v>
      </c>
      <c r="F2232" s="7">
        <f t="shared" si="69"/>
        <v>4972900</v>
      </c>
      <c r="G2232" s="7"/>
    </row>
    <row r="2233" spans="1:7" x14ac:dyDescent="0.35">
      <c r="A2233" t="str">
        <f>"2014-01-09"</f>
        <v>2014-01-09</v>
      </c>
      <c r="B2233" t="str">
        <f>"79.6088"</f>
        <v>79.6088</v>
      </c>
      <c r="C2233">
        <v>2231</v>
      </c>
      <c r="D2233" s="7">
        <v>79.608800000000002</v>
      </c>
      <c r="E2233" s="7">
        <f t="shared" si="68"/>
        <v>177607.2328</v>
      </c>
      <c r="F2233" s="7">
        <f t="shared" si="69"/>
        <v>4977361</v>
      </c>
      <c r="G2233" s="7"/>
    </row>
    <row r="2234" spans="1:7" x14ac:dyDescent="0.35">
      <c r="A2234" t="str">
        <f>"2014-01-10"</f>
        <v>2014-01-10</v>
      </c>
      <c r="B2234" t="str">
        <f>"81.4825"</f>
        <v>81.4825</v>
      </c>
      <c r="C2234">
        <v>2232</v>
      </c>
      <c r="D2234" s="7">
        <v>81.482500000000002</v>
      </c>
      <c r="E2234" s="7">
        <f t="shared" si="68"/>
        <v>181868.94</v>
      </c>
      <c r="F2234" s="7">
        <f t="shared" si="69"/>
        <v>4981824</v>
      </c>
      <c r="G2234" s="7"/>
    </row>
    <row r="2235" spans="1:7" x14ac:dyDescent="0.35">
      <c r="A2235" t="str">
        <f>"2014-01-13"</f>
        <v>2014-01-13</v>
      </c>
      <c r="B2235" t="str">
        <f>"82.3946"</f>
        <v>82.3946</v>
      </c>
      <c r="C2235">
        <v>2233</v>
      </c>
      <c r="D2235" s="7">
        <v>82.394599999999997</v>
      </c>
      <c r="E2235" s="7">
        <f t="shared" si="68"/>
        <v>183987.14179999998</v>
      </c>
      <c r="F2235" s="7">
        <f t="shared" si="69"/>
        <v>4986289</v>
      </c>
      <c r="G2235" s="7"/>
    </row>
    <row r="2236" spans="1:7" x14ac:dyDescent="0.35">
      <c r="A2236" t="str">
        <f>"2014-01-14"</f>
        <v>2014-01-14</v>
      </c>
      <c r="B2236" t="str">
        <f>"82.7873"</f>
        <v>82.7873</v>
      </c>
      <c r="C2236">
        <v>2234</v>
      </c>
      <c r="D2236" s="7">
        <v>82.787300000000002</v>
      </c>
      <c r="E2236" s="7">
        <f t="shared" si="68"/>
        <v>184946.82820000002</v>
      </c>
      <c r="F2236" s="7">
        <f t="shared" si="69"/>
        <v>4990756</v>
      </c>
      <c r="G2236" s="7"/>
    </row>
    <row r="2237" spans="1:7" x14ac:dyDescent="0.35">
      <c r="A2237" t="str">
        <f>"2014-01-15"</f>
        <v>2014-01-15</v>
      </c>
      <c r="B2237" t="str">
        <f>"84.2783"</f>
        <v>84.2783</v>
      </c>
      <c r="C2237">
        <v>2235</v>
      </c>
      <c r="D2237" s="7">
        <v>84.278300000000002</v>
      </c>
      <c r="E2237" s="7">
        <f t="shared" si="68"/>
        <v>188362.00049999999</v>
      </c>
      <c r="F2237" s="7">
        <f t="shared" si="69"/>
        <v>4995225</v>
      </c>
      <c r="G2237" s="7"/>
    </row>
    <row r="2238" spans="1:7" x14ac:dyDescent="0.35">
      <c r="A2238" t="str">
        <f>"2014-01-16"</f>
        <v>2014-01-16</v>
      </c>
      <c r="B2238" t="str">
        <f>"82.2721"</f>
        <v>82.2721</v>
      </c>
      <c r="C2238">
        <v>2236</v>
      </c>
      <c r="D2238" s="7">
        <v>82.272099999999995</v>
      </c>
      <c r="E2238" s="7">
        <f t="shared" si="68"/>
        <v>183960.41559999998</v>
      </c>
      <c r="F2238" s="7">
        <f t="shared" si="69"/>
        <v>4999696</v>
      </c>
      <c r="G2238" s="7"/>
    </row>
    <row r="2239" spans="1:7" x14ac:dyDescent="0.35">
      <c r="A2239" t="str">
        <f>"2014-01-17"</f>
        <v>2014-01-17</v>
      </c>
      <c r="B2239" t="str">
        <f>"76.4751"</f>
        <v>76.4751</v>
      </c>
      <c r="C2239">
        <v>2237</v>
      </c>
      <c r="D2239" s="7">
        <v>76.475099999999998</v>
      </c>
      <c r="E2239" s="7">
        <f t="shared" si="68"/>
        <v>171074.79869999998</v>
      </c>
      <c r="F2239" s="7">
        <f t="shared" si="69"/>
        <v>5004169</v>
      </c>
      <c r="G2239" s="7"/>
    </row>
    <row r="2240" spans="1:7" x14ac:dyDescent="0.35">
      <c r="A2240" t="str">
        <f>"2014-01-21"</f>
        <v>2014-01-21</v>
      </c>
      <c r="B2240" t="str">
        <f>"79.7411"</f>
        <v>79.7411</v>
      </c>
      <c r="C2240">
        <v>2238</v>
      </c>
      <c r="D2240" s="7">
        <v>79.741100000000003</v>
      </c>
      <c r="E2240" s="7">
        <f t="shared" si="68"/>
        <v>178460.58180000001</v>
      </c>
      <c r="F2240" s="7">
        <f t="shared" si="69"/>
        <v>5008644</v>
      </c>
      <c r="G2240" s="7"/>
    </row>
    <row r="2241" spans="1:7" x14ac:dyDescent="0.35">
      <c r="A2241" t="str">
        <f>"2014-01-22"</f>
        <v>2014-01-22</v>
      </c>
      <c r="B2241" t="str">
        <f>"80.9556"</f>
        <v>80.9556</v>
      </c>
      <c r="C2241">
        <v>2239</v>
      </c>
      <c r="D2241" s="7">
        <v>80.955600000000004</v>
      </c>
      <c r="E2241" s="7">
        <f t="shared" si="68"/>
        <v>181259.58840000001</v>
      </c>
      <c r="F2241" s="7">
        <f t="shared" si="69"/>
        <v>5013121</v>
      </c>
      <c r="G2241" s="7"/>
    </row>
    <row r="2242" spans="1:7" x14ac:dyDescent="0.35">
      <c r="A2242" t="str">
        <f>"2014-01-23"</f>
        <v>2014-01-23</v>
      </c>
      <c r="B2242" t="str">
        <f>"76.2509"</f>
        <v>76.2509</v>
      </c>
      <c r="C2242">
        <v>2240</v>
      </c>
      <c r="D2242" s="7">
        <v>76.250900000000001</v>
      </c>
      <c r="E2242" s="7">
        <f t="shared" si="68"/>
        <v>170802.016</v>
      </c>
      <c r="F2242" s="7">
        <f t="shared" si="69"/>
        <v>5017600</v>
      </c>
      <c r="G2242" s="7"/>
    </row>
    <row r="2243" spans="1:7" x14ac:dyDescent="0.35">
      <c r="A2243" t="str">
        <f>"2014-01-24"</f>
        <v>2014-01-24</v>
      </c>
      <c r="B2243" t="str">
        <f>"75.9317"</f>
        <v>75.9317</v>
      </c>
      <c r="C2243">
        <v>2241</v>
      </c>
      <c r="D2243" s="7">
        <v>75.931700000000006</v>
      </c>
      <c r="E2243" s="7">
        <f t="shared" si="68"/>
        <v>170162.93970000002</v>
      </c>
      <c r="F2243" s="7">
        <f t="shared" si="69"/>
        <v>5022081</v>
      </c>
      <c r="G2243" s="7"/>
    </row>
    <row r="2244" spans="1:7" x14ac:dyDescent="0.35">
      <c r="A2244" t="str">
        <f>"2014-01-27"</f>
        <v>2014-01-27</v>
      </c>
      <c r="B2244" t="str">
        <f>"74.6975"</f>
        <v>74.6975</v>
      </c>
      <c r="C2244">
        <v>2242</v>
      </c>
      <c r="D2244" s="7">
        <v>74.697500000000005</v>
      </c>
      <c r="E2244" s="7">
        <f t="shared" ref="E2244:E2307" si="70">C2244*D2244</f>
        <v>167471.79500000001</v>
      </c>
      <c r="F2244" s="7">
        <f t="shared" ref="F2244:F2307" si="71">C2244*C2244</f>
        <v>5026564</v>
      </c>
      <c r="G2244" s="7"/>
    </row>
    <row r="2245" spans="1:7" x14ac:dyDescent="0.35">
      <c r="A2245" t="str">
        <f>"2014-01-28"</f>
        <v>2014-01-28</v>
      </c>
      <c r="B2245" t="str">
        <f>"75.4687"</f>
        <v>75.4687</v>
      </c>
      <c r="C2245">
        <v>2243</v>
      </c>
      <c r="D2245" s="7">
        <v>75.468699999999998</v>
      </c>
      <c r="E2245" s="7">
        <f t="shared" si="70"/>
        <v>169276.2941</v>
      </c>
      <c r="F2245" s="7">
        <f t="shared" si="71"/>
        <v>5031049</v>
      </c>
      <c r="G2245" s="7"/>
    </row>
    <row r="2246" spans="1:7" x14ac:dyDescent="0.35">
      <c r="A2246" t="str">
        <f>"2014-01-29"</f>
        <v>2014-01-29</v>
      </c>
      <c r="B2246" t="str">
        <f>"79.1432"</f>
        <v>79.1432</v>
      </c>
      <c r="C2246">
        <v>2244</v>
      </c>
      <c r="D2246" s="7">
        <v>79.143199999999993</v>
      </c>
      <c r="E2246" s="7">
        <f t="shared" si="70"/>
        <v>177597.34079999998</v>
      </c>
      <c r="F2246" s="7">
        <f t="shared" si="71"/>
        <v>5035536</v>
      </c>
      <c r="G2246" s="7"/>
    </row>
    <row r="2247" spans="1:7" x14ac:dyDescent="0.35">
      <c r="A2247" t="str">
        <f>"2014-01-30"</f>
        <v>2014-01-30</v>
      </c>
      <c r="B2247" t="str">
        <f>"77.3549"</f>
        <v>77.3549</v>
      </c>
      <c r="C2247">
        <v>2245</v>
      </c>
      <c r="D2247" s="7">
        <v>77.354900000000001</v>
      </c>
      <c r="E2247" s="7">
        <f t="shared" si="70"/>
        <v>173661.75049999999</v>
      </c>
      <c r="F2247" s="7">
        <f t="shared" si="71"/>
        <v>5040025</v>
      </c>
      <c r="G2247" s="7"/>
    </row>
    <row r="2248" spans="1:7" x14ac:dyDescent="0.35">
      <c r="A2248" t="str">
        <f>"2014-01-31"</f>
        <v>2014-01-31</v>
      </c>
      <c r="B2248" t="str">
        <f>"74.6765"</f>
        <v>74.6765</v>
      </c>
      <c r="C2248">
        <v>2246</v>
      </c>
      <c r="D2248" s="7">
        <v>74.676500000000004</v>
      </c>
      <c r="E2248" s="7">
        <f t="shared" si="70"/>
        <v>167723.41900000002</v>
      </c>
      <c r="F2248" s="7">
        <f t="shared" si="71"/>
        <v>5044516</v>
      </c>
      <c r="G2248" s="7"/>
    </row>
    <row r="2249" spans="1:7" x14ac:dyDescent="0.35">
      <c r="A2249" t="str">
        <f>"2014-02-03"</f>
        <v>2014-02-03</v>
      </c>
      <c r="B2249" t="str">
        <f>"73.7091"</f>
        <v>73.7091</v>
      </c>
      <c r="C2249">
        <v>2247</v>
      </c>
      <c r="D2249" s="7">
        <v>73.709100000000007</v>
      </c>
      <c r="E2249" s="7">
        <f t="shared" si="70"/>
        <v>165624.34770000001</v>
      </c>
      <c r="F2249" s="7">
        <f t="shared" si="71"/>
        <v>5049009</v>
      </c>
      <c r="G2249" s="7"/>
    </row>
    <row r="2250" spans="1:7" x14ac:dyDescent="0.35">
      <c r="A2250" t="str">
        <f>"2014-02-04"</f>
        <v>2014-02-04</v>
      </c>
      <c r="B2250" t="str">
        <f>"75.7525"</f>
        <v>75.7525</v>
      </c>
      <c r="C2250">
        <v>2248</v>
      </c>
      <c r="D2250" s="7">
        <v>75.752499999999998</v>
      </c>
      <c r="E2250" s="7">
        <f t="shared" si="70"/>
        <v>170291.62</v>
      </c>
      <c r="F2250" s="7">
        <f t="shared" si="71"/>
        <v>5053504</v>
      </c>
      <c r="G2250" s="7"/>
    </row>
    <row r="2251" spans="1:7" x14ac:dyDescent="0.35">
      <c r="A2251" t="str">
        <f>"2014-02-05"</f>
        <v>2014-02-05</v>
      </c>
      <c r="B2251" t="str">
        <f>"77.3384"</f>
        <v>77.3384</v>
      </c>
      <c r="C2251">
        <v>2249</v>
      </c>
      <c r="D2251" s="7">
        <v>77.338399999999993</v>
      </c>
      <c r="E2251" s="7">
        <f t="shared" si="70"/>
        <v>173934.06159999999</v>
      </c>
      <c r="F2251" s="7">
        <f t="shared" si="71"/>
        <v>5058001</v>
      </c>
      <c r="G2251" s="7"/>
    </row>
    <row r="2252" spans="1:7" x14ac:dyDescent="0.35">
      <c r="A2252" t="str">
        <f>"2014-02-06"</f>
        <v>2014-02-06</v>
      </c>
      <c r="B2252" t="str">
        <f>"78.8456"</f>
        <v>78.8456</v>
      </c>
      <c r="C2252">
        <v>2250</v>
      </c>
      <c r="D2252" s="7">
        <v>78.845600000000005</v>
      </c>
      <c r="E2252" s="7">
        <f t="shared" si="70"/>
        <v>177402.6</v>
      </c>
      <c r="F2252" s="7">
        <f t="shared" si="71"/>
        <v>5062500</v>
      </c>
      <c r="G2252" s="7"/>
    </row>
    <row r="2253" spans="1:7" x14ac:dyDescent="0.35">
      <c r="A2253" t="str">
        <f>"2014-02-07"</f>
        <v>2014-02-07</v>
      </c>
      <c r="B2253" t="str">
        <f>"78.5201"</f>
        <v>78.5201</v>
      </c>
      <c r="C2253">
        <v>2251</v>
      </c>
      <c r="D2253" s="7">
        <v>78.520099999999999</v>
      </c>
      <c r="E2253" s="7">
        <f t="shared" si="70"/>
        <v>176748.7451</v>
      </c>
      <c r="F2253" s="7">
        <f t="shared" si="71"/>
        <v>5067001</v>
      </c>
      <c r="G2253" s="7"/>
    </row>
    <row r="2254" spans="1:7" x14ac:dyDescent="0.35">
      <c r="A2254" t="str">
        <f>"2014-02-10"</f>
        <v>2014-02-10</v>
      </c>
      <c r="B2254" t="str">
        <f>"77.4343"</f>
        <v>77.4343</v>
      </c>
      <c r="C2254">
        <v>2252</v>
      </c>
      <c r="D2254" s="7">
        <v>77.434299999999993</v>
      </c>
      <c r="E2254" s="7">
        <f t="shared" si="70"/>
        <v>174382.04359999998</v>
      </c>
      <c r="F2254" s="7">
        <f t="shared" si="71"/>
        <v>5071504</v>
      </c>
      <c r="G2254" s="7"/>
    </row>
    <row r="2255" spans="1:7" x14ac:dyDescent="0.35">
      <c r="A2255" t="str">
        <f>"2014-02-11"</f>
        <v>2014-02-11</v>
      </c>
      <c r="B2255" t="str">
        <f>"76.4193"</f>
        <v>76.4193</v>
      </c>
      <c r="C2255">
        <v>2253</v>
      </c>
      <c r="D2255" s="7">
        <v>76.419300000000007</v>
      </c>
      <c r="E2255" s="7">
        <f t="shared" si="70"/>
        <v>172172.68290000001</v>
      </c>
      <c r="F2255" s="7">
        <f t="shared" si="71"/>
        <v>5076009</v>
      </c>
      <c r="G2255" s="7"/>
    </row>
    <row r="2256" spans="1:7" x14ac:dyDescent="0.35">
      <c r="A2256" t="str">
        <f>"2014-02-12"</f>
        <v>2014-02-12</v>
      </c>
      <c r="B2256" t="str">
        <f>"77.3402"</f>
        <v>77.3402</v>
      </c>
      <c r="C2256">
        <v>2254</v>
      </c>
      <c r="D2256" s="7">
        <v>77.340199999999996</v>
      </c>
      <c r="E2256" s="7">
        <f t="shared" si="70"/>
        <v>174324.81079999998</v>
      </c>
      <c r="F2256" s="7">
        <f t="shared" si="71"/>
        <v>5080516</v>
      </c>
      <c r="G2256" s="7"/>
    </row>
    <row r="2257" spans="1:7" x14ac:dyDescent="0.35">
      <c r="A2257" t="str">
        <f>"2014-02-13"</f>
        <v>2014-02-13</v>
      </c>
      <c r="B2257" t="str">
        <f>"78.5045"</f>
        <v>78.5045</v>
      </c>
      <c r="C2257">
        <v>2255</v>
      </c>
      <c r="D2257" s="7">
        <v>78.504499999999993</v>
      </c>
      <c r="E2257" s="7">
        <f t="shared" si="70"/>
        <v>177027.64749999999</v>
      </c>
      <c r="F2257" s="7">
        <f t="shared" si="71"/>
        <v>5085025</v>
      </c>
      <c r="G2257" s="7"/>
    </row>
    <row r="2258" spans="1:7" x14ac:dyDescent="0.35">
      <c r="A2258" t="str">
        <f>"2014-02-14"</f>
        <v>2014-02-14</v>
      </c>
      <c r="B2258" t="str">
        <f>"76.8037"</f>
        <v>76.8037</v>
      </c>
      <c r="C2258">
        <v>2256</v>
      </c>
      <c r="D2258" s="7">
        <v>76.803700000000006</v>
      </c>
      <c r="E2258" s="7">
        <f t="shared" si="70"/>
        <v>173269.14720000001</v>
      </c>
      <c r="F2258" s="7">
        <f t="shared" si="71"/>
        <v>5089536</v>
      </c>
      <c r="G2258" s="7"/>
    </row>
    <row r="2259" spans="1:7" x14ac:dyDescent="0.35">
      <c r="A2259" t="str">
        <f>"2014-02-18"</f>
        <v>2014-02-18</v>
      </c>
      <c r="B2259" t="str">
        <f>"73.9104"</f>
        <v>73.9104</v>
      </c>
      <c r="C2259">
        <v>2257</v>
      </c>
      <c r="D2259" s="7">
        <v>73.910399999999996</v>
      </c>
      <c r="E2259" s="7">
        <f t="shared" si="70"/>
        <v>166815.77279999998</v>
      </c>
      <c r="F2259" s="7">
        <f t="shared" si="71"/>
        <v>5094049</v>
      </c>
      <c r="G2259" s="7"/>
    </row>
    <row r="2260" spans="1:7" x14ac:dyDescent="0.35">
      <c r="A2260" t="str">
        <f>"2014-02-19"</f>
        <v>2014-02-19</v>
      </c>
      <c r="B2260" t="str">
        <f>"73.3458"</f>
        <v>73.3458</v>
      </c>
      <c r="C2260">
        <v>2258</v>
      </c>
      <c r="D2260" s="7">
        <v>73.345799999999997</v>
      </c>
      <c r="E2260" s="7">
        <f t="shared" si="70"/>
        <v>165614.81639999998</v>
      </c>
      <c r="F2260" s="7">
        <f t="shared" si="71"/>
        <v>5098564</v>
      </c>
      <c r="G2260" s="7"/>
    </row>
    <row r="2261" spans="1:7" x14ac:dyDescent="0.35">
      <c r="A2261" t="str">
        <f>"2014-02-20"</f>
        <v>2014-02-20</v>
      </c>
      <c r="B2261" t="str">
        <f>"73.7786"</f>
        <v>73.7786</v>
      </c>
      <c r="C2261">
        <v>2259</v>
      </c>
      <c r="D2261" s="7">
        <v>73.778599999999997</v>
      </c>
      <c r="E2261" s="7">
        <f t="shared" si="70"/>
        <v>166665.85740000001</v>
      </c>
      <c r="F2261" s="7">
        <f t="shared" si="71"/>
        <v>5103081</v>
      </c>
      <c r="G2261" s="7"/>
    </row>
    <row r="2262" spans="1:7" x14ac:dyDescent="0.35">
      <c r="A2262" t="str">
        <f>"2014-02-21"</f>
        <v>2014-02-21</v>
      </c>
      <c r="B2262" t="str">
        <f>"73.1812"</f>
        <v>73.1812</v>
      </c>
      <c r="C2262">
        <v>2260</v>
      </c>
      <c r="D2262" s="7">
        <v>73.181200000000004</v>
      </c>
      <c r="E2262" s="7">
        <f t="shared" si="70"/>
        <v>165389.51200000002</v>
      </c>
      <c r="F2262" s="7">
        <f t="shared" si="71"/>
        <v>5107600</v>
      </c>
      <c r="G2262" s="7"/>
    </row>
    <row r="2263" spans="1:7" x14ac:dyDescent="0.35">
      <c r="A2263" t="str">
        <f>"2014-02-24"</f>
        <v>2014-02-24</v>
      </c>
      <c r="B2263" t="str">
        <f>"73.3469"</f>
        <v>73.3469</v>
      </c>
      <c r="C2263">
        <v>2261</v>
      </c>
      <c r="D2263" s="7">
        <v>73.346900000000005</v>
      </c>
      <c r="E2263" s="7">
        <f t="shared" si="70"/>
        <v>165837.34090000001</v>
      </c>
      <c r="F2263" s="7">
        <f t="shared" si="71"/>
        <v>5112121</v>
      </c>
      <c r="G2263" s="7"/>
    </row>
    <row r="2264" spans="1:7" x14ac:dyDescent="0.35">
      <c r="A2264" t="str">
        <f>"2014-02-25"</f>
        <v>2014-02-25</v>
      </c>
      <c r="B2264" t="str">
        <f>"70.1086"</f>
        <v>70.1086</v>
      </c>
      <c r="C2264">
        <v>2262</v>
      </c>
      <c r="D2264" s="7">
        <v>70.108599999999996</v>
      </c>
      <c r="E2264" s="7">
        <f t="shared" si="70"/>
        <v>158585.6532</v>
      </c>
      <c r="F2264" s="7">
        <f t="shared" si="71"/>
        <v>5116644</v>
      </c>
      <c r="G2264" s="7"/>
    </row>
    <row r="2265" spans="1:7" x14ac:dyDescent="0.35">
      <c r="A2265" t="str">
        <f>"2014-02-26"</f>
        <v>2014-02-26</v>
      </c>
      <c r="B2265" t="str">
        <f>"69.6841"</f>
        <v>69.6841</v>
      </c>
      <c r="C2265">
        <v>2263</v>
      </c>
      <c r="D2265" s="7">
        <v>69.684100000000001</v>
      </c>
      <c r="E2265" s="7">
        <f t="shared" si="70"/>
        <v>157695.1183</v>
      </c>
      <c r="F2265" s="7">
        <f t="shared" si="71"/>
        <v>5121169</v>
      </c>
      <c r="G2265" s="7"/>
    </row>
    <row r="2266" spans="1:7" x14ac:dyDescent="0.35">
      <c r="A2266" t="str">
        <f>"2014-02-27"</f>
        <v>2014-02-27</v>
      </c>
      <c r="B2266" t="str">
        <f>"68.4129"</f>
        <v>68.4129</v>
      </c>
      <c r="C2266">
        <v>2264</v>
      </c>
      <c r="D2266" s="7">
        <v>68.412899999999993</v>
      </c>
      <c r="E2266" s="7">
        <f t="shared" si="70"/>
        <v>154886.80559999999</v>
      </c>
      <c r="F2266" s="7">
        <f t="shared" si="71"/>
        <v>5125696</v>
      </c>
      <c r="G2266" s="7"/>
    </row>
    <row r="2267" spans="1:7" x14ac:dyDescent="0.35">
      <c r="A2267" t="str">
        <f>"2014-02-28"</f>
        <v>2014-02-28</v>
      </c>
      <c r="B2267" t="str">
        <f>"70.0548"</f>
        <v>70.0548</v>
      </c>
      <c r="C2267">
        <v>2265</v>
      </c>
      <c r="D2267" s="7">
        <v>70.0548</v>
      </c>
      <c r="E2267" s="7">
        <f t="shared" si="70"/>
        <v>158674.122</v>
      </c>
      <c r="F2267" s="7">
        <f t="shared" si="71"/>
        <v>5130225</v>
      </c>
      <c r="G2267" s="7"/>
    </row>
    <row r="2268" spans="1:7" x14ac:dyDescent="0.35">
      <c r="A2268" t="str">
        <f>"2014-03-03"</f>
        <v>2014-03-03</v>
      </c>
      <c r="B2268" t="str">
        <f>"65.5638"</f>
        <v>65.5638</v>
      </c>
      <c r="C2268">
        <v>2266</v>
      </c>
      <c r="D2268" s="7">
        <v>65.563800000000001</v>
      </c>
      <c r="E2268" s="7">
        <f t="shared" si="70"/>
        <v>148567.57079999999</v>
      </c>
      <c r="F2268" s="7">
        <f t="shared" si="71"/>
        <v>5134756</v>
      </c>
      <c r="G2268" s="7"/>
    </row>
    <row r="2269" spans="1:7" x14ac:dyDescent="0.35">
      <c r="A2269" t="str">
        <f>"2014-03-04"</f>
        <v>2014-03-04</v>
      </c>
      <c r="B2269" t="str">
        <f>"68.3641"</f>
        <v>68.3641</v>
      </c>
      <c r="C2269">
        <v>2267</v>
      </c>
      <c r="D2269" s="7">
        <v>68.364099999999993</v>
      </c>
      <c r="E2269" s="7">
        <f t="shared" si="70"/>
        <v>154981.41469999999</v>
      </c>
      <c r="F2269" s="7">
        <f t="shared" si="71"/>
        <v>5139289</v>
      </c>
      <c r="G2269" s="7"/>
    </row>
    <row r="2270" spans="1:7" x14ac:dyDescent="0.35">
      <c r="A2270" t="str">
        <f>"2014-03-05"</f>
        <v>2014-03-05</v>
      </c>
      <c r="B2270" t="str">
        <f>"68.9346"</f>
        <v>68.9346</v>
      </c>
      <c r="C2270">
        <v>2268</v>
      </c>
      <c r="D2270" s="7">
        <v>68.934600000000003</v>
      </c>
      <c r="E2270" s="7">
        <f t="shared" si="70"/>
        <v>156343.6728</v>
      </c>
      <c r="F2270" s="7">
        <f t="shared" si="71"/>
        <v>5143824</v>
      </c>
      <c r="G2270" s="7"/>
    </row>
    <row r="2271" spans="1:7" x14ac:dyDescent="0.35">
      <c r="A2271" t="str">
        <f>"2014-03-06"</f>
        <v>2014-03-06</v>
      </c>
      <c r="B2271" t="str">
        <f>"69.8157"</f>
        <v>69.8157</v>
      </c>
      <c r="C2271">
        <v>2269</v>
      </c>
      <c r="D2271" s="7">
        <v>69.815700000000007</v>
      </c>
      <c r="E2271" s="7">
        <f t="shared" si="70"/>
        <v>158411.82330000002</v>
      </c>
      <c r="F2271" s="7">
        <f t="shared" si="71"/>
        <v>5148361</v>
      </c>
      <c r="G2271" s="7"/>
    </row>
    <row r="2272" spans="1:7" x14ac:dyDescent="0.35">
      <c r="A2272" t="str">
        <f>"2014-03-07"</f>
        <v>2014-03-07</v>
      </c>
      <c r="B2272" t="str">
        <f>"67.3303"</f>
        <v>67.3303</v>
      </c>
      <c r="C2272">
        <v>2270</v>
      </c>
      <c r="D2272" s="7">
        <v>67.330299999999994</v>
      </c>
      <c r="E2272" s="7">
        <f t="shared" si="70"/>
        <v>152839.78099999999</v>
      </c>
      <c r="F2272" s="7">
        <f t="shared" si="71"/>
        <v>5152900</v>
      </c>
      <c r="G2272" s="7"/>
    </row>
    <row r="2273" spans="1:7" x14ac:dyDescent="0.35">
      <c r="A2273" t="str">
        <f>"2014-03-10"</f>
        <v>2014-03-10</v>
      </c>
      <c r="B2273" t="str">
        <f>"63.3663"</f>
        <v>63.3663</v>
      </c>
      <c r="C2273">
        <v>2271</v>
      </c>
      <c r="D2273" s="7">
        <v>63.366300000000003</v>
      </c>
      <c r="E2273" s="7">
        <f t="shared" si="70"/>
        <v>143904.86730000001</v>
      </c>
      <c r="F2273" s="7">
        <f t="shared" si="71"/>
        <v>5157441</v>
      </c>
      <c r="G2273" s="7"/>
    </row>
    <row r="2274" spans="1:7" x14ac:dyDescent="0.35">
      <c r="A2274" t="str">
        <f>"2014-03-11"</f>
        <v>2014-03-11</v>
      </c>
      <c r="B2274" t="str">
        <f>"63.4313"</f>
        <v>63.4313</v>
      </c>
      <c r="C2274">
        <v>2272</v>
      </c>
      <c r="D2274" s="7">
        <v>63.4313</v>
      </c>
      <c r="E2274" s="7">
        <f t="shared" si="70"/>
        <v>144115.9136</v>
      </c>
      <c r="F2274" s="7">
        <f t="shared" si="71"/>
        <v>5161984</v>
      </c>
      <c r="G2274" s="7"/>
    </row>
    <row r="2275" spans="1:7" x14ac:dyDescent="0.35">
      <c r="A2275" t="str">
        <f>"2014-03-12"</f>
        <v>2014-03-12</v>
      </c>
      <c r="B2275" t="str">
        <f>"62.5264"</f>
        <v>62.5264</v>
      </c>
      <c r="C2275">
        <v>2273</v>
      </c>
      <c r="D2275" s="7">
        <v>62.526400000000002</v>
      </c>
      <c r="E2275" s="7">
        <f t="shared" si="70"/>
        <v>142122.50719999999</v>
      </c>
      <c r="F2275" s="7">
        <f t="shared" si="71"/>
        <v>5166529</v>
      </c>
      <c r="G2275" s="7"/>
    </row>
    <row r="2276" spans="1:7" x14ac:dyDescent="0.35">
      <c r="A2276" t="str">
        <f>"2014-03-13"</f>
        <v>2014-03-13</v>
      </c>
      <c r="B2276" t="str">
        <f>"63.7883"</f>
        <v>63.7883</v>
      </c>
      <c r="C2276">
        <v>2274</v>
      </c>
      <c r="D2276" s="7">
        <v>63.7883</v>
      </c>
      <c r="E2276" s="7">
        <f t="shared" si="70"/>
        <v>145054.59419999999</v>
      </c>
      <c r="F2276" s="7">
        <f t="shared" si="71"/>
        <v>5171076</v>
      </c>
      <c r="G2276" s="7"/>
    </row>
    <row r="2277" spans="1:7" x14ac:dyDescent="0.35">
      <c r="A2277" t="str">
        <f>"2014-03-14"</f>
        <v>2014-03-14</v>
      </c>
      <c r="B2277" t="str">
        <f>"62.9207"</f>
        <v>62.9207</v>
      </c>
      <c r="C2277">
        <v>2275</v>
      </c>
      <c r="D2277" s="7">
        <v>62.920699999999997</v>
      </c>
      <c r="E2277" s="7">
        <f t="shared" si="70"/>
        <v>143144.5925</v>
      </c>
      <c r="F2277" s="7">
        <f t="shared" si="71"/>
        <v>5175625</v>
      </c>
      <c r="G2277" s="7"/>
    </row>
    <row r="2278" spans="1:7" x14ac:dyDescent="0.35">
      <c r="A2278" t="str">
        <f>"2014-03-17"</f>
        <v>2014-03-17</v>
      </c>
      <c r="B2278" t="str">
        <f>"64.1681"</f>
        <v>64.1681</v>
      </c>
      <c r="C2278">
        <v>2276</v>
      </c>
      <c r="D2278" s="7">
        <v>64.168099999999995</v>
      </c>
      <c r="E2278" s="7">
        <f t="shared" si="70"/>
        <v>146046.5956</v>
      </c>
      <c r="F2278" s="7">
        <f t="shared" si="71"/>
        <v>5180176</v>
      </c>
      <c r="G2278" s="7"/>
    </row>
    <row r="2279" spans="1:7" x14ac:dyDescent="0.35">
      <c r="A2279" t="str">
        <f>"2014-03-18"</f>
        <v>2014-03-18</v>
      </c>
      <c r="B2279" t="str">
        <f>"66.0232"</f>
        <v>66.0232</v>
      </c>
      <c r="C2279">
        <v>2277</v>
      </c>
      <c r="D2279" s="7">
        <v>66.023200000000003</v>
      </c>
      <c r="E2279" s="7">
        <f t="shared" si="70"/>
        <v>150334.82640000002</v>
      </c>
      <c r="F2279" s="7">
        <f t="shared" si="71"/>
        <v>5184729</v>
      </c>
      <c r="G2279" s="7"/>
    </row>
    <row r="2280" spans="1:7" x14ac:dyDescent="0.35">
      <c r="A2280" t="str">
        <f>"2014-03-19"</f>
        <v>2014-03-19</v>
      </c>
      <c r="B2280" t="str">
        <f>"64.1225"</f>
        <v>64.1225</v>
      </c>
      <c r="C2280">
        <v>2278</v>
      </c>
      <c r="D2280" s="7">
        <v>64.122500000000002</v>
      </c>
      <c r="E2280" s="7">
        <f t="shared" si="70"/>
        <v>146071.05499999999</v>
      </c>
      <c r="F2280" s="7">
        <f t="shared" si="71"/>
        <v>5189284</v>
      </c>
      <c r="G2280" s="7"/>
    </row>
    <row r="2281" spans="1:7" x14ac:dyDescent="0.35">
      <c r="A2281" t="str">
        <f>"2014-03-20"</f>
        <v>2014-03-20</v>
      </c>
      <c r="B2281" t="str">
        <f>"64.6691"</f>
        <v>64.6691</v>
      </c>
      <c r="C2281">
        <v>2279</v>
      </c>
      <c r="D2281" s="7">
        <v>64.6691</v>
      </c>
      <c r="E2281" s="7">
        <f t="shared" si="70"/>
        <v>147380.87890000001</v>
      </c>
      <c r="F2281" s="7">
        <f t="shared" si="71"/>
        <v>5193841</v>
      </c>
      <c r="G2281" s="7"/>
    </row>
    <row r="2282" spans="1:7" x14ac:dyDescent="0.35">
      <c r="A2282" t="str">
        <f>"2014-03-21"</f>
        <v>2014-03-21</v>
      </c>
      <c r="B2282" t="str">
        <f>"64.0909"</f>
        <v>64.0909</v>
      </c>
      <c r="C2282">
        <v>2280</v>
      </c>
      <c r="D2282" s="7">
        <v>64.090900000000005</v>
      </c>
      <c r="E2282" s="7">
        <f t="shared" si="70"/>
        <v>146127.25200000001</v>
      </c>
      <c r="F2282" s="7">
        <f t="shared" si="71"/>
        <v>5198400</v>
      </c>
      <c r="G2282" s="7"/>
    </row>
    <row r="2283" spans="1:7" x14ac:dyDescent="0.35">
      <c r="A2283" t="str">
        <f>"2014-03-24"</f>
        <v>2014-03-24</v>
      </c>
      <c r="B2283" t="str">
        <f>"63.6816"</f>
        <v>63.6816</v>
      </c>
      <c r="C2283">
        <v>2281</v>
      </c>
      <c r="D2283" s="7">
        <v>63.681600000000003</v>
      </c>
      <c r="E2283" s="7">
        <f t="shared" si="70"/>
        <v>145257.72960000002</v>
      </c>
      <c r="F2283" s="7">
        <f t="shared" si="71"/>
        <v>5202961</v>
      </c>
      <c r="G2283" s="7"/>
    </row>
    <row r="2284" spans="1:7" x14ac:dyDescent="0.35">
      <c r="A2284" t="str">
        <f>"2014-03-25"</f>
        <v>2014-03-25</v>
      </c>
      <c r="B2284" t="str">
        <f>"64.5935"</f>
        <v>64.5935</v>
      </c>
      <c r="C2284">
        <v>2282</v>
      </c>
      <c r="D2284" s="7">
        <v>64.593500000000006</v>
      </c>
      <c r="E2284" s="7">
        <f t="shared" si="70"/>
        <v>147402.36700000003</v>
      </c>
      <c r="F2284" s="7">
        <f t="shared" si="71"/>
        <v>5207524</v>
      </c>
      <c r="G2284" s="7"/>
    </row>
    <row r="2285" spans="1:7" x14ac:dyDescent="0.35">
      <c r="A2285" t="str">
        <f>"2014-03-26"</f>
        <v>2014-03-26</v>
      </c>
      <c r="B2285" t="str">
        <f>"67.6431"</f>
        <v>67.6431</v>
      </c>
      <c r="C2285">
        <v>2283</v>
      </c>
      <c r="D2285" s="7">
        <v>67.643100000000004</v>
      </c>
      <c r="E2285" s="7">
        <f t="shared" si="70"/>
        <v>154429.1973</v>
      </c>
      <c r="F2285" s="7">
        <f t="shared" si="71"/>
        <v>5212089</v>
      </c>
      <c r="G2285" s="7"/>
    </row>
    <row r="2286" spans="1:7" x14ac:dyDescent="0.35">
      <c r="A2286" t="str">
        <f>"2014-03-27"</f>
        <v>2014-03-27</v>
      </c>
      <c r="B2286" t="str">
        <f>"67.9965"</f>
        <v>67.9965</v>
      </c>
      <c r="C2286">
        <v>2284</v>
      </c>
      <c r="D2286" s="7">
        <v>67.996499999999997</v>
      </c>
      <c r="E2286" s="7">
        <f t="shared" si="70"/>
        <v>155304.00599999999</v>
      </c>
      <c r="F2286" s="7">
        <f t="shared" si="71"/>
        <v>5216656</v>
      </c>
      <c r="G2286" s="7"/>
    </row>
    <row r="2287" spans="1:7" x14ac:dyDescent="0.35">
      <c r="A2287" t="str">
        <f>"2014-03-28"</f>
        <v>2014-03-28</v>
      </c>
      <c r="B2287" t="str">
        <f>"69.9083"</f>
        <v>69.9083</v>
      </c>
      <c r="C2287">
        <v>2285</v>
      </c>
      <c r="D2287" s="7">
        <v>69.908299999999997</v>
      </c>
      <c r="E2287" s="7">
        <f t="shared" si="70"/>
        <v>159740.46549999999</v>
      </c>
      <c r="F2287" s="7">
        <f t="shared" si="71"/>
        <v>5221225</v>
      </c>
      <c r="G2287" s="7"/>
    </row>
    <row r="2288" spans="1:7" x14ac:dyDescent="0.35">
      <c r="A2288" t="str">
        <f>"2014-03-31"</f>
        <v>2014-03-31</v>
      </c>
      <c r="B2288" t="str">
        <f>"73.4036"</f>
        <v>73.4036</v>
      </c>
      <c r="C2288">
        <v>2286</v>
      </c>
      <c r="D2288" s="7">
        <v>73.403599999999997</v>
      </c>
      <c r="E2288" s="7">
        <f t="shared" si="70"/>
        <v>167800.62959999999</v>
      </c>
      <c r="F2288" s="7">
        <f t="shared" si="71"/>
        <v>5225796</v>
      </c>
      <c r="G2288" s="7"/>
    </row>
    <row r="2289" spans="1:7" x14ac:dyDescent="0.35">
      <c r="A2289" t="str">
        <f>"2014-04-01"</f>
        <v>2014-04-01</v>
      </c>
      <c r="B2289" t="str">
        <f>"75.7407"</f>
        <v>75.7407</v>
      </c>
      <c r="C2289">
        <v>2287</v>
      </c>
      <c r="D2289" s="7">
        <v>75.740700000000004</v>
      </c>
      <c r="E2289" s="7">
        <f t="shared" si="70"/>
        <v>173218.9809</v>
      </c>
      <c r="F2289" s="7">
        <f t="shared" si="71"/>
        <v>5230369</v>
      </c>
      <c r="G2289" s="7"/>
    </row>
    <row r="2290" spans="1:7" x14ac:dyDescent="0.35">
      <c r="A2290" t="str">
        <f>"2014-04-02"</f>
        <v>2014-04-02</v>
      </c>
      <c r="B2290" t="str">
        <f>"77.1596"</f>
        <v>77.1596</v>
      </c>
      <c r="C2290">
        <v>2288</v>
      </c>
      <c r="D2290" s="7">
        <v>77.159599999999998</v>
      </c>
      <c r="E2290" s="7">
        <f t="shared" si="70"/>
        <v>176541.1648</v>
      </c>
      <c r="F2290" s="7">
        <f t="shared" si="71"/>
        <v>5234944</v>
      </c>
      <c r="G2290" s="7"/>
    </row>
    <row r="2291" spans="1:7" x14ac:dyDescent="0.35">
      <c r="A2291" t="str">
        <f>"2014-04-03"</f>
        <v>2014-04-03</v>
      </c>
      <c r="B2291" t="str">
        <f>"77.6593"</f>
        <v>77.6593</v>
      </c>
      <c r="C2291">
        <v>2289</v>
      </c>
      <c r="D2291" s="7">
        <v>77.659300000000002</v>
      </c>
      <c r="E2291" s="7">
        <f t="shared" si="70"/>
        <v>177762.13769999999</v>
      </c>
      <c r="F2291" s="7">
        <f t="shared" si="71"/>
        <v>5239521</v>
      </c>
      <c r="G2291" s="7"/>
    </row>
    <row r="2292" spans="1:7" x14ac:dyDescent="0.35">
      <c r="A2292" t="str">
        <f>"2014-04-04"</f>
        <v>2014-04-04</v>
      </c>
      <c r="B2292" t="str">
        <f>"76.4391"</f>
        <v>76.4391</v>
      </c>
      <c r="C2292">
        <v>2290</v>
      </c>
      <c r="D2292" s="7">
        <v>76.439099999999996</v>
      </c>
      <c r="E2292" s="7">
        <f t="shared" si="70"/>
        <v>175045.53899999999</v>
      </c>
      <c r="F2292" s="7">
        <f t="shared" si="71"/>
        <v>5244100</v>
      </c>
      <c r="G2292" s="7"/>
    </row>
    <row r="2293" spans="1:7" x14ac:dyDescent="0.35">
      <c r="A2293" t="str">
        <f>"2014-04-07"</f>
        <v>2014-04-07</v>
      </c>
      <c r="B2293" t="str">
        <f>"77.937"</f>
        <v>77.937</v>
      </c>
      <c r="C2293">
        <v>2291</v>
      </c>
      <c r="D2293" s="7">
        <v>77.936999999999998</v>
      </c>
      <c r="E2293" s="7">
        <f t="shared" si="70"/>
        <v>178553.66699999999</v>
      </c>
      <c r="F2293" s="7">
        <f t="shared" si="71"/>
        <v>5248681</v>
      </c>
      <c r="G2293" s="7"/>
    </row>
    <row r="2294" spans="1:7" x14ac:dyDescent="0.35">
      <c r="A2294" t="str">
        <f>"2014-04-08"</f>
        <v>2014-04-08</v>
      </c>
      <c r="B2294" t="str">
        <f>"77.807"</f>
        <v>77.807</v>
      </c>
      <c r="C2294">
        <v>2292</v>
      </c>
      <c r="D2294" s="7">
        <v>77.807000000000002</v>
      </c>
      <c r="E2294" s="7">
        <f t="shared" si="70"/>
        <v>178333.644</v>
      </c>
      <c r="F2294" s="7">
        <f t="shared" si="71"/>
        <v>5253264</v>
      </c>
      <c r="G2294" s="7"/>
    </row>
    <row r="2295" spans="1:7" x14ac:dyDescent="0.35">
      <c r="A2295" t="str">
        <f>"2014-04-09"</f>
        <v>2014-04-09</v>
      </c>
      <c r="B2295" t="str">
        <f>"76.5977"</f>
        <v>76.5977</v>
      </c>
      <c r="C2295">
        <v>2293</v>
      </c>
      <c r="D2295" s="7">
        <v>76.597700000000003</v>
      </c>
      <c r="E2295" s="7">
        <f t="shared" si="70"/>
        <v>175638.52610000002</v>
      </c>
      <c r="F2295" s="7">
        <f t="shared" si="71"/>
        <v>5257849</v>
      </c>
      <c r="G2295" s="7"/>
    </row>
    <row r="2296" spans="1:7" x14ac:dyDescent="0.35">
      <c r="A2296" t="str">
        <f>"2014-04-10"</f>
        <v>2014-04-10</v>
      </c>
      <c r="B2296" t="str">
        <f>"75.6825"</f>
        <v>75.6825</v>
      </c>
      <c r="C2296">
        <v>2294</v>
      </c>
      <c r="D2296" s="7">
        <v>75.682500000000005</v>
      </c>
      <c r="E2296" s="7">
        <f t="shared" si="70"/>
        <v>173615.655</v>
      </c>
      <c r="F2296" s="7">
        <f t="shared" si="71"/>
        <v>5262436</v>
      </c>
      <c r="G2296" s="7"/>
    </row>
    <row r="2297" spans="1:7" x14ac:dyDescent="0.35">
      <c r="A2297" t="str">
        <f>"2014-04-11"</f>
        <v>2014-04-11</v>
      </c>
      <c r="B2297" t="str">
        <f>"75.0009"</f>
        <v>75.0009</v>
      </c>
      <c r="C2297">
        <v>2295</v>
      </c>
      <c r="D2297" s="7">
        <v>75.000900000000001</v>
      </c>
      <c r="E2297" s="7">
        <f t="shared" si="70"/>
        <v>172127.0655</v>
      </c>
      <c r="F2297" s="7">
        <f t="shared" si="71"/>
        <v>5267025</v>
      </c>
      <c r="G2297" s="7"/>
    </row>
    <row r="2298" spans="1:7" x14ac:dyDescent="0.35">
      <c r="A2298" t="str">
        <f>"2014-04-14"</f>
        <v>2014-04-14</v>
      </c>
      <c r="B2298" t="str">
        <f>"75.0763"</f>
        <v>75.0763</v>
      </c>
      <c r="C2298">
        <v>2296</v>
      </c>
      <c r="D2298" s="7">
        <v>75.076300000000003</v>
      </c>
      <c r="E2298" s="7">
        <f t="shared" si="70"/>
        <v>172375.18480000002</v>
      </c>
      <c r="F2298" s="7">
        <f t="shared" si="71"/>
        <v>5271616</v>
      </c>
      <c r="G2298" s="7"/>
    </row>
    <row r="2299" spans="1:7" x14ac:dyDescent="0.35">
      <c r="A2299" t="str">
        <f>"2014-04-15"</f>
        <v>2014-04-15</v>
      </c>
      <c r="B2299" t="str">
        <f>"75.1216"</f>
        <v>75.1216</v>
      </c>
      <c r="C2299">
        <v>2297</v>
      </c>
      <c r="D2299" s="7">
        <v>75.121600000000001</v>
      </c>
      <c r="E2299" s="7">
        <f t="shared" si="70"/>
        <v>172554.31520000001</v>
      </c>
      <c r="F2299" s="7">
        <f t="shared" si="71"/>
        <v>5276209</v>
      </c>
      <c r="G2299" s="7"/>
    </row>
    <row r="2300" spans="1:7" x14ac:dyDescent="0.35">
      <c r="A2300" t="str">
        <f>"2014-04-16"</f>
        <v>2014-04-16</v>
      </c>
      <c r="B2300" t="str">
        <f>"74.8841"</f>
        <v>74.8841</v>
      </c>
      <c r="C2300">
        <v>2298</v>
      </c>
      <c r="D2300" s="7">
        <v>74.884100000000004</v>
      </c>
      <c r="E2300" s="7">
        <f t="shared" si="70"/>
        <v>172083.6618</v>
      </c>
      <c r="F2300" s="7">
        <f t="shared" si="71"/>
        <v>5280804</v>
      </c>
      <c r="G2300" s="7"/>
    </row>
    <row r="2301" spans="1:7" x14ac:dyDescent="0.35">
      <c r="A2301" t="str">
        <f>"2014-04-17"</f>
        <v>2014-04-17</v>
      </c>
      <c r="B2301" t="str">
        <f>"76.2609"</f>
        <v>76.2609</v>
      </c>
      <c r="C2301">
        <v>2299</v>
      </c>
      <c r="D2301" s="7">
        <v>76.260900000000007</v>
      </c>
      <c r="E2301" s="7">
        <f t="shared" si="70"/>
        <v>175323.80910000001</v>
      </c>
      <c r="F2301" s="7">
        <f t="shared" si="71"/>
        <v>5285401</v>
      </c>
      <c r="G2301" s="7"/>
    </row>
    <row r="2302" spans="1:7" x14ac:dyDescent="0.35">
      <c r="A2302" t="str">
        <f>"2014-04-21"</f>
        <v>2014-04-21</v>
      </c>
      <c r="B2302" t="str">
        <f>"78.2311"</f>
        <v>78.2311</v>
      </c>
      <c r="C2302">
        <v>2300</v>
      </c>
      <c r="D2302" s="7">
        <v>78.231099999999998</v>
      </c>
      <c r="E2302" s="7">
        <f t="shared" si="70"/>
        <v>179931.53</v>
      </c>
      <c r="F2302" s="7">
        <f t="shared" si="71"/>
        <v>5290000</v>
      </c>
      <c r="G2302" s="7"/>
    </row>
    <row r="2303" spans="1:7" x14ac:dyDescent="0.35">
      <c r="A2303" t="str">
        <f>"2014-04-22"</f>
        <v>2014-04-22</v>
      </c>
      <c r="B2303" t="str">
        <f>"77.6746"</f>
        <v>77.6746</v>
      </c>
      <c r="C2303">
        <v>2301</v>
      </c>
      <c r="D2303" s="7">
        <v>77.674599999999998</v>
      </c>
      <c r="E2303" s="7">
        <f t="shared" si="70"/>
        <v>178729.25459999999</v>
      </c>
      <c r="F2303" s="7">
        <f t="shared" si="71"/>
        <v>5294601</v>
      </c>
      <c r="G2303" s="7"/>
    </row>
    <row r="2304" spans="1:7" x14ac:dyDescent="0.35">
      <c r="A2304" t="str">
        <f>"2014-04-23"</f>
        <v>2014-04-23</v>
      </c>
      <c r="B2304" t="str">
        <f>"77.1389"</f>
        <v>77.1389</v>
      </c>
      <c r="C2304">
        <v>2302</v>
      </c>
      <c r="D2304" s="7">
        <v>77.138900000000007</v>
      </c>
      <c r="E2304" s="7">
        <f t="shared" si="70"/>
        <v>177573.74780000001</v>
      </c>
      <c r="F2304" s="7">
        <f t="shared" si="71"/>
        <v>5299204</v>
      </c>
      <c r="G2304" s="7"/>
    </row>
    <row r="2305" spans="1:7" x14ac:dyDescent="0.35">
      <c r="A2305" t="str">
        <f>"2014-04-24"</f>
        <v>2014-04-24</v>
      </c>
      <c r="B2305" t="str">
        <f>"75.1857"</f>
        <v>75.1857</v>
      </c>
      <c r="C2305">
        <v>2303</v>
      </c>
      <c r="D2305" s="7">
        <v>75.185699999999997</v>
      </c>
      <c r="E2305" s="7">
        <f t="shared" si="70"/>
        <v>173152.66709999999</v>
      </c>
      <c r="F2305" s="7">
        <f t="shared" si="71"/>
        <v>5303809</v>
      </c>
      <c r="G2305" s="7"/>
    </row>
    <row r="2306" spans="1:7" x14ac:dyDescent="0.35">
      <c r="A2306" t="str">
        <f>"2014-04-25"</f>
        <v>2014-04-25</v>
      </c>
      <c r="B2306" t="str">
        <f>"73.2868"</f>
        <v>73.2868</v>
      </c>
      <c r="C2306">
        <v>2304</v>
      </c>
      <c r="D2306" s="7">
        <v>73.286799999999999</v>
      </c>
      <c r="E2306" s="7">
        <f t="shared" si="70"/>
        <v>168852.78719999999</v>
      </c>
      <c r="F2306" s="7">
        <f t="shared" si="71"/>
        <v>5308416</v>
      </c>
      <c r="G2306" s="7"/>
    </row>
    <row r="2307" spans="1:7" x14ac:dyDescent="0.35">
      <c r="A2307" t="str">
        <f>"2014-04-28"</f>
        <v>2014-04-28</v>
      </c>
      <c r="B2307" t="str">
        <f>"73.9054"</f>
        <v>73.9054</v>
      </c>
      <c r="C2307">
        <v>2305</v>
      </c>
      <c r="D2307" s="7">
        <v>73.9054</v>
      </c>
      <c r="E2307" s="7">
        <f t="shared" si="70"/>
        <v>170351.94700000001</v>
      </c>
      <c r="F2307" s="7">
        <f t="shared" si="71"/>
        <v>5313025</v>
      </c>
      <c r="G2307" s="7"/>
    </row>
    <row r="2308" spans="1:7" x14ac:dyDescent="0.35">
      <c r="A2308" t="str">
        <f>"2014-04-29"</f>
        <v>2014-04-29</v>
      </c>
      <c r="B2308" t="str">
        <f>"73.9991"</f>
        <v>73.9991</v>
      </c>
      <c r="C2308">
        <v>2306</v>
      </c>
      <c r="D2308" s="7">
        <v>73.999099999999999</v>
      </c>
      <c r="E2308" s="7">
        <f t="shared" ref="E2308:E2371" si="72">C2308*D2308</f>
        <v>170641.9246</v>
      </c>
      <c r="F2308" s="7">
        <f t="shared" ref="F2308:F2371" si="73">C2308*C2308</f>
        <v>5317636</v>
      </c>
      <c r="G2308" s="7"/>
    </row>
    <row r="2309" spans="1:7" x14ac:dyDescent="0.35">
      <c r="A2309" t="str">
        <f>"2014-04-30"</f>
        <v>2014-04-30</v>
      </c>
      <c r="B2309" t="str">
        <f>"76.4014"</f>
        <v>76.4014</v>
      </c>
      <c r="C2309">
        <v>2307</v>
      </c>
      <c r="D2309" s="7">
        <v>76.401399999999995</v>
      </c>
      <c r="E2309" s="7">
        <f t="shared" si="72"/>
        <v>176258.02979999999</v>
      </c>
      <c r="F2309" s="7">
        <f t="shared" si="73"/>
        <v>5322249</v>
      </c>
      <c r="G2309" s="7"/>
    </row>
    <row r="2310" spans="1:7" x14ac:dyDescent="0.35">
      <c r="A2310" t="str">
        <f>"2014-05-01"</f>
        <v>2014-05-01</v>
      </c>
      <c r="B2310" t="str">
        <f>"77.5082"</f>
        <v>77.5082</v>
      </c>
      <c r="C2310">
        <v>2308</v>
      </c>
      <c r="D2310" s="7">
        <v>77.508200000000002</v>
      </c>
      <c r="E2310" s="7">
        <f t="shared" si="72"/>
        <v>178888.92560000002</v>
      </c>
      <c r="F2310" s="7">
        <f t="shared" si="73"/>
        <v>5326864</v>
      </c>
      <c r="G2310" s="7"/>
    </row>
    <row r="2311" spans="1:7" x14ac:dyDescent="0.35">
      <c r="A2311" t="str">
        <f>"2014-05-02"</f>
        <v>2014-05-02</v>
      </c>
      <c r="B2311" t="str">
        <f>"76.5372"</f>
        <v>76.5372</v>
      </c>
      <c r="C2311">
        <v>2309</v>
      </c>
      <c r="D2311" s="7">
        <v>76.537199999999999</v>
      </c>
      <c r="E2311" s="7">
        <f t="shared" si="72"/>
        <v>176724.39480000001</v>
      </c>
      <c r="F2311" s="7">
        <f t="shared" si="73"/>
        <v>5331481</v>
      </c>
      <c r="G2311" s="7"/>
    </row>
    <row r="2312" spans="1:7" x14ac:dyDescent="0.35">
      <c r="A2312" t="str">
        <f>"2014-05-05"</f>
        <v>2014-05-05</v>
      </c>
      <c r="B2312" t="str">
        <f>"75.102"</f>
        <v>75.102</v>
      </c>
      <c r="C2312">
        <v>2310</v>
      </c>
      <c r="D2312" s="7">
        <v>75.102000000000004</v>
      </c>
      <c r="E2312" s="7">
        <f t="shared" si="72"/>
        <v>173485.62</v>
      </c>
      <c r="F2312" s="7">
        <f t="shared" si="73"/>
        <v>5336100</v>
      </c>
      <c r="G2312" s="7"/>
    </row>
    <row r="2313" spans="1:7" x14ac:dyDescent="0.35">
      <c r="A2313" t="str">
        <f>"2014-05-06"</f>
        <v>2014-05-06</v>
      </c>
      <c r="B2313" t="str">
        <f>"75.7663"</f>
        <v>75.7663</v>
      </c>
      <c r="C2313">
        <v>2311</v>
      </c>
      <c r="D2313" s="7">
        <v>75.766300000000001</v>
      </c>
      <c r="E2313" s="7">
        <f t="shared" si="72"/>
        <v>175095.91930000001</v>
      </c>
      <c r="F2313" s="7">
        <f t="shared" si="73"/>
        <v>5340721</v>
      </c>
      <c r="G2313" s="7"/>
    </row>
    <row r="2314" spans="1:7" x14ac:dyDescent="0.35">
      <c r="A2314" t="str">
        <f>"2014-05-07"</f>
        <v>2014-05-07</v>
      </c>
      <c r="B2314" t="str">
        <f>"76.9462"</f>
        <v>76.9462</v>
      </c>
      <c r="C2314">
        <v>2312</v>
      </c>
      <c r="D2314" s="7">
        <v>76.946200000000005</v>
      </c>
      <c r="E2314" s="7">
        <f t="shared" si="72"/>
        <v>177899.61440000002</v>
      </c>
      <c r="F2314" s="7">
        <f t="shared" si="73"/>
        <v>5345344</v>
      </c>
      <c r="G2314" s="7"/>
    </row>
    <row r="2315" spans="1:7" x14ac:dyDescent="0.35">
      <c r="A2315" t="str">
        <f>"2014-05-08"</f>
        <v>2014-05-08</v>
      </c>
      <c r="B2315" t="str">
        <f>"78.4979"</f>
        <v>78.4979</v>
      </c>
      <c r="C2315">
        <v>2313</v>
      </c>
      <c r="D2315" s="7">
        <v>78.497900000000001</v>
      </c>
      <c r="E2315" s="7">
        <f t="shared" si="72"/>
        <v>181565.6427</v>
      </c>
      <c r="F2315" s="7">
        <f t="shared" si="73"/>
        <v>5349969</v>
      </c>
      <c r="G2315" s="7"/>
    </row>
    <row r="2316" spans="1:7" x14ac:dyDescent="0.35">
      <c r="A2316" t="str">
        <f>"2014-05-09"</f>
        <v>2014-05-09</v>
      </c>
      <c r="B2316" t="str">
        <f>"77.9841"</f>
        <v>77.9841</v>
      </c>
      <c r="C2316">
        <v>2314</v>
      </c>
      <c r="D2316" s="7">
        <v>77.984099999999998</v>
      </c>
      <c r="E2316" s="7">
        <f t="shared" si="72"/>
        <v>180455.20739999998</v>
      </c>
      <c r="F2316" s="7">
        <f t="shared" si="73"/>
        <v>5354596</v>
      </c>
      <c r="G2316" s="7"/>
    </row>
    <row r="2317" spans="1:7" x14ac:dyDescent="0.35">
      <c r="A2317" t="str">
        <f>"2014-05-12"</f>
        <v>2014-05-12</v>
      </c>
      <c r="B2317" t="str">
        <f>"78.6634"</f>
        <v>78.6634</v>
      </c>
      <c r="C2317">
        <v>2315</v>
      </c>
      <c r="D2317" s="7">
        <v>78.663399999999996</v>
      </c>
      <c r="E2317" s="7">
        <f t="shared" si="72"/>
        <v>182105.77099999998</v>
      </c>
      <c r="F2317" s="7">
        <f t="shared" si="73"/>
        <v>5359225</v>
      </c>
      <c r="G2317" s="7"/>
    </row>
    <row r="2318" spans="1:7" x14ac:dyDescent="0.35">
      <c r="A2318" t="str">
        <f>"2014-05-13"</f>
        <v>2014-05-13</v>
      </c>
      <c r="B2318" t="str">
        <f>"80.0206"</f>
        <v>80.0206</v>
      </c>
      <c r="C2318">
        <v>2316</v>
      </c>
      <c r="D2318" s="7">
        <v>80.020600000000002</v>
      </c>
      <c r="E2318" s="7">
        <f t="shared" si="72"/>
        <v>185327.7096</v>
      </c>
      <c r="F2318" s="7">
        <f t="shared" si="73"/>
        <v>5363856</v>
      </c>
      <c r="G2318" s="7"/>
    </row>
    <row r="2319" spans="1:7" x14ac:dyDescent="0.35">
      <c r="A2319" t="str">
        <f>"2014-05-14"</f>
        <v>2014-05-14</v>
      </c>
      <c r="B2319" t="str">
        <f>"81.5787"</f>
        <v>81.5787</v>
      </c>
      <c r="C2319">
        <v>2317</v>
      </c>
      <c r="D2319" s="7">
        <v>81.578699999999998</v>
      </c>
      <c r="E2319" s="7">
        <f t="shared" si="72"/>
        <v>189017.84789999999</v>
      </c>
      <c r="F2319" s="7">
        <f t="shared" si="73"/>
        <v>5368489</v>
      </c>
      <c r="G2319" s="7"/>
    </row>
    <row r="2320" spans="1:7" x14ac:dyDescent="0.35">
      <c r="A2320" t="str">
        <f>"2014-05-15"</f>
        <v>2014-05-15</v>
      </c>
      <c r="B2320" t="str">
        <f>"79.7786"</f>
        <v>79.7786</v>
      </c>
      <c r="C2320">
        <v>2318</v>
      </c>
      <c r="D2320" s="7">
        <v>79.778599999999997</v>
      </c>
      <c r="E2320" s="7">
        <f t="shared" si="72"/>
        <v>184926.7948</v>
      </c>
      <c r="F2320" s="7">
        <f t="shared" si="73"/>
        <v>5373124</v>
      </c>
      <c r="G2320" s="7"/>
    </row>
    <row r="2321" spans="1:7" x14ac:dyDescent="0.35">
      <c r="A2321" t="str">
        <f>"2014-05-16"</f>
        <v>2014-05-16</v>
      </c>
      <c r="B2321" t="str">
        <f>"78.974"</f>
        <v>78.974</v>
      </c>
      <c r="C2321">
        <v>2319</v>
      </c>
      <c r="D2321" s="7">
        <v>78.974000000000004</v>
      </c>
      <c r="E2321" s="7">
        <f t="shared" si="72"/>
        <v>183140.70600000001</v>
      </c>
      <c r="F2321" s="7">
        <f t="shared" si="73"/>
        <v>5377761</v>
      </c>
      <c r="G2321" s="7"/>
    </row>
    <row r="2322" spans="1:7" x14ac:dyDescent="0.35">
      <c r="A2322" t="str">
        <f>"2014-05-19"</f>
        <v>2014-05-19</v>
      </c>
      <c r="B2322" t="str">
        <f>"79.0159"</f>
        <v>79.0159</v>
      </c>
      <c r="C2322">
        <v>2320</v>
      </c>
      <c r="D2322" s="7">
        <v>79.015900000000002</v>
      </c>
      <c r="E2322" s="7">
        <f t="shared" si="72"/>
        <v>183316.88800000001</v>
      </c>
      <c r="F2322" s="7">
        <f t="shared" si="73"/>
        <v>5382400</v>
      </c>
      <c r="G2322" s="7"/>
    </row>
    <row r="2323" spans="1:7" x14ac:dyDescent="0.35">
      <c r="A2323" t="str">
        <f>"2014-05-20"</f>
        <v>2014-05-20</v>
      </c>
      <c r="B2323" t="str">
        <f>"78.7912"</f>
        <v>78.7912</v>
      </c>
      <c r="C2323">
        <v>2321</v>
      </c>
      <c r="D2323" s="7">
        <v>78.791200000000003</v>
      </c>
      <c r="E2323" s="7">
        <f t="shared" si="72"/>
        <v>182874.37520000001</v>
      </c>
      <c r="F2323" s="7">
        <f t="shared" si="73"/>
        <v>5387041</v>
      </c>
      <c r="G2323" s="7"/>
    </row>
    <row r="2324" spans="1:7" x14ac:dyDescent="0.35">
      <c r="A2324" t="str">
        <f>"2014-05-21"</f>
        <v>2014-05-21</v>
      </c>
      <c r="B2324" t="str">
        <f>"79.7114"</f>
        <v>79.7114</v>
      </c>
      <c r="C2324">
        <v>2322</v>
      </c>
      <c r="D2324" s="7">
        <v>79.711399999999998</v>
      </c>
      <c r="E2324" s="7">
        <f t="shared" si="72"/>
        <v>185089.8708</v>
      </c>
      <c r="F2324" s="7">
        <f t="shared" si="73"/>
        <v>5391684</v>
      </c>
      <c r="G2324" s="7"/>
    </row>
    <row r="2325" spans="1:7" x14ac:dyDescent="0.35">
      <c r="A2325" t="str">
        <f>"2014-05-22"</f>
        <v>2014-05-22</v>
      </c>
      <c r="B2325" t="str">
        <f>"80.9098"</f>
        <v>80.9098</v>
      </c>
      <c r="C2325">
        <v>2323</v>
      </c>
      <c r="D2325" s="7">
        <v>80.909800000000004</v>
      </c>
      <c r="E2325" s="7">
        <f t="shared" si="72"/>
        <v>187953.46540000002</v>
      </c>
      <c r="F2325" s="7">
        <f t="shared" si="73"/>
        <v>5396329</v>
      </c>
      <c r="G2325" s="7"/>
    </row>
    <row r="2326" spans="1:7" x14ac:dyDescent="0.35">
      <c r="A2326" t="str">
        <f>"2014-05-23"</f>
        <v>2014-05-23</v>
      </c>
      <c r="B2326" t="str">
        <f>"81.5718"</f>
        <v>81.5718</v>
      </c>
      <c r="C2326">
        <v>2324</v>
      </c>
      <c r="D2326" s="7">
        <v>81.571799999999996</v>
      </c>
      <c r="E2326" s="7">
        <f t="shared" si="72"/>
        <v>189572.86319999999</v>
      </c>
      <c r="F2326" s="7">
        <f t="shared" si="73"/>
        <v>5400976</v>
      </c>
      <c r="G2326" s="7"/>
    </row>
    <row r="2327" spans="1:7" x14ac:dyDescent="0.35">
      <c r="A2327" t="str">
        <f>"2014-05-27"</f>
        <v>2014-05-27</v>
      </c>
      <c r="B2327" t="str">
        <f>"83.4508"</f>
        <v>83.4508</v>
      </c>
      <c r="C2327">
        <v>2325</v>
      </c>
      <c r="D2327" s="7">
        <v>83.450800000000001</v>
      </c>
      <c r="E2327" s="7">
        <f t="shared" si="72"/>
        <v>194023.11000000002</v>
      </c>
      <c r="F2327" s="7">
        <f t="shared" si="73"/>
        <v>5405625</v>
      </c>
      <c r="G2327" s="7"/>
    </row>
    <row r="2328" spans="1:7" x14ac:dyDescent="0.35">
      <c r="A2328" t="str">
        <f>"2014-05-28"</f>
        <v>2014-05-28</v>
      </c>
      <c r="B2328" t="str">
        <f>"82.7679"</f>
        <v>82.7679</v>
      </c>
      <c r="C2328">
        <v>2326</v>
      </c>
      <c r="D2328" s="7">
        <v>82.767899999999997</v>
      </c>
      <c r="E2328" s="7">
        <f t="shared" si="72"/>
        <v>192518.1354</v>
      </c>
      <c r="F2328" s="7">
        <f t="shared" si="73"/>
        <v>5410276</v>
      </c>
      <c r="G2328" s="7"/>
    </row>
    <row r="2329" spans="1:7" x14ac:dyDescent="0.35">
      <c r="A2329" t="str">
        <f>"2014-05-29"</f>
        <v>2014-05-29</v>
      </c>
      <c r="B2329" t="str">
        <f>"84.0507"</f>
        <v>84.0507</v>
      </c>
      <c r="C2329">
        <v>2327</v>
      </c>
      <c r="D2329" s="7">
        <v>84.050700000000006</v>
      </c>
      <c r="E2329" s="7">
        <f t="shared" si="72"/>
        <v>195585.97890000002</v>
      </c>
      <c r="F2329" s="7">
        <f t="shared" si="73"/>
        <v>5414929</v>
      </c>
      <c r="G2329" s="7"/>
    </row>
    <row r="2330" spans="1:7" x14ac:dyDescent="0.35">
      <c r="A2330" t="str">
        <f>"2014-05-30"</f>
        <v>2014-05-30</v>
      </c>
      <c r="B2330" t="str">
        <f>"85.3018"</f>
        <v>85.3018</v>
      </c>
      <c r="C2330">
        <v>2328</v>
      </c>
      <c r="D2330" s="7">
        <v>85.3018</v>
      </c>
      <c r="E2330" s="7">
        <f t="shared" si="72"/>
        <v>198582.59039999999</v>
      </c>
      <c r="F2330" s="7">
        <f t="shared" si="73"/>
        <v>5419584</v>
      </c>
      <c r="G2330" s="7"/>
    </row>
    <row r="2331" spans="1:7" x14ac:dyDescent="0.35">
      <c r="A2331" t="str">
        <f>"2014-06-02"</f>
        <v>2014-06-02</v>
      </c>
      <c r="B2331" t="str">
        <f>"85.8127"</f>
        <v>85.8127</v>
      </c>
      <c r="C2331">
        <v>2329</v>
      </c>
      <c r="D2331" s="7">
        <v>85.812700000000007</v>
      </c>
      <c r="E2331" s="7">
        <f t="shared" si="72"/>
        <v>199857.77830000001</v>
      </c>
      <c r="F2331" s="7">
        <f t="shared" si="73"/>
        <v>5424241</v>
      </c>
      <c r="G2331" s="7"/>
    </row>
    <row r="2332" spans="1:7" x14ac:dyDescent="0.35">
      <c r="A2332" t="str">
        <f>"2014-06-03"</f>
        <v>2014-06-03</v>
      </c>
      <c r="B2332" t="str">
        <f>"84.5877"</f>
        <v>84.5877</v>
      </c>
      <c r="C2332">
        <v>2330</v>
      </c>
      <c r="D2332" s="7">
        <v>84.587699999999998</v>
      </c>
      <c r="E2332" s="7">
        <f t="shared" si="72"/>
        <v>197089.34099999999</v>
      </c>
      <c r="F2332" s="7">
        <f t="shared" si="73"/>
        <v>5428900</v>
      </c>
      <c r="G2332" s="7"/>
    </row>
    <row r="2333" spans="1:7" x14ac:dyDescent="0.35">
      <c r="A2333" t="str">
        <f>"2014-06-04"</f>
        <v>2014-06-04</v>
      </c>
      <c r="B2333" t="str">
        <f>"83.1463"</f>
        <v>83.1463</v>
      </c>
      <c r="C2333">
        <v>2331</v>
      </c>
      <c r="D2333" s="7">
        <v>83.146299999999997</v>
      </c>
      <c r="E2333" s="7">
        <f t="shared" si="72"/>
        <v>193814.02529999998</v>
      </c>
      <c r="F2333" s="7">
        <f t="shared" si="73"/>
        <v>5433561</v>
      </c>
      <c r="G2333" s="7"/>
    </row>
    <row r="2334" spans="1:7" x14ac:dyDescent="0.35">
      <c r="A2334" t="str">
        <f>"2014-06-05"</f>
        <v>2014-06-05</v>
      </c>
      <c r="B2334" t="str">
        <f>"83.7072"</f>
        <v>83.7072</v>
      </c>
      <c r="C2334">
        <v>2332</v>
      </c>
      <c r="D2334" s="7">
        <v>83.7072</v>
      </c>
      <c r="E2334" s="7">
        <f t="shared" si="72"/>
        <v>195205.19039999999</v>
      </c>
      <c r="F2334" s="7">
        <f t="shared" si="73"/>
        <v>5438224</v>
      </c>
      <c r="G2334" s="7"/>
    </row>
    <row r="2335" spans="1:7" x14ac:dyDescent="0.35">
      <c r="A2335" t="str">
        <f>"2014-06-06"</f>
        <v>2014-06-06</v>
      </c>
      <c r="B2335" t="str">
        <f>"85.395"</f>
        <v>85.395</v>
      </c>
      <c r="C2335">
        <v>2333</v>
      </c>
      <c r="D2335" s="7">
        <v>85.394999999999996</v>
      </c>
      <c r="E2335" s="7">
        <f t="shared" si="72"/>
        <v>199226.535</v>
      </c>
      <c r="F2335" s="7">
        <f t="shared" si="73"/>
        <v>5442889</v>
      </c>
      <c r="G2335" s="7"/>
    </row>
    <row r="2336" spans="1:7" x14ac:dyDescent="0.35">
      <c r="A2336" t="str">
        <f>"2014-06-09"</f>
        <v>2014-06-09</v>
      </c>
      <c r="B2336" t="str">
        <f>"85.7691"</f>
        <v>85.7691</v>
      </c>
      <c r="C2336">
        <v>2334</v>
      </c>
      <c r="D2336" s="7">
        <v>85.769099999999995</v>
      </c>
      <c r="E2336" s="7">
        <f t="shared" si="72"/>
        <v>200185.07939999999</v>
      </c>
      <c r="F2336" s="7">
        <f t="shared" si="73"/>
        <v>5447556</v>
      </c>
      <c r="G2336" s="7"/>
    </row>
    <row r="2337" spans="1:7" x14ac:dyDescent="0.35">
      <c r="A2337" t="str">
        <f>"2014-06-10"</f>
        <v>2014-06-10</v>
      </c>
      <c r="B2337" t="str">
        <f>"85.1039"</f>
        <v>85.1039</v>
      </c>
      <c r="C2337">
        <v>2335</v>
      </c>
      <c r="D2337" s="7">
        <v>85.103899999999996</v>
      </c>
      <c r="E2337" s="7">
        <f t="shared" si="72"/>
        <v>198717.60649999999</v>
      </c>
      <c r="F2337" s="7">
        <f t="shared" si="73"/>
        <v>5452225</v>
      </c>
      <c r="G2337" s="7"/>
    </row>
    <row r="2338" spans="1:7" x14ac:dyDescent="0.35">
      <c r="A2338" t="str">
        <f>"2014-06-11"</f>
        <v>2014-06-11</v>
      </c>
      <c r="B2338" t="str">
        <f>"81.7701"</f>
        <v>81.7701</v>
      </c>
      <c r="C2338">
        <v>2336</v>
      </c>
      <c r="D2338" s="7">
        <v>81.770099999999999</v>
      </c>
      <c r="E2338" s="7">
        <f t="shared" si="72"/>
        <v>191014.95360000001</v>
      </c>
      <c r="F2338" s="7">
        <f t="shared" si="73"/>
        <v>5456896</v>
      </c>
      <c r="G2338" s="7"/>
    </row>
    <row r="2339" spans="1:7" x14ac:dyDescent="0.35">
      <c r="A2339" t="str">
        <f>"2014-06-12"</f>
        <v>2014-06-12</v>
      </c>
      <c r="B2339" t="str">
        <f>"79.5131"</f>
        <v>79.5131</v>
      </c>
      <c r="C2339">
        <v>2337</v>
      </c>
      <c r="D2339" s="7">
        <v>79.513099999999994</v>
      </c>
      <c r="E2339" s="7">
        <f t="shared" si="72"/>
        <v>185822.11469999998</v>
      </c>
      <c r="F2339" s="7">
        <f t="shared" si="73"/>
        <v>5461569</v>
      </c>
      <c r="G2339" s="7"/>
    </row>
    <row r="2340" spans="1:7" x14ac:dyDescent="0.35">
      <c r="A2340" t="str">
        <f>"2014-06-13"</f>
        <v>2014-06-13</v>
      </c>
      <c r="B2340" t="str">
        <f>"77.1516"</f>
        <v>77.1516</v>
      </c>
      <c r="C2340">
        <v>2338</v>
      </c>
      <c r="D2340" s="7">
        <v>77.151600000000002</v>
      </c>
      <c r="E2340" s="7">
        <f t="shared" si="72"/>
        <v>180380.44080000001</v>
      </c>
      <c r="F2340" s="7">
        <f t="shared" si="73"/>
        <v>5466244</v>
      </c>
      <c r="G2340" s="7"/>
    </row>
    <row r="2341" spans="1:7" x14ac:dyDescent="0.35">
      <c r="A2341" t="str">
        <f>"2014-06-16"</f>
        <v>2014-06-16</v>
      </c>
      <c r="B2341" t="str">
        <f>"76.0691"</f>
        <v>76.0691</v>
      </c>
      <c r="C2341">
        <v>2339</v>
      </c>
      <c r="D2341" s="7">
        <v>76.069100000000006</v>
      </c>
      <c r="E2341" s="7">
        <f t="shared" si="72"/>
        <v>177925.62490000002</v>
      </c>
      <c r="F2341" s="7">
        <f t="shared" si="73"/>
        <v>5470921</v>
      </c>
      <c r="G2341" s="7"/>
    </row>
    <row r="2342" spans="1:7" x14ac:dyDescent="0.35">
      <c r="A2342" t="str">
        <f>"2014-06-17"</f>
        <v>2014-06-17</v>
      </c>
      <c r="B2342" t="str">
        <f>"76.0298"</f>
        <v>76.0298</v>
      </c>
      <c r="C2342">
        <v>2340</v>
      </c>
      <c r="D2342" s="7">
        <v>76.029799999999994</v>
      </c>
      <c r="E2342" s="7">
        <f t="shared" si="72"/>
        <v>177909.73199999999</v>
      </c>
      <c r="F2342" s="7">
        <f t="shared" si="73"/>
        <v>5475600</v>
      </c>
      <c r="G2342" s="7"/>
    </row>
    <row r="2343" spans="1:7" x14ac:dyDescent="0.35">
      <c r="A2343" t="str">
        <f>"2014-06-18"</f>
        <v>2014-06-18</v>
      </c>
      <c r="B2343" t="str">
        <f>"76.098"</f>
        <v>76.098</v>
      </c>
      <c r="C2343">
        <v>2341</v>
      </c>
      <c r="D2343" s="7">
        <v>76.097999999999999</v>
      </c>
      <c r="E2343" s="7">
        <f t="shared" si="72"/>
        <v>178145.41800000001</v>
      </c>
      <c r="F2343" s="7">
        <f t="shared" si="73"/>
        <v>5480281</v>
      </c>
      <c r="G2343" s="7"/>
    </row>
    <row r="2344" spans="1:7" x14ac:dyDescent="0.35">
      <c r="A2344" t="str">
        <f>"2014-06-19"</f>
        <v>2014-06-19</v>
      </c>
      <c r="B2344" t="str">
        <f>"74.7089"</f>
        <v>74.7089</v>
      </c>
      <c r="C2344">
        <v>2342</v>
      </c>
      <c r="D2344" s="7">
        <v>74.7089</v>
      </c>
      <c r="E2344" s="7">
        <f t="shared" si="72"/>
        <v>174968.2438</v>
      </c>
      <c r="F2344" s="7">
        <f t="shared" si="73"/>
        <v>5484964</v>
      </c>
      <c r="G2344" s="7"/>
    </row>
    <row r="2345" spans="1:7" x14ac:dyDescent="0.35">
      <c r="A2345" t="str">
        <f>"2014-06-20"</f>
        <v>2014-06-20</v>
      </c>
      <c r="B2345" t="str">
        <f>"73.3174"</f>
        <v>73.3174</v>
      </c>
      <c r="C2345">
        <v>2343</v>
      </c>
      <c r="D2345" s="7">
        <v>73.317400000000006</v>
      </c>
      <c r="E2345" s="7">
        <f t="shared" si="72"/>
        <v>171782.66820000001</v>
      </c>
      <c r="F2345" s="7">
        <f t="shared" si="73"/>
        <v>5489649</v>
      </c>
      <c r="G2345" s="7"/>
    </row>
    <row r="2346" spans="1:7" x14ac:dyDescent="0.35">
      <c r="A2346" t="str">
        <f>"2014-06-23"</f>
        <v>2014-06-23</v>
      </c>
      <c r="B2346" t="str">
        <f>"73.1247"</f>
        <v>73.1247</v>
      </c>
      <c r="C2346">
        <v>2344</v>
      </c>
      <c r="D2346" s="7">
        <v>73.124700000000004</v>
      </c>
      <c r="E2346" s="7">
        <f t="shared" si="72"/>
        <v>171404.29680000001</v>
      </c>
      <c r="F2346" s="7">
        <f t="shared" si="73"/>
        <v>5494336</v>
      </c>
      <c r="G2346" s="7"/>
    </row>
    <row r="2347" spans="1:7" x14ac:dyDescent="0.35">
      <c r="A2347" t="str">
        <f>"2014-06-24"</f>
        <v>2014-06-24</v>
      </c>
      <c r="B2347" t="str">
        <f>"72.7715"</f>
        <v>72.7715</v>
      </c>
      <c r="C2347">
        <v>2345</v>
      </c>
      <c r="D2347" s="7">
        <v>72.771500000000003</v>
      </c>
      <c r="E2347" s="7">
        <f t="shared" si="72"/>
        <v>170649.16750000001</v>
      </c>
      <c r="F2347" s="7">
        <f t="shared" si="73"/>
        <v>5499025</v>
      </c>
      <c r="G2347" s="7"/>
    </row>
    <row r="2348" spans="1:7" x14ac:dyDescent="0.35">
      <c r="A2348" t="str">
        <f>"2014-06-25"</f>
        <v>2014-06-25</v>
      </c>
      <c r="B2348" t="str">
        <f>"72.8333"</f>
        <v>72.8333</v>
      </c>
      <c r="C2348">
        <v>2346</v>
      </c>
      <c r="D2348" s="7">
        <v>72.833299999999994</v>
      </c>
      <c r="E2348" s="7">
        <f t="shared" si="72"/>
        <v>170866.92179999998</v>
      </c>
      <c r="F2348" s="7">
        <f t="shared" si="73"/>
        <v>5503716</v>
      </c>
      <c r="G2348" s="7"/>
    </row>
    <row r="2349" spans="1:7" x14ac:dyDescent="0.35">
      <c r="A2349" t="str">
        <f>"2014-06-26"</f>
        <v>2014-06-26</v>
      </c>
      <c r="B2349" t="str">
        <f>"72.6923"</f>
        <v>72.6923</v>
      </c>
      <c r="C2349">
        <v>2347</v>
      </c>
      <c r="D2349" s="7">
        <v>72.692300000000003</v>
      </c>
      <c r="E2349" s="7">
        <f t="shared" si="72"/>
        <v>170608.82810000001</v>
      </c>
      <c r="F2349" s="7">
        <f t="shared" si="73"/>
        <v>5508409</v>
      </c>
      <c r="G2349" s="7"/>
    </row>
    <row r="2350" spans="1:7" x14ac:dyDescent="0.35">
      <c r="A2350" t="str">
        <f>"2014-06-27"</f>
        <v>2014-06-27</v>
      </c>
      <c r="B2350" t="str">
        <f>"72.7905"</f>
        <v>72.7905</v>
      </c>
      <c r="C2350">
        <v>2348</v>
      </c>
      <c r="D2350" s="7">
        <v>72.790499999999994</v>
      </c>
      <c r="E2350" s="7">
        <f t="shared" si="72"/>
        <v>170912.09399999998</v>
      </c>
      <c r="F2350" s="7">
        <f t="shared" si="73"/>
        <v>5513104</v>
      </c>
      <c r="G2350" s="7"/>
    </row>
    <row r="2351" spans="1:7" x14ac:dyDescent="0.35">
      <c r="A2351" t="str">
        <f>"2014-06-30"</f>
        <v>2014-06-30</v>
      </c>
      <c r="B2351" t="str">
        <f>"71.9181"</f>
        <v>71.9181</v>
      </c>
      <c r="C2351">
        <v>2349</v>
      </c>
      <c r="D2351" s="7">
        <v>71.918099999999995</v>
      </c>
      <c r="E2351" s="7">
        <f t="shared" si="72"/>
        <v>168935.61689999999</v>
      </c>
      <c r="F2351" s="7">
        <f t="shared" si="73"/>
        <v>5517801</v>
      </c>
      <c r="G2351" s="7"/>
    </row>
    <row r="2352" spans="1:7" x14ac:dyDescent="0.35">
      <c r="A2352" t="str">
        <f>"2014-07-01"</f>
        <v>2014-07-01</v>
      </c>
      <c r="B2352" t="str">
        <f>"70.2169"</f>
        <v>70.2169</v>
      </c>
      <c r="C2352">
        <v>2350</v>
      </c>
      <c r="D2352" s="7">
        <v>70.216899999999995</v>
      </c>
      <c r="E2352" s="7">
        <f t="shared" si="72"/>
        <v>165009.715</v>
      </c>
      <c r="F2352" s="7">
        <f t="shared" si="73"/>
        <v>5522500</v>
      </c>
      <c r="G2352" s="7"/>
    </row>
    <row r="2353" spans="1:7" x14ac:dyDescent="0.35">
      <c r="A2353" t="str">
        <f>"2014-07-02"</f>
        <v>2014-07-02</v>
      </c>
      <c r="B2353" t="str">
        <f>"69.6358"</f>
        <v>69.6358</v>
      </c>
      <c r="C2353">
        <v>2351</v>
      </c>
      <c r="D2353" s="7">
        <v>69.635800000000003</v>
      </c>
      <c r="E2353" s="7">
        <f t="shared" si="72"/>
        <v>163713.76579999999</v>
      </c>
      <c r="F2353" s="7">
        <f t="shared" si="73"/>
        <v>5527201</v>
      </c>
      <c r="G2353" s="7"/>
    </row>
    <row r="2354" spans="1:7" x14ac:dyDescent="0.35">
      <c r="A2354" t="str">
        <f>"2014-07-03"</f>
        <v>2014-07-03</v>
      </c>
      <c r="B2354" t="str">
        <f>"71.7969"</f>
        <v>71.7969</v>
      </c>
      <c r="C2354">
        <v>2352</v>
      </c>
      <c r="D2354" s="7">
        <v>71.796899999999994</v>
      </c>
      <c r="E2354" s="7">
        <f t="shared" si="72"/>
        <v>168866.3088</v>
      </c>
      <c r="F2354" s="7">
        <f t="shared" si="73"/>
        <v>5531904</v>
      </c>
      <c r="G2354" s="7"/>
    </row>
    <row r="2355" spans="1:7" x14ac:dyDescent="0.35">
      <c r="A2355" t="str">
        <f>"2014-07-07"</f>
        <v>2014-07-07</v>
      </c>
      <c r="B2355" t="str">
        <f>"73.3565"</f>
        <v>73.3565</v>
      </c>
      <c r="C2355">
        <v>2353</v>
      </c>
      <c r="D2355" s="7">
        <v>73.356499999999997</v>
      </c>
      <c r="E2355" s="7">
        <f t="shared" si="72"/>
        <v>172607.84450000001</v>
      </c>
      <c r="F2355" s="7">
        <f t="shared" si="73"/>
        <v>5536609</v>
      </c>
      <c r="G2355" s="7"/>
    </row>
    <row r="2356" spans="1:7" x14ac:dyDescent="0.35">
      <c r="A2356" t="str">
        <f>"2014-07-08"</f>
        <v>2014-07-08</v>
      </c>
      <c r="B2356" t="str">
        <f>"72.2881"</f>
        <v>72.2881</v>
      </c>
      <c r="C2356">
        <v>2354</v>
      </c>
      <c r="D2356" s="7">
        <v>72.2881</v>
      </c>
      <c r="E2356" s="7">
        <f t="shared" si="72"/>
        <v>170166.1874</v>
      </c>
      <c r="F2356" s="7">
        <f t="shared" si="73"/>
        <v>5541316</v>
      </c>
      <c r="G2356" s="7"/>
    </row>
    <row r="2357" spans="1:7" x14ac:dyDescent="0.35">
      <c r="A2357" t="str">
        <f>"2014-07-09"</f>
        <v>2014-07-09</v>
      </c>
      <c r="B2357" t="str">
        <f>"73.8974"</f>
        <v>73.8974</v>
      </c>
      <c r="C2357">
        <v>2355</v>
      </c>
      <c r="D2357" s="7">
        <v>73.897400000000005</v>
      </c>
      <c r="E2357" s="7">
        <f t="shared" si="72"/>
        <v>174028.37700000001</v>
      </c>
      <c r="F2357" s="7">
        <f t="shared" si="73"/>
        <v>5546025</v>
      </c>
      <c r="G2357" s="7"/>
    </row>
    <row r="2358" spans="1:7" x14ac:dyDescent="0.35">
      <c r="A2358" t="str">
        <f>"2014-07-10"</f>
        <v>2014-07-10</v>
      </c>
      <c r="B2358" t="str">
        <f>"72.5077"</f>
        <v>72.5077</v>
      </c>
      <c r="C2358">
        <v>2356</v>
      </c>
      <c r="D2358" s="7">
        <v>72.5077</v>
      </c>
      <c r="E2358" s="7">
        <f t="shared" si="72"/>
        <v>170828.14120000001</v>
      </c>
      <c r="F2358" s="7">
        <f t="shared" si="73"/>
        <v>5550736</v>
      </c>
      <c r="G2358" s="7"/>
    </row>
    <row r="2359" spans="1:7" x14ac:dyDescent="0.35">
      <c r="A2359" t="str">
        <f>"2014-07-11"</f>
        <v>2014-07-11</v>
      </c>
      <c r="B2359" t="str">
        <f>"73.9771"</f>
        <v>73.9771</v>
      </c>
      <c r="C2359">
        <v>2357</v>
      </c>
      <c r="D2359" s="7">
        <v>73.977099999999993</v>
      </c>
      <c r="E2359" s="7">
        <f t="shared" si="72"/>
        <v>174364.02469999998</v>
      </c>
      <c r="F2359" s="7">
        <f t="shared" si="73"/>
        <v>5555449</v>
      </c>
      <c r="G2359" s="7"/>
    </row>
    <row r="2360" spans="1:7" x14ac:dyDescent="0.35">
      <c r="A2360" t="str">
        <f>"2014-07-14"</f>
        <v>2014-07-14</v>
      </c>
      <c r="B2360" t="str">
        <f>"76.1835"</f>
        <v>76.1835</v>
      </c>
      <c r="C2360">
        <v>2358</v>
      </c>
      <c r="D2360" s="7">
        <v>76.183499999999995</v>
      </c>
      <c r="E2360" s="7">
        <f t="shared" si="72"/>
        <v>179640.693</v>
      </c>
      <c r="F2360" s="7">
        <f t="shared" si="73"/>
        <v>5560164</v>
      </c>
      <c r="G2360" s="7"/>
    </row>
    <row r="2361" spans="1:7" x14ac:dyDescent="0.35">
      <c r="A2361" t="str">
        <f>"2014-07-15"</f>
        <v>2014-07-15</v>
      </c>
      <c r="B2361" t="str">
        <f>"77.4126"</f>
        <v>77.4126</v>
      </c>
      <c r="C2361">
        <v>2359</v>
      </c>
      <c r="D2361" s="7">
        <v>77.412599999999998</v>
      </c>
      <c r="E2361" s="7">
        <f t="shared" si="72"/>
        <v>182616.32339999999</v>
      </c>
      <c r="F2361" s="7">
        <f t="shared" si="73"/>
        <v>5564881</v>
      </c>
      <c r="G2361" s="7"/>
    </row>
    <row r="2362" spans="1:7" x14ac:dyDescent="0.35">
      <c r="A2362" t="str">
        <f>"2014-07-16"</f>
        <v>2014-07-16</v>
      </c>
      <c r="B2362" t="str">
        <f>"76.8699"</f>
        <v>76.8699</v>
      </c>
      <c r="C2362">
        <v>2360</v>
      </c>
      <c r="D2362" s="7">
        <v>76.869900000000001</v>
      </c>
      <c r="E2362" s="7">
        <f t="shared" si="72"/>
        <v>181412.96400000001</v>
      </c>
      <c r="F2362" s="7">
        <f t="shared" si="73"/>
        <v>5569600</v>
      </c>
      <c r="G2362" s="7"/>
    </row>
    <row r="2363" spans="1:7" x14ac:dyDescent="0.35">
      <c r="A2363" t="str">
        <f>"2014-07-17"</f>
        <v>2014-07-17</v>
      </c>
      <c r="B2363" t="str">
        <f>"75.0841"</f>
        <v>75.0841</v>
      </c>
      <c r="C2363">
        <v>2361</v>
      </c>
      <c r="D2363" s="7">
        <v>75.084100000000007</v>
      </c>
      <c r="E2363" s="7">
        <f t="shared" si="72"/>
        <v>177273.5601</v>
      </c>
      <c r="F2363" s="7">
        <f t="shared" si="73"/>
        <v>5574321</v>
      </c>
      <c r="G2363" s="7"/>
    </row>
    <row r="2364" spans="1:7" x14ac:dyDescent="0.35">
      <c r="A2364" t="str">
        <f>"2014-07-18"</f>
        <v>2014-07-18</v>
      </c>
      <c r="B2364" t="str">
        <f>"73.6105"</f>
        <v>73.6105</v>
      </c>
      <c r="C2364">
        <v>2362</v>
      </c>
      <c r="D2364" s="7">
        <v>73.610500000000002</v>
      </c>
      <c r="E2364" s="7">
        <f t="shared" si="72"/>
        <v>173868.00100000002</v>
      </c>
      <c r="F2364" s="7">
        <f t="shared" si="73"/>
        <v>5579044</v>
      </c>
      <c r="G2364" s="7"/>
    </row>
    <row r="2365" spans="1:7" x14ac:dyDescent="0.35">
      <c r="A2365" t="str">
        <f>"2014-07-21"</f>
        <v>2014-07-21</v>
      </c>
      <c r="B2365" t="str">
        <f>"73.7661"</f>
        <v>73.7661</v>
      </c>
      <c r="C2365">
        <v>2363</v>
      </c>
      <c r="D2365" s="7">
        <v>73.766099999999994</v>
      </c>
      <c r="E2365" s="7">
        <f t="shared" si="72"/>
        <v>174309.29429999998</v>
      </c>
      <c r="F2365" s="7">
        <f t="shared" si="73"/>
        <v>5583769</v>
      </c>
      <c r="G2365" s="7"/>
    </row>
    <row r="2366" spans="1:7" x14ac:dyDescent="0.35">
      <c r="A2366" t="str">
        <f>"2014-07-22"</f>
        <v>2014-07-22</v>
      </c>
      <c r="B2366" t="str">
        <f>"74.7818"</f>
        <v>74.7818</v>
      </c>
      <c r="C2366">
        <v>2364</v>
      </c>
      <c r="D2366" s="7">
        <v>74.781800000000004</v>
      </c>
      <c r="E2366" s="7">
        <f t="shared" si="72"/>
        <v>176784.1752</v>
      </c>
      <c r="F2366" s="7">
        <f t="shared" si="73"/>
        <v>5588496</v>
      </c>
      <c r="G2366" s="7"/>
    </row>
    <row r="2367" spans="1:7" x14ac:dyDescent="0.35">
      <c r="A2367" t="str">
        <f>"2014-07-23"</f>
        <v>2014-07-23</v>
      </c>
      <c r="B2367" t="str">
        <f>"75.2931"</f>
        <v>75.2931</v>
      </c>
      <c r="C2367">
        <v>2365</v>
      </c>
      <c r="D2367" s="7">
        <v>75.293099999999995</v>
      </c>
      <c r="E2367" s="7">
        <f t="shared" si="72"/>
        <v>178068.18149999998</v>
      </c>
      <c r="F2367" s="7">
        <f t="shared" si="73"/>
        <v>5593225</v>
      </c>
      <c r="G2367" s="7"/>
    </row>
    <row r="2368" spans="1:7" x14ac:dyDescent="0.35">
      <c r="A2368" t="str">
        <f>"2014-07-24"</f>
        <v>2014-07-24</v>
      </c>
      <c r="B2368" t="str">
        <f>"76.7708"</f>
        <v>76.7708</v>
      </c>
      <c r="C2368">
        <v>2366</v>
      </c>
      <c r="D2368" s="7">
        <v>76.770799999999994</v>
      </c>
      <c r="E2368" s="7">
        <f t="shared" si="72"/>
        <v>181639.71279999998</v>
      </c>
      <c r="F2368" s="7">
        <f t="shared" si="73"/>
        <v>5597956</v>
      </c>
      <c r="G2368" s="7"/>
    </row>
    <row r="2369" spans="1:7" x14ac:dyDescent="0.35">
      <c r="A2369" t="str">
        <f>"2014-07-25"</f>
        <v>2014-07-25</v>
      </c>
      <c r="B2369" t="str">
        <f>"75.595"</f>
        <v>75.595</v>
      </c>
      <c r="C2369">
        <v>2367</v>
      </c>
      <c r="D2369" s="7">
        <v>75.594999999999999</v>
      </c>
      <c r="E2369" s="7">
        <f t="shared" si="72"/>
        <v>178933.36499999999</v>
      </c>
      <c r="F2369" s="7">
        <f t="shared" si="73"/>
        <v>5602689</v>
      </c>
      <c r="G2369" s="7"/>
    </row>
    <row r="2370" spans="1:7" x14ac:dyDescent="0.35">
      <c r="A2370" t="str">
        <f>"2014-07-28"</f>
        <v>2014-07-28</v>
      </c>
      <c r="B2370" t="str">
        <f>"75.4802"</f>
        <v>75.4802</v>
      </c>
      <c r="C2370">
        <v>2368</v>
      </c>
      <c r="D2370" s="7">
        <v>75.480199999999996</v>
      </c>
      <c r="E2370" s="7">
        <f t="shared" si="72"/>
        <v>178737.11359999998</v>
      </c>
      <c r="F2370" s="7">
        <f t="shared" si="73"/>
        <v>5607424</v>
      </c>
      <c r="G2370" s="7"/>
    </row>
    <row r="2371" spans="1:7" x14ac:dyDescent="0.35">
      <c r="A2371" t="str">
        <f>"2014-07-29"</f>
        <v>2014-07-29</v>
      </c>
      <c r="B2371" t="str">
        <f>"75.5874"</f>
        <v>75.5874</v>
      </c>
      <c r="C2371">
        <v>2369</v>
      </c>
      <c r="D2371" s="7">
        <v>75.587400000000002</v>
      </c>
      <c r="E2371" s="7">
        <f t="shared" si="72"/>
        <v>179066.55060000002</v>
      </c>
      <c r="F2371" s="7">
        <f t="shared" si="73"/>
        <v>5612161</v>
      </c>
      <c r="G2371" s="7"/>
    </row>
    <row r="2372" spans="1:7" x14ac:dyDescent="0.35">
      <c r="A2372" t="str">
        <f>"2014-07-30"</f>
        <v>2014-07-30</v>
      </c>
      <c r="B2372" t="str">
        <f>"75.2825"</f>
        <v>75.2825</v>
      </c>
      <c r="C2372">
        <v>2370</v>
      </c>
      <c r="D2372" s="7">
        <v>75.282499999999999</v>
      </c>
      <c r="E2372" s="7">
        <f t="shared" ref="E2372:E2435" si="74">C2372*D2372</f>
        <v>178419.52499999999</v>
      </c>
      <c r="F2372" s="7">
        <f t="shared" ref="F2372:F2435" si="75">C2372*C2372</f>
        <v>5616900</v>
      </c>
      <c r="G2372" s="7"/>
    </row>
    <row r="2373" spans="1:7" x14ac:dyDescent="0.35">
      <c r="A2373" t="str">
        <f>"2014-07-31"</f>
        <v>2014-07-31</v>
      </c>
      <c r="B2373" t="str">
        <f>"73.4614"</f>
        <v>73.4614</v>
      </c>
      <c r="C2373">
        <v>2371</v>
      </c>
      <c r="D2373" s="7">
        <v>73.461399999999998</v>
      </c>
      <c r="E2373" s="7">
        <f t="shared" si="74"/>
        <v>174176.97939999998</v>
      </c>
      <c r="F2373" s="7">
        <f t="shared" si="75"/>
        <v>5621641</v>
      </c>
      <c r="G2373" s="7"/>
    </row>
    <row r="2374" spans="1:7" x14ac:dyDescent="0.35">
      <c r="A2374" t="str">
        <f>"2014-08-01"</f>
        <v>2014-08-01</v>
      </c>
      <c r="B2374" t="str">
        <f>"72.0177"</f>
        <v>72.0177</v>
      </c>
      <c r="C2374">
        <v>2372</v>
      </c>
      <c r="D2374" s="7">
        <v>72.017700000000005</v>
      </c>
      <c r="E2374" s="7">
        <f t="shared" si="74"/>
        <v>170825.98440000002</v>
      </c>
      <c r="F2374" s="7">
        <f t="shared" si="75"/>
        <v>5626384</v>
      </c>
      <c r="G2374" s="7"/>
    </row>
    <row r="2375" spans="1:7" x14ac:dyDescent="0.35">
      <c r="A2375" t="str">
        <f>"2014-08-04"</f>
        <v>2014-08-04</v>
      </c>
      <c r="B2375" t="str">
        <f>"73.1299"</f>
        <v>73.1299</v>
      </c>
      <c r="C2375">
        <v>2373</v>
      </c>
      <c r="D2375" s="7">
        <v>73.129900000000006</v>
      </c>
      <c r="E2375" s="7">
        <f t="shared" si="74"/>
        <v>173537.25270000001</v>
      </c>
      <c r="F2375" s="7">
        <f t="shared" si="75"/>
        <v>5631129</v>
      </c>
      <c r="G2375" s="7"/>
    </row>
    <row r="2376" spans="1:7" x14ac:dyDescent="0.35">
      <c r="A2376" t="str">
        <f>"2014-08-05"</f>
        <v>2014-08-05</v>
      </c>
      <c r="B2376" t="str">
        <f>"73.4782"</f>
        <v>73.4782</v>
      </c>
      <c r="C2376">
        <v>2374</v>
      </c>
      <c r="D2376" s="7">
        <v>73.478200000000001</v>
      </c>
      <c r="E2376" s="7">
        <f t="shared" si="74"/>
        <v>174437.24679999999</v>
      </c>
      <c r="F2376" s="7">
        <f t="shared" si="75"/>
        <v>5635876</v>
      </c>
      <c r="G2376" s="7"/>
    </row>
    <row r="2377" spans="1:7" x14ac:dyDescent="0.35">
      <c r="A2377" t="str">
        <f>"2014-08-06"</f>
        <v>2014-08-06</v>
      </c>
      <c r="B2377" t="str">
        <f>"70.4741"</f>
        <v>70.4741</v>
      </c>
      <c r="C2377">
        <v>2375</v>
      </c>
      <c r="D2377" s="7">
        <v>70.474100000000007</v>
      </c>
      <c r="E2377" s="7">
        <f t="shared" si="74"/>
        <v>167375.98750000002</v>
      </c>
      <c r="F2377" s="7">
        <f t="shared" si="75"/>
        <v>5640625</v>
      </c>
      <c r="G2377" s="7"/>
    </row>
    <row r="2378" spans="1:7" x14ac:dyDescent="0.35">
      <c r="A2378" t="str">
        <f>"2014-08-07"</f>
        <v>2014-08-07</v>
      </c>
      <c r="B2378" t="str">
        <f>"69.3659"</f>
        <v>69.3659</v>
      </c>
      <c r="C2378">
        <v>2376</v>
      </c>
      <c r="D2378" s="7">
        <v>69.365899999999996</v>
      </c>
      <c r="E2378" s="7">
        <f t="shared" si="74"/>
        <v>164813.37839999999</v>
      </c>
      <c r="F2378" s="7">
        <f t="shared" si="75"/>
        <v>5645376</v>
      </c>
      <c r="G2378" s="7"/>
    </row>
    <row r="2379" spans="1:7" x14ac:dyDescent="0.35">
      <c r="A2379" t="str">
        <f>"2014-08-08"</f>
        <v>2014-08-08</v>
      </c>
      <c r="B2379" t="str">
        <f>"69.167"</f>
        <v>69.167</v>
      </c>
      <c r="C2379">
        <v>2377</v>
      </c>
      <c r="D2379" s="7">
        <v>69.167000000000002</v>
      </c>
      <c r="E2379" s="7">
        <f t="shared" si="74"/>
        <v>164409.959</v>
      </c>
      <c r="F2379" s="7">
        <f t="shared" si="75"/>
        <v>5650129</v>
      </c>
      <c r="G2379" s="7"/>
    </row>
    <row r="2380" spans="1:7" x14ac:dyDescent="0.35">
      <c r="A2380" t="str">
        <f>"2014-08-11"</f>
        <v>2014-08-11</v>
      </c>
      <c r="B2380" t="str">
        <f>"68.6223"</f>
        <v>68.6223</v>
      </c>
      <c r="C2380">
        <v>2378</v>
      </c>
      <c r="D2380" s="7">
        <v>68.622299999999996</v>
      </c>
      <c r="E2380" s="7">
        <f t="shared" si="74"/>
        <v>163183.82939999999</v>
      </c>
      <c r="F2380" s="7">
        <f t="shared" si="75"/>
        <v>5654884</v>
      </c>
      <c r="G2380" s="7"/>
    </row>
    <row r="2381" spans="1:7" x14ac:dyDescent="0.35">
      <c r="A2381" t="str">
        <f>"2014-08-12"</f>
        <v>2014-08-12</v>
      </c>
      <c r="B2381" t="str">
        <f>"69.1107"</f>
        <v>69.1107</v>
      </c>
      <c r="C2381">
        <v>2379</v>
      </c>
      <c r="D2381" s="7">
        <v>69.110699999999994</v>
      </c>
      <c r="E2381" s="7">
        <f t="shared" si="74"/>
        <v>164414.3553</v>
      </c>
      <c r="F2381" s="7">
        <f t="shared" si="75"/>
        <v>5659641</v>
      </c>
      <c r="G2381" s="7"/>
    </row>
    <row r="2382" spans="1:7" x14ac:dyDescent="0.35">
      <c r="A2382" t="str">
        <f>"2014-08-13"</f>
        <v>2014-08-13</v>
      </c>
      <c r="B2382" t="str">
        <f>"69.2113"</f>
        <v>69.2113</v>
      </c>
      <c r="C2382">
        <v>2380</v>
      </c>
      <c r="D2382" s="7">
        <v>69.211299999999994</v>
      </c>
      <c r="E2382" s="7">
        <f t="shared" si="74"/>
        <v>164722.894</v>
      </c>
      <c r="F2382" s="7">
        <f t="shared" si="75"/>
        <v>5664400</v>
      </c>
      <c r="G2382" s="7"/>
    </row>
    <row r="2383" spans="1:7" x14ac:dyDescent="0.35">
      <c r="A2383" t="str">
        <f>"2014-08-14"</f>
        <v>2014-08-14</v>
      </c>
      <c r="B2383" t="str">
        <f>"68.7603"</f>
        <v>68.7603</v>
      </c>
      <c r="C2383">
        <v>2381</v>
      </c>
      <c r="D2383" s="7">
        <v>68.760300000000001</v>
      </c>
      <c r="E2383" s="7">
        <f t="shared" si="74"/>
        <v>163718.27429999999</v>
      </c>
      <c r="F2383" s="7">
        <f t="shared" si="75"/>
        <v>5669161</v>
      </c>
      <c r="G2383" s="7"/>
    </row>
    <row r="2384" spans="1:7" x14ac:dyDescent="0.35">
      <c r="A2384" t="str">
        <f>"2014-08-15"</f>
        <v>2014-08-15</v>
      </c>
      <c r="B2384" t="str">
        <f>"67.3613"</f>
        <v>67.3613</v>
      </c>
      <c r="C2384">
        <v>2382</v>
      </c>
      <c r="D2384" s="7">
        <v>67.3613</v>
      </c>
      <c r="E2384" s="7">
        <f t="shared" si="74"/>
        <v>160454.61660000001</v>
      </c>
      <c r="F2384" s="7">
        <f t="shared" si="75"/>
        <v>5673924</v>
      </c>
      <c r="G2384" s="7"/>
    </row>
    <row r="2385" spans="1:7" x14ac:dyDescent="0.35">
      <c r="A2385" t="str">
        <f>"2014-08-18"</f>
        <v>2014-08-18</v>
      </c>
      <c r="B2385" t="str">
        <f>"69.72"</f>
        <v>69.72</v>
      </c>
      <c r="C2385">
        <v>2383</v>
      </c>
      <c r="D2385" s="7">
        <v>69.72</v>
      </c>
      <c r="E2385" s="7">
        <f t="shared" si="74"/>
        <v>166142.76</v>
      </c>
      <c r="F2385" s="7">
        <f t="shared" si="75"/>
        <v>5678689</v>
      </c>
      <c r="G2385" s="7"/>
    </row>
    <row r="2386" spans="1:7" x14ac:dyDescent="0.35">
      <c r="A2386" t="str">
        <f>"2014-08-19"</f>
        <v>2014-08-19</v>
      </c>
      <c r="B2386" t="str">
        <f>"71.4926"</f>
        <v>71.4926</v>
      </c>
      <c r="C2386">
        <v>2384</v>
      </c>
      <c r="D2386" s="7">
        <v>71.492599999999996</v>
      </c>
      <c r="E2386" s="7">
        <f t="shared" si="74"/>
        <v>170438.3584</v>
      </c>
      <c r="F2386" s="7">
        <f t="shared" si="75"/>
        <v>5683456</v>
      </c>
      <c r="G2386" s="7"/>
    </row>
    <row r="2387" spans="1:7" x14ac:dyDescent="0.35">
      <c r="A2387" t="str">
        <f>"2014-08-20"</f>
        <v>2014-08-20</v>
      </c>
      <c r="B2387" t="str">
        <f>"75.7264"</f>
        <v>75.7264</v>
      </c>
      <c r="C2387">
        <v>2385</v>
      </c>
      <c r="D2387" s="7">
        <v>75.726399999999998</v>
      </c>
      <c r="E2387" s="7">
        <f t="shared" si="74"/>
        <v>180607.46400000001</v>
      </c>
      <c r="F2387" s="7">
        <f t="shared" si="75"/>
        <v>5688225</v>
      </c>
      <c r="G2387" s="7"/>
    </row>
    <row r="2388" spans="1:7" x14ac:dyDescent="0.35">
      <c r="A2388" t="str">
        <f>"2014-08-21"</f>
        <v>2014-08-21</v>
      </c>
      <c r="B2388" t="str">
        <f>"75.8619"</f>
        <v>75.8619</v>
      </c>
      <c r="C2388">
        <v>2386</v>
      </c>
      <c r="D2388" s="7">
        <v>75.861900000000006</v>
      </c>
      <c r="E2388" s="7">
        <f t="shared" si="74"/>
        <v>181006.49340000001</v>
      </c>
      <c r="F2388" s="7">
        <f t="shared" si="75"/>
        <v>5692996</v>
      </c>
      <c r="G2388" s="7"/>
    </row>
    <row r="2389" spans="1:7" x14ac:dyDescent="0.35">
      <c r="A2389" t="str">
        <f>"2014-08-22"</f>
        <v>2014-08-22</v>
      </c>
      <c r="B2389" t="str">
        <f>"75.9957"</f>
        <v>75.9957</v>
      </c>
      <c r="C2389">
        <v>2387</v>
      </c>
      <c r="D2389" s="7">
        <v>75.995699999999999</v>
      </c>
      <c r="E2389" s="7">
        <f t="shared" si="74"/>
        <v>181401.7359</v>
      </c>
      <c r="F2389" s="7">
        <f t="shared" si="75"/>
        <v>5697769</v>
      </c>
      <c r="G2389" s="7"/>
    </row>
    <row r="2390" spans="1:7" x14ac:dyDescent="0.35">
      <c r="A2390" t="str">
        <f>"2014-08-25"</f>
        <v>2014-08-25</v>
      </c>
      <c r="B2390" t="str">
        <f>"77.5477"</f>
        <v>77.5477</v>
      </c>
      <c r="C2390">
        <v>2388</v>
      </c>
      <c r="D2390" s="7">
        <v>77.547700000000006</v>
      </c>
      <c r="E2390" s="7">
        <f t="shared" si="74"/>
        <v>185183.90760000001</v>
      </c>
      <c r="F2390" s="7">
        <f t="shared" si="75"/>
        <v>5702544</v>
      </c>
      <c r="G2390" s="7"/>
    </row>
    <row r="2391" spans="1:7" x14ac:dyDescent="0.35">
      <c r="A2391" t="str">
        <f>"2014-08-26"</f>
        <v>2014-08-26</v>
      </c>
      <c r="B2391" t="str">
        <f>"77.5088"</f>
        <v>77.5088</v>
      </c>
      <c r="C2391">
        <v>2389</v>
      </c>
      <c r="D2391" s="7">
        <v>77.508799999999994</v>
      </c>
      <c r="E2391" s="7">
        <f t="shared" si="74"/>
        <v>185168.5232</v>
      </c>
      <c r="F2391" s="7">
        <f t="shared" si="75"/>
        <v>5707321</v>
      </c>
      <c r="G2391" s="7"/>
    </row>
    <row r="2392" spans="1:7" x14ac:dyDescent="0.35">
      <c r="A2392" t="str">
        <f>"2014-08-27"</f>
        <v>2014-08-27</v>
      </c>
      <c r="B2392" t="str">
        <f>"77.224"</f>
        <v>77.224</v>
      </c>
      <c r="C2392">
        <v>2390</v>
      </c>
      <c r="D2392" s="7">
        <v>77.224000000000004</v>
      </c>
      <c r="E2392" s="7">
        <f t="shared" si="74"/>
        <v>184565.36000000002</v>
      </c>
      <c r="F2392" s="7">
        <f t="shared" si="75"/>
        <v>5712100</v>
      </c>
      <c r="G2392" s="7"/>
    </row>
    <row r="2393" spans="1:7" x14ac:dyDescent="0.35">
      <c r="A2393" t="str">
        <f>"2014-08-28"</f>
        <v>2014-08-28</v>
      </c>
      <c r="B2393" t="str">
        <f>"77.0005"</f>
        <v>77.0005</v>
      </c>
      <c r="C2393">
        <v>2391</v>
      </c>
      <c r="D2393" s="7">
        <v>77.000500000000002</v>
      </c>
      <c r="E2393" s="7">
        <f t="shared" si="74"/>
        <v>184108.1955</v>
      </c>
      <c r="F2393" s="7">
        <f t="shared" si="75"/>
        <v>5716881</v>
      </c>
      <c r="G2393" s="7"/>
    </row>
    <row r="2394" spans="1:7" x14ac:dyDescent="0.35">
      <c r="A2394" t="str">
        <f>"2014-08-29"</f>
        <v>2014-08-29</v>
      </c>
      <c r="B2394" t="str">
        <f>"76.8139"</f>
        <v>76.8139</v>
      </c>
      <c r="C2394">
        <v>2392</v>
      </c>
      <c r="D2394" s="7">
        <v>76.813900000000004</v>
      </c>
      <c r="E2394" s="7">
        <f t="shared" si="74"/>
        <v>183738.84880000001</v>
      </c>
      <c r="F2394" s="7">
        <f t="shared" si="75"/>
        <v>5721664</v>
      </c>
      <c r="G2394" s="7"/>
    </row>
    <row r="2395" spans="1:7" x14ac:dyDescent="0.35">
      <c r="A2395" t="str">
        <f>"2014-09-02"</f>
        <v>2014-09-02</v>
      </c>
      <c r="B2395" t="str">
        <f>"78.9055"</f>
        <v>78.9055</v>
      </c>
      <c r="C2395">
        <v>2393</v>
      </c>
      <c r="D2395" s="7">
        <v>78.905500000000004</v>
      </c>
      <c r="E2395" s="7">
        <f t="shared" si="74"/>
        <v>188820.8615</v>
      </c>
      <c r="F2395" s="7">
        <f t="shared" si="75"/>
        <v>5726449</v>
      </c>
      <c r="G2395" s="7"/>
    </row>
    <row r="2396" spans="1:7" x14ac:dyDescent="0.35">
      <c r="A2396" t="str">
        <f>"2014-09-03"</f>
        <v>2014-09-03</v>
      </c>
      <c r="B2396" t="str">
        <f>"80.1"</f>
        <v>80.1</v>
      </c>
      <c r="C2396">
        <v>2394</v>
      </c>
      <c r="D2396" s="7">
        <v>80.099999999999994</v>
      </c>
      <c r="E2396" s="7">
        <f t="shared" si="74"/>
        <v>191759.4</v>
      </c>
      <c r="F2396" s="7">
        <f t="shared" si="75"/>
        <v>5731236</v>
      </c>
      <c r="G2396" s="7"/>
    </row>
    <row r="2397" spans="1:7" x14ac:dyDescent="0.35">
      <c r="A2397" t="str">
        <f>"2014-09-04"</f>
        <v>2014-09-04</v>
      </c>
      <c r="B2397" t="str">
        <f>"80.7844"</f>
        <v>80.7844</v>
      </c>
      <c r="C2397">
        <v>2395</v>
      </c>
      <c r="D2397" s="7">
        <v>80.784400000000005</v>
      </c>
      <c r="E2397" s="7">
        <f t="shared" si="74"/>
        <v>193478.63800000001</v>
      </c>
      <c r="F2397" s="7">
        <f t="shared" si="75"/>
        <v>5736025</v>
      </c>
      <c r="G2397" s="7"/>
    </row>
    <row r="2398" spans="1:7" x14ac:dyDescent="0.35">
      <c r="A2398" t="str">
        <f>"2014-09-05"</f>
        <v>2014-09-05</v>
      </c>
      <c r="B2398" t="str">
        <f>"81.0053"</f>
        <v>81.0053</v>
      </c>
      <c r="C2398">
        <v>2396</v>
      </c>
      <c r="D2398" s="7">
        <v>81.005300000000005</v>
      </c>
      <c r="E2398" s="7">
        <f t="shared" si="74"/>
        <v>194088.69880000001</v>
      </c>
      <c r="F2398" s="7">
        <f t="shared" si="75"/>
        <v>5740816</v>
      </c>
      <c r="G2398" s="7"/>
    </row>
    <row r="2399" spans="1:7" x14ac:dyDescent="0.35">
      <c r="A2399" t="str">
        <f>"2014-09-08"</f>
        <v>2014-09-08</v>
      </c>
      <c r="B2399" t="str">
        <f>"82.167"</f>
        <v>82.167</v>
      </c>
      <c r="C2399">
        <v>2397</v>
      </c>
      <c r="D2399" s="7">
        <v>82.167000000000002</v>
      </c>
      <c r="E2399" s="7">
        <f t="shared" si="74"/>
        <v>196954.299</v>
      </c>
      <c r="F2399" s="7">
        <f t="shared" si="75"/>
        <v>5745609</v>
      </c>
      <c r="G2399" s="7"/>
    </row>
    <row r="2400" spans="1:7" x14ac:dyDescent="0.35">
      <c r="A2400" t="str">
        <f>"2014-09-09"</f>
        <v>2014-09-09</v>
      </c>
      <c r="B2400" t="str">
        <f>"79.1192"</f>
        <v>79.1192</v>
      </c>
      <c r="C2400">
        <v>2398</v>
      </c>
      <c r="D2400" s="7">
        <v>79.119200000000006</v>
      </c>
      <c r="E2400" s="7">
        <f t="shared" si="74"/>
        <v>189727.84160000001</v>
      </c>
      <c r="F2400" s="7">
        <f t="shared" si="75"/>
        <v>5750404</v>
      </c>
      <c r="G2400" s="7"/>
    </row>
    <row r="2401" spans="1:7" x14ac:dyDescent="0.35">
      <c r="A2401" t="str">
        <f>"2014-09-10"</f>
        <v>2014-09-10</v>
      </c>
      <c r="B2401" t="str">
        <f>"77.9079"</f>
        <v>77.9079</v>
      </c>
      <c r="C2401">
        <v>2399</v>
      </c>
      <c r="D2401" s="7">
        <v>77.907899999999998</v>
      </c>
      <c r="E2401" s="7">
        <f t="shared" si="74"/>
        <v>186901.0521</v>
      </c>
      <c r="F2401" s="7">
        <f t="shared" si="75"/>
        <v>5755201</v>
      </c>
      <c r="G2401" s="7"/>
    </row>
    <row r="2402" spans="1:7" x14ac:dyDescent="0.35">
      <c r="A2402" t="str">
        <f>"2014-09-11"</f>
        <v>2014-09-11</v>
      </c>
      <c r="B2402" t="str">
        <f>"78.5373"</f>
        <v>78.5373</v>
      </c>
      <c r="C2402">
        <v>2400</v>
      </c>
      <c r="D2402" s="7">
        <v>78.537300000000002</v>
      </c>
      <c r="E2402" s="7">
        <f t="shared" si="74"/>
        <v>188489.52000000002</v>
      </c>
      <c r="F2402" s="7">
        <f t="shared" si="75"/>
        <v>5760000</v>
      </c>
      <c r="G2402" s="7"/>
    </row>
    <row r="2403" spans="1:7" x14ac:dyDescent="0.35">
      <c r="A2403" t="str">
        <f>"2014-09-12"</f>
        <v>2014-09-12</v>
      </c>
      <c r="B2403" t="str">
        <f>"77.8721"</f>
        <v>77.8721</v>
      </c>
      <c r="C2403">
        <v>2401</v>
      </c>
      <c r="D2403" s="7">
        <v>77.872100000000003</v>
      </c>
      <c r="E2403" s="7">
        <f t="shared" si="74"/>
        <v>186970.91210000002</v>
      </c>
      <c r="F2403" s="7">
        <f t="shared" si="75"/>
        <v>5764801</v>
      </c>
      <c r="G2403" s="7"/>
    </row>
    <row r="2404" spans="1:7" x14ac:dyDescent="0.35">
      <c r="A2404" t="str">
        <f>"2014-09-15"</f>
        <v>2014-09-15</v>
      </c>
      <c r="B2404" t="str">
        <f>"77.9"</f>
        <v>77.9</v>
      </c>
      <c r="C2404">
        <v>2402</v>
      </c>
      <c r="D2404" s="7">
        <v>77.900000000000006</v>
      </c>
      <c r="E2404" s="7">
        <f t="shared" si="74"/>
        <v>187115.80000000002</v>
      </c>
      <c r="F2404" s="7">
        <f t="shared" si="75"/>
        <v>5769604</v>
      </c>
      <c r="G2404" s="7"/>
    </row>
    <row r="2405" spans="1:7" x14ac:dyDescent="0.35">
      <c r="A2405" t="str">
        <f>"2014-09-16"</f>
        <v>2014-09-16</v>
      </c>
      <c r="B2405" t="str">
        <f>"77.3828"</f>
        <v>77.3828</v>
      </c>
      <c r="C2405">
        <v>2403</v>
      </c>
      <c r="D2405" s="7">
        <v>77.382800000000003</v>
      </c>
      <c r="E2405" s="7">
        <f t="shared" si="74"/>
        <v>185950.86840000001</v>
      </c>
      <c r="F2405" s="7">
        <f t="shared" si="75"/>
        <v>5774409</v>
      </c>
      <c r="G2405" s="7"/>
    </row>
    <row r="2406" spans="1:7" x14ac:dyDescent="0.35">
      <c r="A2406" t="str">
        <f>"2014-09-17"</f>
        <v>2014-09-17</v>
      </c>
      <c r="B2406" t="str">
        <f>"78.5706"</f>
        <v>78.5706</v>
      </c>
      <c r="C2406">
        <v>2404</v>
      </c>
      <c r="D2406" s="7">
        <v>78.570599999999999</v>
      </c>
      <c r="E2406" s="7">
        <f t="shared" si="74"/>
        <v>188883.7224</v>
      </c>
      <c r="F2406" s="7">
        <f t="shared" si="75"/>
        <v>5779216</v>
      </c>
      <c r="G2406" s="7"/>
    </row>
    <row r="2407" spans="1:7" x14ac:dyDescent="0.35">
      <c r="A2407" t="str">
        <f>"2014-09-18"</f>
        <v>2014-09-18</v>
      </c>
      <c r="B2407" t="str">
        <f>"76.9816"</f>
        <v>76.9816</v>
      </c>
      <c r="C2407">
        <v>2405</v>
      </c>
      <c r="D2407" s="7">
        <v>76.9816</v>
      </c>
      <c r="E2407" s="7">
        <f t="shared" si="74"/>
        <v>185140.74799999999</v>
      </c>
      <c r="F2407" s="7">
        <f t="shared" si="75"/>
        <v>5784025</v>
      </c>
      <c r="G2407" s="7"/>
    </row>
    <row r="2408" spans="1:7" x14ac:dyDescent="0.35">
      <c r="A2408" t="str">
        <f>"2014-09-19"</f>
        <v>2014-09-19</v>
      </c>
      <c r="B2408" t="str">
        <f>"76.404"</f>
        <v>76.404</v>
      </c>
      <c r="C2408">
        <v>2406</v>
      </c>
      <c r="D2408" s="7">
        <v>76.403999999999996</v>
      </c>
      <c r="E2408" s="7">
        <f t="shared" si="74"/>
        <v>183828.024</v>
      </c>
      <c r="F2408" s="7">
        <f t="shared" si="75"/>
        <v>5788836</v>
      </c>
      <c r="G2408" s="7"/>
    </row>
    <row r="2409" spans="1:7" x14ac:dyDescent="0.35">
      <c r="A2409" t="str">
        <f>"2014-09-22"</f>
        <v>2014-09-22</v>
      </c>
      <c r="B2409" t="str">
        <f>"75.6179"</f>
        <v>75.6179</v>
      </c>
      <c r="C2409">
        <v>2407</v>
      </c>
      <c r="D2409" s="7">
        <v>75.617900000000006</v>
      </c>
      <c r="E2409" s="7">
        <f t="shared" si="74"/>
        <v>182012.28530000002</v>
      </c>
      <c r="F2409" s="7">
        <f t="shared" si="75"/>
        <v>5793649</v>
      </c>
      <c r="G2409" s="7"/>
    </row>
    <row r="2410" spans="1:7" x14ac:dyDescent="0.35">
      <c r="A2410" t="str">
        <f>"2014-09-23"</f>
        <v>2014-09-23</v>
      </c>
      <c r="B2410" t="str">
        <f>"74.7129"</f>
        <v>74.7129</v>
      </c>
      <c r="C2410">
        <v>2408</v>
      </c>
      <c r="D2410" s="7">
        <v>74.712900000000005</v>
      </c>
      <c r="E2410" s="7">
        <f t="shared" si="74"/>
        <v>179908.66320000001</v>
      </c>
      <c r="F2410" s="7">
        <f t="shared" si="75"/>
        <v>5798464</v>
      </c>
      <c r="G2410" s="7"/>
    </row>
    <row r="2411" spans="1:7" x14ac:dyDescent="0.35">
      <c r="A2411" t="str">
        <f>"2014-09-24"</f>
        <v>2014-09-24</v>
      </c>
      <c r="B2411" t="str">
        <f>"73.0211"</f>
        <v>73.0211</v>
      </c>
      <c r="C2411">
        <v>2409</v>
      </c>
      <c r="D2411" s="7">
        <v>73.021100000000004</v>
      </c>
      <c r="E2411" s="7">
        <f t="shared" si="74"/>
        <v>175907.82990000001</v>
      </c>
      <c r="F2411" s="7">
        <f t="shared" si="75"/>
        <v>5803281</v>
      </c>
      <c r="G2411" s="7"/>
    </row>
    <row r="2412" spans="1:7" x14ac:dyDescent="0.35">
      <c r="A2412" t="str">
        <f>"2014-09-25"</f>
        <v>2014-09-25</v>
      </c>
      <c r="B2412" t="str">
        <f>"71.9587"</f>
        <v>71.9587</v>
      </c>
      <c r="C2412">
        <v>2410</v>
      </c>
      <c r="D2412" s="7">
        <v>71.958699999999993</v>
      </c>
      <c r="E2412" s="7">
        <f t="shared" si="74"/>
        <v>173420.46699999998</v>
      </c>
      <c r="F2412" s="7">
        <f t="shared" si="75"/>
        <v>5808100</v>
      </c>
      <c r="G2412" s="7"/>
    </row>
    <row r="2413" spans="1:7" x14ac:dyDescent="0.35">
      <c r="A2413" t="str">
        <f>"2014-09-26"</f>
        <v>2014-09-26</v>
      </c>
      <c r="B2413" t="str">
        <f>"73.0103"</f>
        <v>73.0103</v>
      </c>
      <c r="C2413">
        <v>2411</v>
      </c>
      <c r="D2413" s="7">
        <v>73.010300000000001</v>
      </c>
      <c r="E2413" s="7">
        <f t="shared" si="74"/>
        <v>176027.8333</v>
      </c>
      <c r="F2413" s="7">
        <f t="shared" si="75"/>
        <v>5812921</v>
      </c>
      <c r="G2413" s="7"/>
    </row>
    <row r="2414" spans="1:7" x14ac:dyDescent="0.35">
      <c r="A2414" t="str">
        <f>"2014-09-29"</f>
        <v>2014-09-29</v>
      </c>
      <c r="B2414" t="str">
        <f>"74.0245"</f>
        <v>74.0245</v>
      </c>
      <c r="C2414">
        <v>2412</v>
      </c>
      <c r="D2414" s="7">
        <v>74.024500000000003</v>
      </c>
      <c r="E2414" s="7">
        <f t="shared" si="74"/>
        <v>178547.09400000001</v>
      </c>
      <c r="F2414" s="7">
        <f t="shared" si="75"/>
        <v>5817744</v>
      </c>
      <c r="G2414" s="7"/>
    </row>
    <row r="2415" spans="1:7" x14ac:dyDescent="0.35">
      <c r="A2415" t="str">
        <f>"2014-09-30"</f>
        <v>2014-09-30</v>
      </c>
      <c r="B2415" t="str">
        <f>"72.9327"</f>
        <v>72.9327</v>
      </c>
      <c r="C2415">
        <v>2413</v>
      </c>
      <c r="D2415" s="7">
        <v>72.932699999999997</v>
      </c>
      <c r="E2415" s="7">
        <f t="shared" si="74"/>
        <v>175986.60509999999</v>
      </c>
      <c r="F2415" s="7">
        <f t="shared" si="75"/>
        <v>5822569</v>
      </c>
      <c r="G2415" s="7"/>
    </row>
    <row r="2416" spans="1:7" x14ac:dyDescent="0.35">
      <c r="A2416" t="str">
        <f>"2014-10-01"</f>
        <v>2014-10-01</v>
      </c>
      <c r="B2416" t="str">
        <f>"72.5143"</f>
        <v>72.5143</v>
      </c>
      <c r="C2416">
        <v>2414</v>
      </c>
      <c r="D2416" s="7">
        <v>72.514300000000006</v>
      </c>
      <c r="E2416" s="7">
        <f t="shared" si="74"/>
        <v>175049.52020000003</v>
      </c>
      <c r="F2416" s="7">
        <f t="shared" si="75"/>
        <v>5827396</v>
      </c>
      <c r="G2416" s="7"/>
    </row>
    <row r="2417" spans="1:7" x14ac:dyDescent="0.35">
      <c r="A2417" t="str">
        <f>"2014-10-02"</f>
        <v>2014-10-02</v>
      </c>
      <c r="B2417" t="str">
        <f>"73.263"</f>
        <v>73.263</v>
      </c>
      <c r="C2417">
        <v>2415</v>
      </c>
      <c r="D2417" s="7">
        <v>73.263000000000005</v>
      </c>
      <c r="E2417" s="7">
        <f t="shared" si="74"/>
        <v>176930.14500000002</v>
      </c>
      <c r="F2417" s="7">
        <f t="shared" si="75"/>
        <v>5832225</v>
      </c>
      <c r="G2417" s="7"/>
    </row>
    <row r="2418" spans="1:7" x14ac:dyDescent="0.35">
      <c r="A2418" t="str">
        <f>"2014-10-03"</f>
        <v>2014-10-03</v>
      </c>
      <c r="B2418" t="str">
        <f>"75.6001"</f>
        <v>75.6001</v>
      </c>
      <c r="C2418">
        <v>2416</v>
      </c>
      <c r="D2418" s="7">
        <v>75.600099999999998</v>
      </c>
      <c r="E2418" s="7">
        <f t="shared" si="74"/>
        <v>182649.84159999999</v>
      </c>
      <c r="F2418" s="7">
        <f t="shared" si="75"/>
        <v>5837056</v>
      </c>
      <c r="G2418" s="7"/>
    </row>
    <row r="2419" spans="1:7" x14ac:dyDescent="0.35">
      <c r="A2419" t="str">
        <f>"2014-10-06"</f>
        <v>2014-10-06</v>
      </c>
      <c r="B2419" t="str">
        <f>"73.3937"</f>
        <v>73.3937</v>
      </c>
      <c r="C2419">
        <v>2417</v>
      </c>
      <c r="D2419" s="7">
        <v>73.393699999999995</v>
      </c>
      <c r="E2419" s="7">
        <f t="shared" si="74"/>
        <v>177392.5729</v>
      </c>
      <c r="F2419" s="7">
        <f t="shared" si="75"/>
        <v>5841889</v>
      </c>
      <c r="G2419" s="7"/>
    </row>
    <row r="2420" spans="1:7" x14ac:dyDescent="0.35">
      <c r="A2420" t="str">
        <f>"2014-10-07"</f>
        <v>2014-10-07</v>
      </c>
      <c r="B2420" t="str">
        <f>"73.9531"</f>
        <v>73.9531</v>
      </c>
      <c r="C2420">
        <v>2418</v>
      </c>
      <c r="D2420" s="7">
        <v>73.953100000000006</v>
      </c>
      <c r="E2420" s="7">
        <f t="shared" si="74"/>
        <v>178818.59580000001</v>
      </c>
      <c r="F2420" s="7">
        <f t="shared" si="75"/>
        <v>5846724</v>
      </c>
      <c r="G2420" s="7"/>
    </row>
    <row r="2421" spans="1:7" x14ac:dyDescent="0.35">
      <c r="A2421" t="str">
        <f>"2014-10-08"</f>
        <v>2014-10-08</v>
      </c>
      <c r="B2421" t="str">
        <f>"72.0583"</f>
        <v>72.0583</v>
      </c>
      <c r="C2421">
        <v>2419</v>
      </c>
      <c r="D2421" s="7">
        <v>72.058300000000003</v>
      </c>
      <c r="E2421" s="7">
        <f t="shared" si="74"/>
        <v>174309.02770000001</v>
      </c>
      <c r="F2421" s="7">
        <f t="shared" si="75"/>
        <v>5851561</v>
      </c>
      <c r="G2421" s="7"/>
    </row>
    <row r="2422" spans="1:7" x14ac:dyDescent="0.35">
      <c r="A2422" t="str">
        <f>"2014-10-09"</f>
        <v>2014-10-09</v>
      </c>
      <c r="B2422" t="str">
        <f>"73.2116"</f>
        <v>73.2116</v>
      </c>
      <c r="C2422">
        <v>2420</v>
      </c>
      <c r="D2422" s="7">
        <v>73.211600000000004</v>
      </c>
      <c r="E2422" s="7">
        <f t="shared" si="74"/>
        <v>177172.07200000001</v>
      </c>
      <c r="F2422" s="7">
        <f t="shared" si="75"/>
        <v>5856400</v>
      </c>
      <c r="G2422" s="7"/>
    </row>
    <row r="2423" spans="1:7" x14ac:dyDescent="0.35">
      <c r="A2423" t="str">
        <f>"2014-10-10"</f>
        <v>2014-10-10</v>
      </c>
      <c r="B2423" t="str">
        <f>"71.0352"</f>
        <v>71.0352</v>
      </c>
      <c r="C2423">
        <v>2421</v>
      </c>
      <c r="D2423" s="7">
        <v>71.035200000000003</v>
      </c>
      <c r="E2423" s="7">
        <f t="shared" si="74"/>
        <v>171976.21920000002</v>
      </c>
      <c r="F2423" s="7">
        <f t="shared" si="75"/>
        <v>5861241</v>
      </c>
      <c r="G2423" s="7"/>
    </row>
    <row r="2424" spans="1:7" x14ac:dyDescent="0.35">
      <c r="A2424" t="str">
        <f>"2014-10-13"</f>
        <v>2014-10-13</v>
      </c>
      <c r="B2424" t="str">
        <f>"70.5541"</f>
        <v>70.5541</v>
      </c>
      <c r="C2424">
        <v>2422</v>
      </c>
      <c r="D2424" s="7">
        <v>70.554100000000005</v>
      </c>
      <c r="E2424" s="7">
        <f t="shared" si="74"/>
        <v>170882.03020000001</v>
      </c>
      <c r="F2424" s="7">
        <f t="shared" si="75"/>
        <v>5866084</v>
      </c>
      <c r="G2424" s="7"/>
    </row>
    <row r="2425" spans="1:7" x14ac:dyDescent="0.35">
      <c r="A2425" t="str">
        <f>"2014-10-14"</f>
        <v>2014-10-14</v>
      </c>
      <c r="B2425" t="str">
        <f>"69.4097"</f>
        <v>69.4097</v>
      </c>
      <c r="C2425">
        <v>2423</v>
      </c>
      <c r="D2425" s="7">
        <v>69.409700000000001</v>
      </c>
      <c r="E2425" s="7">
        <f t="shared" si="74"/>
        <v>168179.70310000001</v>
      </c>
      <c r="F2425" s="7">
        <f t="shared" si="75"/>
        <v>5870929</v>
      </c>
      <c r="G2425" s="7"/>
    </row>
    <row r="2426" spans="1:7" x14ac:dyDescent="0.35">
      <c r="A2426" t="str">
        <f>"2014-10-15"</f>
        <v>2014-10-15</v>
      </c>
      <c r="B2426" t="str">
        <f>"69.9449"</f>
        <v>69.9449</v>
      </c>
      <c r="C2426">
        <v>2424</v>
      </c>
      <c r="D2426" s="7">
        <v>69.944900000000004</v>
      </c>
      <c r="E2426" s="7">
        <f t="shared" si="74"/>
        <v>169546.4376</v>
      </c>
      <c r="F2426" s="7">
        <f t="shared" si="75"/>
        <v>5875776</v>
      </c>
      <c r="G2426" s="7"/>
    </row>
    <row r="2427" spans="1:7" x14ac:dyDescent="0.35">
      <c r="A2427" t="str">
        <f>"2014-10-16"</f>
        <v>2014-10-16</v>
      </c>
      <c r="B2427" t="str">
        <f>"69.4896"</f>
        <v>69.4896</v>
      </c>
      <c r="C2427">
        <v>2425</v>
      </c>
      <c r="D2427" s="7">
        <v>69.489599999999996</v>
      </c>
      <c r="E2427" s="7">
        <f t="shared" si="74"/>
        <v>168512.28</v>
      </c>
      <c r="F2427" s="7">
        <f t="shared" si="75"/>
        <v>5880625</v>
      </c>
      <c r="G2427" s="7"/>
    </row>
    <row r="2428" spans="1:7" x14ac:dyDescent="0.35">
      <c r="A2428" t="str">
        <f>"2014-10-17"</f>
        <v>2014-10-17</v>
      </c>
      <c r="B2428" t="str">
        <f>"70.3256"</f>
        <v>70.3256</v>
      </c>
      <c r="C2428">
        <v>2426</v>
      </c>
      <c r="D2428" s="7">
        <v>70.325599999999994</v>
      </c>
      <c r="E2428" s="7">
        <f t="shared" si="74"/>
        <v>170609.9056</v>
      </c>
      <c r="F2428" s="7">
        <f t="shared" si="75"/>
        <v>5885476</v>
      </c>
      <c r="G2428" s="7"/>
    </row>
    <row r="2429" spans="1:7" x14ac:dyDescent="0.35">
      <c r="A2429" t="str">
        <f>"2014-10-20"</f>
        <v>2014-10-20</v>
      </c>
      <c r="B2429" t="str">
        <f>"72.8419"</f>
        <v>72.8419</v>
      </c>
      <c r="C2429">
        <v>2427</v>
      </c>
      <c r="D2429" s="7">
        <v>72.841899999999995</v>
      </c>
      <c r="E2429" s="7">
        <f t="shared" si="74"/>
        <v>176787.29129999998</v>
      </c>
      <c r="F2429" s="7">
        <f t="shared" si="75"/>
        <v>5890329</v>
      </c>
      <c r="G2429" s="7"/>
    </row>
    <row r="2430" spans="1:7" x14ac:dyDescent="0.35">
      <c r="A2430" t="str">
        <f>"2014-10-21"</f>
        <v>2014-10-21</v>
      </c>
      <c r="B2430" t="str">
        <f>"76.8078"</f>
        <v>76.8078</v>
      </c>
      <c r="C2430">
        <v>2428</v>
      </c>
      <c r="D2430" s="7">
        <v>76.8078</v>
      </c>
      <c r="E2430" s="7">
        <f t="shared" si="74"/>
        <v>186489.33840000001</v>
      </c>
      <c r="F2430" s="7">
        <f t="shared" si="75"/>
        <v>5895184</v>
      </c>
      <c r="G2430" s="7"/>
    </row>
    <row r="2431" spans="1:7" x14ac:dyDescent="0.35">
      <c r="A2431" t="str">
        <f>"2014-10-22"</f>
        <v>2014-10-22</v>
      </c>
      <c r="B2431" t="str">
        <f>"77.1704"</f>
        <v>77.1704</v>
      </c>
      <c r="C2431">
        <v>2429</v>
      </c>
      <c r="D2431" s="7">
        <v>77.170400000000001</v>
      </c>
      <c r="E2431" s="7">
        <f t="shared" si="74"/>
        <v>187446.90160000001</v>
      </c>
      <c r="F2431" s="7">
        <f t="shared" si="75"/>
        <v>5900041</v>
      </c>
      <c r="G2431" s="7"/>
    </row>
    <row r="2432" spans="1:7" x14ac:dyDescent="0.35">
      <c r="A2432" t="str">
        <f>"2014-10-23"</f>
        <v>2014-10-23</v>
      </c>
      <c r="B2432" t="str">
        <f>"78.935"</f>
        <v>78.935</v>
      </c>
      <c r="C2432">
        <v>2430</v>
      </c>
      <c r="D2432" s="7">
        <v>78.935000000000002</v>
      </c>
      <c r="E2432" s="7">
        <f t="shared" si="74"/>
        <v>191812.05000000002</v>
      </c>
      <c r="F2432" s="7">
        <f t="shared" si="75"/>
        <v>5904900</v>
      </c>
      <c r="G2432" s="7"/>
    </row>
    <row r="2433" spans="1:7" x14ac:dyDescent="0.35">
      <c r="A2433" t="str">
        <f>"2014-10-24"</f>
        <v>2014-10-24</v>
      </c>
      <c r="B2433" t="str">
        <f>"79.0079"</f>
        <v>79.0079</v>
      </c>
      <c r="C2433">
        <v>2431</v>
      </c>
      <c r="D2433" s="7">
        <v>79.007900000000006</v>
      </c>
      <c r="E2433" s="7">
        <f t="shared" si="74"/>
        <v>192068.20490000001</v>
      </c>
      <c r="F2433" s="7">
        <f t="shared" si="75"/>
        <v>5909761</v>
      </c>
      <c r="G2433" s="7"/>
    </row>
    <row r="2434" spans="1:7" x14ac:dyDescent="0.35">
      <c r="A2434" t="str">
        <f>"2014-10-27"</f>
        <v>2014-10-27</v>
      </c>
      <c r="B2434" t="str">
        <f>"81.2181"</f>
        <v>81.2181</v>
      </c>
      <c r="C2434">
        <v>2432</v>
      </c>
      <c r="D2434" s="7">
        <v>81.218100000000007</v>
      </c>
      <c r="E2434" s="7">
        <f t="shared" si="74"/>
        <v>197522.4192</v>
      </c>
      <c r="F2434" s="7">
        <f t="shared" si="75"/>
        <v>5914624</v>
      </c>
      <c r="G2434" s="7"/>
    </row>
    <row r="2435" spans="1:7" x14ac:dyDescent="0.35">
      <c r="A2435" t="str">
        <f>"2014-10-28"</f>
        <v>2014-10-28</v>
      </c>
      <c r="B2435" t="str">
        <f>"82.0548"</f>
        <v>82.0548</v>
      </c>
      <c r="C2435">
        <v>2433</v>
      </c>
      <c r="D2435" s="7">
        <v>82.0548</v>
      </c>
      <c r="E2435" s="7">
        <f t="shared" si="74"/>
        <v>199639.3284</v>
      </c>
      <c r="F2435" s="7">
        <f t="shared" si="75"/>
        <v>5919489</v>
      </c>
      <c r="G2435" s="7"/>
    </row>
    <row r="2436" spans="1:7" x14ac:dyDescent="0.35">
      <c r="A2436" t="str">
        <f>"2014-10-29"</f>
        <v>2014-10-29</v>
      </c>
      <c r="B2436" t="str">
        <f>"83.2623"</f>
        <v>83.2623</v>
      </c>
      <c r="C2436">
        <v>2434</v>
      </c>
      <c r="D2436" s="7">
        <v>83.262299999999996</v>
      </c>
      <c r="E2436" s="7">
        <f t="shared" ref="E2436:E2499" si="76">C2436*D2436</f>
        <v>202660.4382</v>
      </c>
      <c r="F2436" s="7">
        <f t="shared" ref="F2436:F2499" si="77">C2436*C2436</f>
        <v>5924356</v>
      </c>
      <c r="G2436" s="7"/>
    </row>
    <row r="2437" spans="1:7" x14ac:dyDescent="0.35">
      <c r="A2437" t="str">
        <f>"2014-10-30"</f>
        <v>2014-10-30</v>
      </c>
      <c r="B2437" t="str">
        <f>"85.461"</f>
        <v>85.461</v>
      </c>
      <c r="C2437">
        <v>2435</v>
      </c>
      <c r="D2437" s="7">
        <v>85.460999999999999</v>
      </c>
      <c r="E2437" s="7">
        <f t="shared" si="76"/>
        <v>208097.535</v>
      </c>
      <c r="F2437" s="7">
        <f t="shared" si="77"/>
        <v>5929225</v>
      </c>
      <c r="G2437" s="7"/>
    </row>
    <row r="2438" spans="1:7" x14ac:dyDescent="0.35">
      <c r="A2438" t="str">
        <f>"2014-10-31"</f>
        <v>2014-10-31</v>
      </c>
      <c r="B2438" t="str">
        <f>"88.066"</f>
        <v>88.066</v>
      </c>
      <c r="C2438">
        <v>2436</v>
      </c>
      <c r="D2438" s="7">
        <v>88.066000000000003</v>
      </c>
      <c r="E2438" s="7">
        <f t="shared" si="76"/>
        <v>214528.77600000001</v>
      </c>
      <c r="F2438" s="7">
        <f t="shared" si="77"/>
        <v>5934096</v>
      </c>
      <c r="G2438" s="7"/>
    </row>
    <row r="2439" spans="1:7" x14ac:dyDescent="0.35">
      <c r="A2439" t="str">
        <f>"2014-11-03"</f>
        <v>2014-11-03</v>
      </c>
      <c r="B2439" t="str">
        <f>"88.251"</f>
        <v>88.251</v>
      </c>
      <c r="C2439">
        <v>2437</v>
      </c>
      <c r="D2439" s="7">
        <v>88.251000000000005</v>
      </c>
      <c r="E2439" s="7">
        <f t="shared" si="76"/>
        <v>215067.68700000001</v>
      </c>
      <c r="F2439" s="7">
        <f t="shared" si="77"/>
        <v>5938969</v>
      </c>
      <c r="G2439" s="7"/>
    </row>
    <row r="2440" spans="1:7" x14ac:dyDescent="0.35">
      <c r="A2440" t="str">
        <f>"2014-11-04"</f>
        <v>2014-11-04</v>
      </c>
      <c r="B2440" t="str">
        <f>"90.9209"</f>
        <v>90.9209</v>
      </c>
      <c r="C2440">
        <v>2438</v>
      </c>
      <c r="D2440" s="7">
        <v>90.920900000000003</v>
      </c>
      <c r="E2440" s="7">
        <f t="shared" si="76"/>
        <v>221665.15420000002</v>
      </c>
      <c r="F2440" s="7">
        <f t="shared" si="77"/>
        <v>5943844</v>
      </c>
      <c r="G2440" s="7"/>
    </row>
    <row r="2441" spans="1:7" x14ac:dyDescent="0.35">
      <c r="A2441" t="str">
        <f>"2014-11-05"</f>
        <v>2014-11-05</v>
      </c>
      <c r="B2441" t="str">
        <f>"90.3655"</f>
        <v>90.3655</v>
      </c>
      <c r="C2441">
        <v>2439</v>
      </c>
      <c r="D2441" s="7">
        <v>90.365499999999997</v>
      </c>
      <c r="E2441" s="7">
        <f t="shared" si="76"/>
        <v>220401.45449999999</v>
      </c>
      <c r="F2441" s="7">
        <f t="shared" si="77"/>
        <v>5948721</v>
      </c>
      <c r="G2441" s="7"/>
    </row>
    <row r="2442" spans="1:7" x14ac:dyDescent="0.35">
      <c r="A2442" t="str">
        <f>"2014-11-06"</f>
        <v>2014-11-06</v>
      </c>
      <c r="B2442" t="str">
        <f>"91.378"</f>
        <v>91.378</v>
      </c>
      <c r="C2442">
        <v>2440</v>
      </c>
      <c r="D2442" s="7">
        <v>91.378</v>
      </c>
      <c r="E2442" s="7">
        <f t="shared" si="76"/>
        <v>222962.32</v>
      </c>
      <c r="F2442" s="7">
        <f t="shared" si="77"/>
        <v>5953600</v>
      </c>
      <c r="G2442" s="7"/>
    </row>
    <row r="2443" spans="1:7" x14ac:dyDescent="0.35">
      <c r="A2443" t="str">
        <f>"2014-11-07"</f>
        <v>2014-11-07</v>
      </c>
      <c r="B2443" t="str">
        <f>"88.0121"</f>
        <v>88.0121</v>
      </c>
      <c r="C2443">
        <v>2441</v>
      </c>
      <c r="D2443" s="7">
        <v>88.012100000000004</v>
      </c>
      <c r="E2443" s="7">
        <f t="shared" si="76"/>
        <v>214837.5361</v>
      </c>
      <c r="F2443" s="7">
        <f t="shared" si="77"/>
        <v>5958481</v>
      </c>
      <c r="G2443" s="7"/>
    </row>
    <row r="2444" spans="1:7" x14ac:dyDescent="0.35">
      <c r="A2444" t="str">
        <f>"2014-11-10"</f>
        <v>2014-11-10</v>
      </c>
      <c r="B2444" t="str">
        <f>"87.6261"</f>
        <v>87.6261</v>
      </c>
      <c r="C2444">
        <v>2442</v>
      </c>
      <c r="D2444" s="7">
        <v>87.626099999999994</v>
      </c>
      <c r="E2444" s="7">
        <f t="shared" si="76"/>
        <v>213982.9362</v>
      </c>
      <c r="F2444" s="7">
        <f t="shared" si="77"/>
        <v>5963364</v>
      </c>
      <c r="G2444" s="7"/>
    </row>
    <row r="2445" spans="1:7" x14ac:dyDescent="0.35">
      <c r="A2445" t="str">
        <f>"2014-11-11"</f>
        <v>2014-11-11</v>
      </c>
      <c r="B2445" t="str">
        <f>"92.9847"</f>
        <v>92.9847</v>
      </c>
      <c r="C2445">
        <v>2443</v>
      </c>
      <c r="D2445" s="7">
        <v>92.984700000000004</v>
      </c>
      <c r="E2445" s="7">
        <f t="shared" si="76"/>
        <v>227161.62210000001</v>
      </c>
      <c r="F2445" s="7">
        <f t="shared" si="77"/>
        <v>5968249</v>
      </c>
      <c r="G2445" s="7"/>
    </row>
    <row r="2446" spans="1:7" x14ac:dyDescent="0.35">
      <c r="A2446" t="str">
        <f>"2014-11-12"</f>
        <v>2014-11-12</v>
      </c>
      <c r="B2446" t="str">
        <f>"95.1946"</f>
        <v>95.1946</v>
      </c>
      <c r="C2446">
        <v>2444</v>
      </c>
      <c r="D2446" s="7">
        <v>95.194599999999994</v>
      </c>
      <c r="E2446" s="7">
        <f t="shared" si="76"/>
        <v>232655.60239999997</v>
      </c>
      <c r="F2446" s="7">
        <f t="shared" si="77"/>
        <v>5973136</v>
      </c>
      <c r="G2446" s="7"/>
    </row>
    <row r="2447" spans="1:7" x14ac:dyDescent="0.35">
      <c r="A2447" t="str">
        <f>"2014-11-13"</f>
        <v>2014-11-13</v>
      </c>
      <c r="B2447" t="str">
        <f>"96.2906"</f>
        <v>96.2906</v>
      </c>
      <c r="C2447">
        <v>2445</v>
      </c>
      <c r="D2447" s="7">
        <v>96.290599999999998</v>
      </c>
      <c r="E2447" s="7">
        <f t="shared" si="76"/>
        <v>235430.51699999999</v>
      </c>
      <c r="F2447" s="7">
        <f t="shared" si="77"/>
        <v>5978025</v>
      </c>
      <c r="G2447" s="7"/>
    </row>
    <row r="2448" spans="1:7" x14ac:dyDescent="0.35">
      <c r="A2448" t="str">
        <f>"2014-11-14"</f>
        <v>2014-11-14</v>
      </c>
      <c r="B2448" t="str">
        <f>"94.8094"</f>
        <v>94.8094</v>
      </c>
      <c r="C2448">
        <v>2446</v>
      </c>
      <c r="D2448" s="7">
        <v>94.809399999999997</v>
      </c>
      <c r="E2448" s="7">
        <f t="shared" si="76"/>
        <v>231903.79240000001</v>
      </c>
      <c r="F2448" s="7">
        <f t="shared" si="77"/>
        <v>5982916</v>
      </c>
      <c r="G2448" s="7"/>
    </row>
    <row r="2449" spans="1:7" x14ac:dyDescent="0.35">
      <c r="A2449" t="str">
        <f>"2014-11-17"</f>
        <v>2014-11-17</v>
      </c>
      <c r="B2449" t="str">
        <f>"94.1074"</f>
        <v>94.1074</v>
      </c>
      <c r="C2449">
        <v>2447</v>
      </c>
      <c r="D2449" s="7">
        <v>94.107399999999998</v>
      </c>
      <c r="E2449" s="7">
        <f t="shared" si="76"/>
        <v>230280.80780000001</v>
      </c>
      <c r="F2449" s="7">
        <f t="shared" si="77"/>
        <v>5987809</v>
      </c>
      <c r="G2449" s="7"/>
    </row>
    <row r="2450" spans="1:7" x14ac:dyDescent="0.35">
      <c r="A2450" t="str">
        <f>"2014-11-18"</f>
        <v>2014-11-18</v>
      </c>
      <c r="B2450" t="str">
        <f>"95.1072"</f>
        <v>95.1072</v>
      </c>
      <c r="C2450">
        <v>2448</v>
      </c>
      <c r="D2450" s="7">
        <v>95.107200000000006</v>
      </c>
      <c r="E2450" s="7">
        <f t="shared" si="76"/>
        <v>232822.42560000002</v>
      </c>
      <c r="F2450" s="7">
        <f t="shared" si="77"/>
        <v>5992704</v>
      </c>
      <c r="G2450" s="7"/>
    </row>
    <row r="2451" spans="1:7" x14ac:dyDescent="0.35">
      <c r="A2451" t="str">
        <f>"2014-11-19"</f>
        <v>2014-11-19</v>
      </c>
      <c r="B2451" t="str">
        <f>"94.825"</f>
        <v>94.825</v>
      </c>
      <c r="C2451">
        <v>2449</v>
      </c>
      <c r="D2451" s="7">
        <v>94.825000000000003</v>
      </c>
      <c r="E2451" s="7">
        <f t="shared" si="76"/>
        <v>232226.42500000002</v>
      </c>
      <c r="F2451" s="7">
        <f t="shared" si="77"/>
        <v>5997601</v>
      </c>
      <c r="G2451" s="7"/>
    </row>
    <row r="2452" spans="1:7" x14ac:dyDescent="0.35">
      <c r="A2452" t="str">
        <f>"2014-11-20"</f>
        <v>2014-11-20</v>
      </c>
      <c r="B2452" t="str">
        <f>"97.5332"</f>
        <v>97.5332</v>
      </c>
      <c r="C2452">
        <v>2450</v>
      </c>
      <c r="D2452" s="7">
        <v>97.533199999999994</v>
      </c>
      <c r="E2452" s="7">
        <f t="shared" si="76"/>
        <v>238956.34</v>
      </c>
      <c r="F2452" s="7">
        <f t="shared" si="77"/>
        <v>6002500</v>
      </c>
      <c r="G2452" s="7"/>
    </row>
    <row r="2453" spans="1:7" x14ac:dyDescent="0.35">
      <c r="A2453" t="str">
        <f>"2014-11-21"</f>
        <v>2014-11-21</v>
      </c>
      <c r="B2453" t="str">
        <f>"96.0446"</f>
        <v>96.0446</v>
      </c>
      <c r="C2453">
        <v>2451</v>
      </c>
      <c r="D2453" s="7">
        <v>96.044600000000003</v>
      </c>
      <c r="E2453" s="7">
        <f t="shared" si="76"/>
        <v>235405.31460000001</v>
      </c>
      <c r="F2453" s="7">
        <f t="shared" si="77"/>
        <v>6007401</v>
      </c>
      <c r="G2453" s="7"/>
    </row>
    <row r="2454" spans="1:7" x14ac:dyDescent="0.35">
      <c r="A2454" t="str">
        <f>"2014-11-24"</f>
        <v>2014-11-24</v>
      </c>
      <c r="B2454" t="str">
        <f>"95.8227"</f>
        <v>95.8227</v>
      </c>
      <c r="C2454">
        <v>2452</v>
      </c>
      <c r="D2454" s="7">
        <v>95.822699999999998</v>
      </c>
      <c r="E2454" s="7">
        <f t="shared" si="76"/>
        <v>234957.2604</v>
      </c>
      <c r="F2454" s="7">
        <f t="shared" si="77"/>
        <v>6012304</v>
      </c>
      <c r="G2454" s="7"/>
    </row>
    <row r="2455" spans="1:7" x14ac:dyDescent="0.35">
      <c r="A2455" t="str">
        <f>"2014-11-25"</f>
        <v>2014-11-25</v>
      </c>
      <c r="B2455" t="str">
        <f>"98.8561"</f>
        <v>98.8561</v>
      </c>
      <c r="C2455">
        <v>2453</v>
      </c>
      <c r="D2455" s="7">
        <v>98.856099999999998</v>
      </c>
      <c r="E2455" s="7">
        <f t="shared" si="76"/>
        <v>242494.01329999999</v>
      </c>
      <c r="F2455" s="7">
        <f t="shared" si="77"/>
        <v>6017209</v>
      </c>
      <c r="G2455" s="7"/>
    </row>
    <row r="2456" spans="1:7" x14ac:dyDescent="0.35">
      <c r="A2456" t="str">
        <f>"2014-11-26"</f>
        <v>2014-11-26</v>
      </c>
      <c r="B2456" t="str">
        <f>"99.8311"</f>
        <v>99.8311</v>
      </c>
      <c r="C2456">
        <v>2454</v>
      </c>
      <c r="D2456" s="7">
        <v>99.831100000000006</v>
      </c>
      <c r="E2456" s="7">
        <f t="shared" si="76"/>
        <v>244985.51940000002</v>
      </c>
      <c r="F2456" s="7">
        <f t="shared" si="77"/>
        <v>6022116</v>
      </c>
      <c r="G2456" s="7"/>
    </row>
    <row r="2457" spans="1:7" x14ac:dyDescent="0.35">
      <c r="A2457" t="str">
        <f>"2014-11-28"</f>
        <v>2014-11-28</v>
      </c>
      <c r="B2457" t="str">
        <f>"110.5083"</f>
        <v>110.5083</v>
      </c>
      <c r="C2457">
        <v>2455</v>
      </c>
      <c r="D2457" s="7">
        <v>110.50830000000001</v>
      </c>
      <c r="E2457" s="7">
        <f t="shared" si="76"/>
        <v>271297.87650000001</v>
      </c>
      <c r="F2457" s="7">
        <f t="shared" si="77"/>
        <v>6027025</v>
      </c>
      <c r="G2457" s="7"/>
    </row>
    <row r="2458" spans="1:7" x14ac:dyDescent="0.35">
      <c r="A2458" t="str">
        <f>"2014-12-01"</f>
        <v>2014-12-01</v>
      </c>
      <c r="B2458" t="str">
        <f>"102.7491"</f>
        <v>102.7491</v>
      </c>
      <c r="C2458">
        <v>2456</v>
      </c>
      <c r="D2458" s="7">
        <v>102.7491</v>
      </c>
      <c r="E2458" s="7">
        <f t="shared" si="76"/>
        <v>252351.78959999999</v>
      </c>
      <c r="F2458" s="7">
        <f t="shared" si="77"/>
        <v>6031936</v>
      </c>
      <c r="G2458" s="7"/>
    </row>
    <row r="2459" spans="1:7" x14ac:dyDescent="0.35">
      <c r="A2459" t="str">
        <f>"2014-12-02"</f>
        <v>2014-12-02</v>
      </c>
      <c r="B2459" t="str">
        <f>"107.2174"</f>
        <v>107.2174</v>
      </c>
      <c r="C2459">
        <v>2457</v>
      </c>
      <c r="D2459" s="7">
        <v>107.2174</v>
      </c>
      <c r="E2459" s="7">
        <f t="shared" si="76"/>
        <v>263433.15179999999</v>
      </c>
      <c r="F2459" s="7">
        <f t="shared" si="77"/>
        <v>6036849</v>
      </c>
      <c r="G2459" s="7"/>
    </row>
    <row r="2460" spans="1:7" x14ac:dyDescent="0.35">
      <c r="A2460" t="str">
        <f>"2014-12-03"</f>
        <v>2014-12-03</v>
      </c>
      <c r="B2460" t="str">
        <f>"103.6644"</f>
        <v>103.6644</v>
      </c>
      <c r="C2460">
        <v>2458</v>
      </c>
      <c r="D2460" s="7">
        <v>103.6644</v>
      </c>
      <c r="E2460" s="7">
        <f t="shared" si="76"/>
        <v>254807.09520000001</v>
      </c>
      <c r="F2460" s="7">
        <f t="shared" si="77"/>
        <v>6041764</v>
      </c>
      <c r="G2460" s="7"/>
    </row>
    <row r="2461" spans="1:7" x14ac:dyDescent="0.35">
      <c r="A2461" t="str">
        <f>"2014-12-04"</f>
        <v>2014-12-04</v>
      </c>
      <c r="B2461" t="str">
        <f>"108.5185"</f>
        <v>108.5185</v>
      </c>
      <c r="C2461">
        <v>2459</v>
      </c>
      <c r="D2461" s="7">
        <v>108.5185</v>
      </c>
      <c r="E2461" s="7">
        <f t="shared" si="76"/>
        <v>266846.9915</v>
      </c>
      <c r="F2461" s="7">
        <f t="shared" si="77"/>
        <v>6046681</v>
      </c>
      <c r="G2461" s="7"/>
    </row>
    <row r="2462" spans="1:7" x14ac:dyDescent="0.35">
      <c r="A2462" t="str">
        <f>"2014-12-05"</f>
        <v>2014-12-05</v>
      </c>
      <c r="B2462" t="str">
        <f>"111.1748"</f>
        <v>111.1748</v>
      </c>
      <c r="C2462">
        <v>2460</v>
      </c>
      <c r="D2462" s="7">
        <v>111.1748</v>
      </c>
      <c r="E2462" s="7">
        <f t="shared" si="76"/>
        <v>273490.00800000003</v>
      </c>
      <c r="F2462" s="7">
        <f t="shared" si="77"/>
        <v>6051600</v>
      </c>
      <c r="G2462" s="7"/>
    </row>
    <row r="2463" spans="1:7" x14ac:dyDescent="0.35">
      <c r="A2463" t="str">
        <f>"2014-12-08"</f>
        <v>2014-12-08</v>
      </c>
      <c r="B2463" t="str">
        <f>"111.4485"</f>
        <v>111.4485</v>
      </c>
      <c r="C2463">
        <v>2461</v>
      </c>
      <c r="D2463" s="7">
        <v>111.4485</v>
      </c>
      <c r="E2463" s="7">
        <f t="shared" si="76"/>
        <v>274274.7585</v>
      </c>
      <c r="F2463" s="7">
        <f t="shared" si="77"/>
        <v>6056521</v>
      </c>
      <c r="G2463" s="7"/>
    </row>
    <row r="2464" spans="1:7" x14ac:dyDescent="0.35">
      <c r="A2464" t="str">
        <f>"2014-12-09"</f>
        <v>2014-12-09</v>
      </c>
      <c r="B2464" t="str">
        <f>"103.4737"</f>
        <v>103.4737</v>
      </c>
      <c r="C2464">
        <v>2462</v>
      </c>
      <c r="D2464" s="7">
        <v>103.47369999999999</v>
      </c>
      <c r="E2464" s="7">
        <f t="shared" si="76"/>
        <v>254752.24939999997</v>
      </c>
      <c r="F2464" s="7">
        <f t="shared" si="77"/>
        <v>6061444</v>
      </c>
      <c r="G2464" s="7"/>
    </row>
    <row r="2465" spans="1:7" x14ac:dyDescent="0.35">
      <c r="A2465" t="str">
        <f>"2014-12-10"</f>
        <v>2014-12-10</v>
      </c>
      <c r="B2465" t="str">
        <f>"108.0584"</f>
        <v>108.0584</v>
      </c>
      <c r="C2465">
        <v>2463</v>
      </c>
      <c r="D2465" s="7">
        <v>108.05840000000001</v>
      </c>
      <c r="E2465" s="7">
        <f t="shared" si="76"/>
        <v>266147.83919999999</v>
      </c>
      <c r="F2465" s="7">
        <f t="shared" si="77"/>
        <v>6066369</v>
      </c>
      <c r="G2465" s="7"/>
    </row>
    <row r="2466" spans="1:7" x14ac:dyDescent="0.35">
      <c r="A2466" t="str">
        <f>"2014-12-11"</f>
        <v>2014-12-11</v>
      </c>
      <c r="B2466" t="str">
        <f>"108.8521"</f>
        <v>108.8521</v>
      </c>
      <c r="C2466">
        <v>2464</v>
      </c>
      <c r="D2466" s="7">
        <v>108.85209999999999</v>
      </c>
      <c r="E2466" s="7">
        <f t="shared" si="76"/>
        <v>268211.57439999998</v>
      </c>
      <c r="F2466" s="7">
        <f t="shared" si="77"/>
        <v>6071296</v>
      </c>
      <c r="G2466" s="7"/>
    </row>
    <row r="2467" spans="1:7" x14ac:dyDescent="0.35">
      <c r="A2467" t="str">
        <f>"2014-12-12"</f>
        <v>2014-12-12</v>
      </c>
      <c r="B2467" t="str">
        <f>"106.9498"</f>
        <v>106.9498</v>
      </c>
      <c r="C2467">
        <v>2465</v>
      </c>
      <c r="D2467" s="7">
        <v>106.9498</v>
      </c>
      <c r="E2467" s="7">
        <f t="shared" si="76"/>
        <v>263631.25699999998</v>
      </c>
      <c r="F2467" s="7">
        <f t="shared" si="77"/>
        <v>6076225</v>
      </c>
      <c r="G2467" s="7"/>
    </row>
    <row r="2468" spans="1:7" x14ac:dyDescent="0.35">
      <c r="A2468" t="str">
        <f>"2014-12-15"</f>
        <v>2014-12-15</v>
      </c>
      <c r="B2468" t="str">
        <f>"107.433"</f>
        <v>107.433</v>
      </c>
      <c r="C2468">
        <v>2466</v>
      </c>
      <c r="D2468" s="7">
        <v>107.43300000000001</v>
      </c>
      <c r="E2468" s="7">
        <f t="shared" si="76"/>
        <v>264929.77799999999</v>
      </c>
      <c r="F2468" s="7">
        <f t="shared" si="77"/>
        <v>6081156</v>
      </c>
      <c r="G2468" s="7"/>
    </row>
    <row r="2469" spans="1:7" x14ac:dyDescent="0.35">
      <c r="A2469" t="str">
        <f>"2014-12-16"</f>
        <v>2014-12-16</v>
      </c>
      <c r="B2469" t="str">
        <f>"102.5596"</f>
        <v>102.5596</v>
      </c>
      <c r="C2469">
        <v>2467</v>
      </c>
      <c r="D2469" s="7">
        <v>102.5596</v>
      </c>
      <c r="E2469" s="7">
        <f t="shared" si="76"/>
        <v>253014.53320000001</v>
      </c>
      <c r="F2469" s="7">
        <f t="shared" si="77"/>
        <v>6086089</v>
      </c>
      <c r="G2469" s="7"/>
    </row>
    <row r="2470" spans="1:7" x14ac:dyDescent="0.35">
      <c r="A2470" t="str">
        <f>"2014-12-17"</f>
        <v>2014-12-17</v>
      </c>
      <c r="B2470" t="str">
        <f>"102.5374"</f>
        <v>102.5374</v>
      </c>
      <c r="C2470">
        <v>2468</v>
      </c>
      <c r="D2470" s="7">
        <v>102.53740000000001</v>
      </c>
      <c r="E2470" s="7">
        <f t="shared" si="76"/>
        <v>253062.30320000002</v>
      </c>
      <c r="F2470" s="7">
        <f t="shared" si="77"/>
        <v>6091024</v>
      </c>
      <c r="G2470" s="7"/>
    </row>
    <row r="2471" spans="1:7" x14ac:dyDescent="0.35">
      <c r="A2471" t="str">
        <f>"2014-12-18"</f>
        <v>2014-12-18</v>
      </c>
      <c r="B2471" t="str">
        <f>"104.5516"</f>
        <v>104.5516</v>
      </c>
      <c r="C2471">
        <v>2469</v>
      </c>
      <c r="D2471" s="7">
        <v>104.55159999999999</v>
      </c>
      <c r="E2471" s="7">
        <f t="shared" si="76"/>
        <v>258137.90039999998</v>
      </c>
      <c r="F2471" s="7">
        <f t="shared" si="77"/>
        <v>6095961</v>
      </c>
      <c r="G2471" s="7"/>
    </row>
    <row r="2472" spans="1:7" x14ac:dyDescent="0.35">
      <c r="A2472" t="str">
        <f>"2014-12-19"</f>
        <v>2014-12-19</v>
      </c>
      <c r="B2472" t="str">
        <f>"105.9754"</f>
        <v>105.9754</v>
      </c>
      <c r="C2472">
        <v>2470</v>
      </c>
      <c r="D2472" s="7">
        <v>105.97539999999999</v>
      </c>
      <c r="E2472" s="7">
        <f t="shared" si="76"/>
        <v>261759.23799999998</v>
      </c>
      <c r="F2472" s="7">
        <f t="shared" si="77"/>
        <v>6100900</v>
      </c>
      <c r="G2472" s="7"/>
    </row>
    <row r="2473" spans="1:7" x14ac:dyDescent="0.35">
      <c r="A2473" t="str">
        <f>"2014-12-22"</f>
        <v>2014-12-22</v>
      </c>
      <c r="B2473" t="str">
        <f>"109.5598"</f>
        <v>109.5598</v>
      </c>
      <c r="C2473">
        <v>2471</v>
      </c>
      <c r="D2473" s="7">
        <v>109.5598</v>
      </c>
      <c r="E2473" s="7">
        <f t="shared" si="76"/>
        <v>270722.26579999999</v>
      </c>
      <c r="F2473" s="7">
        <f t="shared" si="77"/>
        <v>6105841</v>
      </c>
      <c r="G2473" s="7"/>
    </row>
    <row r="2474" spans="1:7" x14ac:dyDescent="0.35">
      <c r="A2474" t="str">
        <f>"2014-12-23"</f>
        <v>2014-12-23</v>
      </c>
      <c r="B2474" t="str">
        <f>"105.9565"</f>
        <v>105.9565</v>
      </c>
      <c r="C2474">
        <v>2472</v>
      </c>
      <c r="D2474" s="7">
        <v>105.95650000000001</v>
      </c>
      <c r="E2474" s="7">
        <f t="shared" si="76"/>
        <v>261924.46800000002</v>
      </c>
      <c r="F2474" s="7">
        <f t="shared" si="77"/>
        <v>6110784</v>
      </c>
      <c r="G2474" s="7"/>
    </row>
    <row r="2475" spans="1:7" x14ac:dyDescent="0.35">
      <c r="A2475" t="str">
        <f>"2014-12-24"</f>
        <v>2014-12-24</v>
      </c>
      <c r="B2475" t="str">
        <f>"107.1097"</f>
        <v>107.1097</v>
      </c>
      <c r="C2475">
        <v>2473</v>
      </c>
      <c r="D2475" s="7">
        <v>107.1097</v>
      </c>
      <c r="E2475" s="7">
        <f t="shared" si="76"/>
        <v>264882.28810000001</v>
      </c>
      <c r="F2475" s="7">
        <f t="shared" si="77"/>
        <v>6115729</v>
      </c>
      <c r="G2475" s="7"/>
    </row>
    <row r="2476" spans="1:7" x14ac:dyDescent="0.35">
      <c r="A2476" t="str">
        <f>"2014-12-26"</f>
        <v>2014-12-26</v>
      </c>
      <c r="B2476" t="str">
        <f>"105.0857"</f>
        <v>105.0857</v>
      </c>
      <c r="C2476">
        <v>2474</v>
      </c>
      <c r="D2476" s="7">
        <v>105.0857</v>
      </c>
      <c r="E2476" s="7">
        <f t="shared" si="76"/>
        <v>259982.02180000002</v>
      </c>
      <c r="F2476" s="7">
        <f t="shared" si="77"/>
        <v>6120676</v>
      </c>
      <c r="G2476" s="7"/>
    </row>
    <row r="2477" spans="1:7" x14ac:dyDescent="0.35">
      <c r="A2477" t="str">
        <f>"2014-12-29"</f>
        <v>2014-12-29</v>
      </c>
      <c r="B2477" t="str">
        <f>"105.8617"</f>
        <v>105.8617</v>
      </c>
      <c r="C2477">
        <v>2475</v>
      </c>
      <c r="D2477" s="7">
        <v>105.8617</v>
      </c>
      <c r="E2477" s="7">
        <f t="shared" si="76"/>
        <v>262007.70749999999</v>
      </c>
      <c r="F2477" s="7">
        <f t="shared" si="77"/>
        <v>6125625</v>
      </c>
      <c r="G2477" s="7"/>
    </row>
    <row r="2478" spans="1:7" x14ac:dyDescent="0.35">
      <c r="A2478" t="str">
        <f>"2014-12-30"</f>
        <v>2014-12-30</v>
      </c>
      <c r="B2478" t="str">
        <f>"107.3856"</f>
        <v>107.3856</v>
      </c>
      <c r="C2478">
        <v>2476</v>
      </c>
      <c r="D2478" s="7">
        <v>107.3856</v>
      </c>
      <c r="E2478" s="7">
        <f t="shared" si="76"/>
        <v>265886.74559999997</v>
      </c>
      <c r="F2478" s="7">
        <f t="shared" si="77"/>
        <v>6130576</v>
      </c>
      <c r="G2478" s="7"/>
    </row>
    <row r="2479" spans="1:7" x14ac:dyDescent="0.35">
      <c r="A2479" t="str">
        <f>"2014-12-31"</f>
        <v>2014-12-31</v>
      </c>
      <c r="B2479" t="str">
        <f>"108.9235"</f>
        <v>108.9235</v>
      </c>
      <c r="C2479">
        <v>2477</v>
      </c>
      <c r="D2479" s="7">
        <v>108.9235</v>
      </c>
      <c r="E2479" s="7">
        <f t="shared" si="76"/>
        <v>269803.50949999999</v>
      </c>
      <c r="F2479" s="7">
        <f t="shared" si="77"/>
        <v>6135529</v>
      </c>
      <c r="G2479" s="7"/>
    </row>
    <row r="2480" spans="1:7" x14ac:dyDescent="0.35">
      <c r="A2480" t="str">
        <f>"2015-01-02"</f>
        <v>2015-01-02</v>
      </c>
      <c r="B2480" t="str">
        <f>"109.3584"</f>
        <v>109.3584</v>
      </c>
      <c r="C2480">
        <v>2478</v>
      </c>
      <c r="D2480" s="7">
        <v>109.3584</v>
      </c>
      <c r="E2480" s="7">
        <f t="shared" si="76"/>
        <v>270990.1152</v>
      </c>
      <c r="F2480" s="7">
        <f t="shared" si="77"/>
        <v>6140484</v>
      </c>
      <c r="G2480" s="7"/>
    </row>
    <row r="2481" spans="1:7" x14ac:dyDescent="0.35">
      <c r="A2481" t="str">
        <f>"2015-01-05"</f>
        <v>2015-01-05</v>
      </c>
      <c r="B2481" t="str">
        <f>"112.5091"</f>
        <v>112.5091</v>
      </c>
      <c r="C2481">
        <v>2479</v>
      </c>
      <c r="D2481" s="7">
        <v>112.5091</v>
      </c>
      <c r="E2481" s="7">
        <f t="shared" si="76"/>
        <v>278910.0589</v>
      </c>
      <c r="F2481" s="7">
        <f t="shared" si="77"/>
        <v>6145441</v>
      </c>
      <c r="G2481" s="7"/>
    </row>
    <row r="2482" spans="1:7" x14ac:dyDescent="0.35">
      <c r="A2482" t="str">
        <f>"2015-01-06"</f>
        <v>2015-01-06</v>
      </c>
      <c r="B2482" t="str">
        <f>"111.6357"</f>
        <v>111.6357</v>
      </c>
      <c r="C2482">
        <v>2480</v>
      </c>
      <c r="D2482" s="7">
        <v>111.6357</v>
      </c>
      <c r="E2482" s="7">
        <f t="shared" si="76"/>
        <v>276856.53600000002</v>
      </c>
      <c r="F2482" s="7">
        <f t="shared" si="77"/>
        <v>6150400</v>
      </c>
      <c r="G2482" s="7"/>
    </row>
    <row r="2483" spans="1:7" x14ac:dyDescent="0.35">
      <c r="A2483" t="str">
        <f>"2015-01-07"</f>
        <v>2015-01-07</v>
      </c>
      <c r="B2483" t="str">
        <f>"111.1249"</f>
        <v>111.1249</v>
      </c>
      <c r="C2483">
        <v>2481</v>
      </c>
      <c r="D2483" s="7">
        <v>111.1249</v>
      </c>
      <c r="E2483" s="7">
        <f t="shared" si="76"/>
        <v>275700.87689999997</v>
      </c>
      <c r="F2483" s="7">
        <f t="shared" si="77"/>
        <v>6155361</v>
      </c>
      <c r="G2483" s="7"/>
    </row>
    <row r="2484" spans="1:7" x14ac:dyDescent="0.35">
      <c r="A2484" t="str">
        <f>"2015-01-08"</f>
        <v>2015-01-08</v>
      </c>
      <c r="B2484" t="str">
        <f>"112.1727"</f>
        <v>112.1727</v>
      </c>
      <c r="C2484">
        <v>2482</v>
      </c>
      <c r="D2484" s="7">
        <v>112.17270000000001</v>
      </c>
      <c r="E2484" s="7">
        <f t="shared" si="76"/>
        <v>278412.64140000002</v>
      </c>
      <c r="F2484" s="7">
        <f t="shared" si="77"/>
        <v>6160324</v>
      </c>
      <c r="G2484" s="7"/>
    </row>
    <row r="2485" spans="1:7" x14ac:dyDescent="0.35">
      <c r="A2485" t="str">
        <f>"2015-01-09"</f>
        <v>2015-01-09</v>
      </c>
      <c r="B2485" t="str">
        <f>"110.8529"</f>
        <v>110.8529</v>
      </c>
      <c r="C2485">
        <v>2483</v>
      </c>
      <c r="D2485" s="7">
        <v>110.85290000000001</v>
      </c>
      <c r="E2485" s="7">
        <f t="shared" si="76"/>
        <v>275247.75070000003</v>
      </c>
      <c r="F2485" s="7">
        <f t="shared" si="77"/>
        <v>6165289</v>
      </c>
      <c r="G2485" s="7"/>
    </row>
    <row r="2486" spans="1:7" x14ac:dyDescent="0.35">
      <c r="A2486" t="str">
        <f>"2015-01-12"</f>
        <v>2015-01-12</v>
      </c>
      <c r="B2486" t="str">
        <f>"109.0599"</f>
        <v>109.0599</v>
      </c>
      <c r="C2486">
        <v>2484</v>
      </c>
      <c r="D2486" s="7">
        <v>109.0599</v>
      </c>
      <c r="E2486" s="7">
        <f t="shared" si="76"/>
        <v>270904.7916</v>
      </c>
      <c r="F2486" s="7">
        <f t="shared" si="77"/>
        <v>6170256</v>
      </c>
      <c r="G2486" s="7"/>
    </row>
    <row r="2487" spans="1:7" x14ac:dyDescent="0.35">
      <c r="A2487" t="str">
        <f>"2015-01-13"</f>
        <v>2015-01-13</v>
      </c>
      <c r="B2487" t="str">
        <f>"108.8825"</f>
        <v>108.8825</v>
      </c>
      <c r="C2487">
        <v>2485</v>
      </c>
      <c r="D2487" s="7">
        <v>108.88249999999999</v>
      </c>
      <c r="E2487" s="7">
        <f t="shared" si="76"/>
        <v>270573.01250000001</v>
      </c>
      <c r="F2487" s="7">
        <f t="shared" si="77"/>
        <v>6175225</v>
      </c>
      <c r="G2487" s="7"/>
    </row>
    <row r="2488" spans="1:7" x14ac:dyDescent="0.35">
      <c r="A2488" t="str">
        <f>"2015-01-14"</f>
        <v>2015-01-14</v>
      </c>
      <c r="B2488" t="str">
        <f>"107.198"</f>
        <v>107.198</v>
      </c>
      <c r="C2488">
        <v>2486</v>
      </c>
      <c r="D2488" s="7">
        <v>107.19799999999999</v>
      </c>
      <c r="E2488" s="7">
        <f t="shared" si="76"/>
        <v>266494.228</v>
      </c>
      <c r="F2488" s="7">
        <f t="shared" si="77"/>
        <v>6180196</v>
      </c>
      <c r="G2488" s="7"/>
    </row>
    <row r="2489" spans="1:7" x14ac:dyDescent="0.35">
      <c r="A2489" t="str">
        <f>"2015-01-15"</f>
        <v>2015-01-15</v>
      </c>
      <c r="B2489" t="str">
        <f>"100.5857"</f>
        <v>100.5857</v>
      </c>
      <c r="C2489">
        <v>2487</v>
      </c>
      <c r="D2489" s="7">
        <v>100.5857</v>
      </c>
      <c r="E2489" s="7">
        <f t="shared" si="76"/>
        <v>250156.63589999999</v>
      </c>
      <c r="F2489" s="7">
        <f t="shared" si="77"/>
        <v>6185169</v>
      </c>
      <c r="G2489" s="7"/>
    </row>
    <row r="2490" spans="1:7" x14ac:dyDescent="0.35">
      <c r="A2490" t="str">
        <f>"2015-01-16"</f>
        <v>2015-01-16</v>
      </c>
      <c r="B2490" t="str">
        <f>"98.2662"</f>
        <v>98.2662</v>
      </c>
      <c r="C2490">
        <v>2488</v>
      </c>
      <c r="D2490" s="7">
        <v>98.266199999999998</v>
      </c>
      <c r="E2490" s="7">
        <f t="shared" si="76"/>
        <v>244486.30559999999</v>
      </c>
      <c r="F2490" s="7">
        <f t="shared" si="77"/>
        <v>6190144</v>
      </c>
      <c r="G2490" s="7"/>
    </row>
    <row r="2491" spans="1:7" x14ac:dyDescent="0.35">
      <c r="A2491" t="str">
        <f>"2015-01-20"</f>
        <v>2015-01-20</v>
      </c>
      <c r="B2491" t="str">
        <f>"99.4564"</f>
        <v>99.4564</v>
      </c>
      <c r="C2491">
        <v>2489</v>
      </c>
      <c r="D2491" s="7">
        <v>99.456400000000002</v>
      </c>
      <c r="E2491" s="7">
        <f t="shared" si="76"/>
        <v>247546.97959999999</v>
      </c>
      <c r="F2491" s="7">
        <f t="shared" si="77"/>
        <v>6195121</v>
      </c>
      <c r="G2491" s="7"/>
    </row>
    <row r="2492" spans="1:7" x14ac:dyDescent="0.35">
      <c r="A2492" t="str">
        <f>"2015-01-21"</f>
        <v>2015-01-21</v>
      </c>
      <c r="B2492" t="str">
        <f>"96.8678"</f>
        <v>96.8678</v>
      </c>
      <c r="C2492">
        <v>2490</v>
      </c>
      <c r="D2492" s="7">
        <v>96.867800000000003</v>
      </c>
      <c r="E2492" s="7">
        <f t="shared" si="76"/>
        <v>241200.82200000001</v>
      </c>
      <c r="F2492" s="7">
        <f t="shared" si="77"/>
        <v>6200100</v>
      </c>
      <c r="G2492" s="7"/>
    </row>
    <row r="2493" spans="1:7" x14ac:dyDescent="0.35">
      <c r="A2493" t="str">
        <f>"2015-01-22"</f>
        <v>2015-01-22</v>
      </c>
      <c r="B2493" t="str">
        <f>"96.9151"</f>
        <v>96.9151</v>
      </c>
      <c r="C2493">
        <v>2491</v>
      </c>
      <c r="D2493" s="7">
        <v>96.915099999999995</v>
      </c>
      <c r="E2493" s="7">
        <f t="shared" si="76"/>
        <v>241415.5141</v>
      </c>
      <c r="F2493" s="7">
        <f t="shared" si="77"/>
        <v>6205081</v>
      </c>
      <c r="G2493" s="7"/>
    </row>
    <row r="2494" spans="1:7" x14ac:dyDescent="0.35">
      <c r="A2494" t="str">
        <f>"2015-01-23"</f>
        <v>2015-01-23</v>
      </c>
      <c r="B2494" t="str">
        <f>"96.8195"</f>
        <v>96.8195</v>
      </c>
      <c r="C2494">
        <v>2492</v>
      </c>
      <c r="D2494" s="7">
        <v>96.819500000000005</v>
      </c>
      <c r="E2494" s="7">
        <f t="shared" si="76"/>
        <v>241274.19400000002</v>
      </c>
      <c r="F2494" s="7">
        <f t="shared" si="77"/>
        <v>6210064</v>
      </c>
      <c r="G2494" s="7"/>
    </row>
    <row r="2495" spans="1:7" x14ac:dyDescent="0.35">
      <c r="A2495" t="str">
        <f>"2015-01-26"</f>
        <v>2015-01-26</v>
      </c>
      <c r="B2495" t="str">
        <f>"99.9001"</f>
        <v>99.9001</v>
      </c>
      <c r="C2495">
        <v>2493</v>
      </c>
      <c r="D2495" s="7">
        <v>99.900099999999995</v>
      </c>
      <c r="E2495" s="7">
        <f t="shared" si="76"/>
        <v>249050.94929999998</v>
      </c>
      <c r="F2495" s="7">
        <f t="shared" si="77"/>
        <v>6215049</v>
      </c>
      <c r="G2495" s="7"/>
    </row>
    <row r="2496" spans="1:7" x14ac:dyDescent="0.35">
      <c r="A2496" t="str">
        <f>"2015-01-27"</f>
        <v>2015-01-27</v>
      </c>
      <c r="B2496" t="str">
        <f>"97.912"</f>
        <v>97.912</v>
      </c>
      <c r="C2496">
        <v>2494</v>
      </c>
      <c r="D2496" s="7">
        <v>97.912000000000006</v>
      </c>
      <c r="E2496" s="7">
        <f t="shared" si="76"/>
        <v>244192.52800000002</v>
      </c>
      <c r="F2496" s="7">
        <f t="shared" si="77"/>
        <v>6220036</v>
      </c>
      <c r="G2496" s="7"/>
    </row>
    <row r="2497" spans="1:7" x14ac:dyDescent="0.35">
      <c r="A2497" t="str">
        <f>"2015-01-28"</f>
        <v>2015-01-28</v>
      </c>
      <c r="B2497" t="str">
        <f>"96.5216"</f>
        <v>96.5216</v>
      </c>
      <c r="C2497">
        <v>2495</v>
      </c>
      <c r="D2497" s="7">
        <v>96.521600000000007</v>
      </c>
      <c r="E2497" s="7">
        <f t="shared" si="76"/>
        <v>240821.39200000002</v>
      </c>
      <c r="F2497" s="7">
        <f t="shared" si="77"/>
        <v>6225025</v>
      </c>
      <c r="G2497" s="7"/>
    </row>
    <row r="2498" spans="1:7" x14ac:dyDescent="0.35">
      <c r="A2498" t="str">
        <f>"2015-01-29"</f>
        <v>2015-01-29</v>
      </c>
      <c r="B2498" t="str">
        <f>"98.5672"</f>
        <v>98.5672</v>
      </c>
      <c r="C2498">
        <v>2496</v>
      </c>
      <c r="D2498" s="7">
        <v>98.5672</v>
      </c>
      <c r="E2498" s="7">
        <f t="shared" si="76"/>
        <v>246023.73120000001</v>
      </c>
      <c r="F2498" s="7">
        <f t="shared" si="77"/>
        <v>6230016</v>
      </c>
      <c r="G2498" s="7"/>
    </row>
    <row r="2499" spans="1:7" x14ac:dyDescent="0.35">
      <c r="A2499" t="str">
        <f>"2015-01-30"</f>
        <v>2015-01-30</v>
      </c>
      <c r="B2499" t="str">
        <f>"94.4727"</f>
        <v>94.4727</v>
      </c>
      <c r="C2499">
        <v>2497</v>
      </c>
      <c r="D2499" s="7">
        <v>94.472700000000003</v>
      </c>
      <c r="E2499" s="7">
        <f t="shared" si="76"/>
        <v>235898.33190000002</v>
      </c>
      <c r="F2499" s="7">
        <f t="shared" si="77"/>
        <v>6235009</v>
      </c>
      <c r="G2499" s="7"/>
    </row>
    <row r="2500" spans="1:7" x14ac:dyDescent="0.35">
      <c r="A2500" t="str">
        <f>"2015-02-02"</f>
        <v>2015-02-02</v>
      </c>
      <c r="B2500" t="str">
        <f>"92.3861"</f>
        <v>92.3861</v>
      </c>
      <c r="C2500">
        <v>2498</v>
      </c>
      <c r="D2500" s="7">
        <v>92.386099999999999</v>
      </c>
      <c r="E2500" s="7">
        <f t="shared" ref="E2500:E2563" si="78">C2500*D2500</f>
        <v>230780.47779999999</v>
      </c>
      <c r="F2500" s="7">
        <f t="shared" ref="F2500:F2563" si="79">C2500*C2500</f>
        <v>6240004</v>
      </c>
      <c r="G2500" s="7"/>
    </row>
    <row r="2501" spans="1:7" x14ac:dyDescent="0.35">
      <c r="A2501" t="str">
        <f>"2015-02-03"</f>
        <v>2015-02-03</v>
      </c>
      <c r="B2501" t="str">
        <f>"90.3029"</f>
        <v>90.3029</v>
      </c>
      <c r="C2501">
        <v>2499</v>
      </c>
      <c r="D2501" s="7">
        <v>90.302899999999994</v>
      </c>
      <c r="E2501" s="7">
        <f t="shared" si="78"/>
        <v>225666.94709999999</v>
      </c>
      <c r="F2501" s="7">
        <f t="shared" si="79"/>
        <v>6245001</v>
      </c>
      <c r="G2501" s="7"/>
    </row>
    <row r="2502" spans="1:7" x14ac:dyDescent="0.35">
      <c r="A2502" t="str">
        <f>"2015-02-04"</f>
        <v>2015-02-04</v>
      </c>
      <c r="B2502" t="str">
        <f>"92.128"</f>
        <v>92.128</v>
      </c>
      <c r="C2502">
        <v>2500</v>
      </c>
      <c r="D2502" s="7">
        <v>92.128</v>
      </c>
      <c r="E2502" s="7">
        <f t="shared" si="78"/>
        <v>230320</v>
      </c>
      <c r="F2502" s="7">
        <f t="shared" si="79"/>
        <v>6250000</v>
      </c>
      <c r="G2502" s="7"/>
    </row>
    <row r="2503" spans="1:7" x14ac:dyDescent="0.35">
      <c r="A2503" t="str">
        <f>"2015-02-05"</f>
        <v>2015-02-05</v>
      </c>
      <c r="B2503" t="str">
        <f>"90.1712"</f>
        <v>90.1712</v>
      </c>
      <c r="C2503">
        <v>2501</v>
      </c>
      <c r="D2503" s="7">
        <v>90.171199999999999</v>
      </c>
      <c r="E2503" s="7">
        <f t="shared" si="78"/>
        <v>225518.17120000001</v>
      </c>
      <c r="F2503" s="7">
        <f t="shared" si="79"/>
        <v>6255001</v>
      </c>
      <c r="G2503" s="7"/>
    </row>
    <row r="2504" spans="1:7" x14ac:dyDescent="0.35">
      <c r="A2504" t="str">
        <f>"2015-02-06"</f>
        <v>2015-02-06</v>
      </c>
      <c r="B2504" t="str">
        <f>"90.6546"</f>
        <v>90.6546</v>
      </c>
      <c r="C2504">
        <v>2502</v>
      </c>
      <c r="D2504" s="7">
        <v>90.654600000000002</v>
      </c>
      <c r="E2504" s="7">
        <f t="shared" si="78"/>
        <v>226817.80920000002</v>
      </c>
      <c r="F2504" s="7">
        <f t="shared" si="79"/>
        <v>6260004</v>
      </c>
      <c r="G2504" s="7"/>
    </row>
    <row r="2505" spans="1:7" x14ac:dyDescent="0.35">
      <c r="A2505" t="str">
        <f>"2015-02-09"</f>
        <v>2015-02-09</v>
      </c>
      <c r="B2505" t="str">
        <f>"88.4337"</f>
        <v>88.4337</v>
      </c>
      <c r="C2505">
        <v>2503</v>
      </c>
      <c r="D2505" s="7">
        <v>88.433700000000002</v>
      </c>
      <c r="E2505" s="7">
        <f t="shared" si="78"/>
        <v>221349.55110000001</v>
      </c>
      <c r="F2505" s="7">
        <f t="shared" si="79"/>
        <v>6265009</v>
      </c>
      <c r="G2505" s="7"/>
    </row>
    <row r="2506" spans="1:7" x14ac:dyDescent="0.35">
      <c r="A2506" t="str">
        <f>"2015-02-10"</f>
        <v>2015-02-10</v>
      </c>
      <c r="B2506" t="str">
        <f>"91.2324"</f>
        <v>91.2324</v>
      </c>
      <c r="C2506">
        <v>2504</v>
      </c>
      <c r="D2506" s="7">
        <v>91.232399999999998</v>
      </c>
      <c r="E2506" s="7">
        <f t="shared" si="78"/>
        <v>228445.9296</v>
      </c>
      <c r="F2506" s="7">
        <f t="shared" si="79"/>
        <v>6270016</v>
      </c>
      <c r="G2506" s="7"/>
    </row>
    <row r="2507" spans="1:7" x14ac:dyDescent="0.35">
      <c r="A2507" t="str">
        <f>"2015-02-11"</f>
        <v>2015-02-11</v>
      </c>
      <c r="B2507" t="str">
        <f>"91.8611"</f>
        <v>91.8611</v>
      </c>
      <c r="C2507">
        <v>2505</v>
      </c>
      <c r="D2507" s="7">
        <v>91.861099999999993</v>
      </c>
      <c r="E2507" s="7">
        <f t="shared" si="78"/>
        <v>230112.05549999999</v>
      </c>
      <c r="F2507" s="7">
        <f t="shared" si="79"/>
        <v>6275025</v>
      </c>
      <c r="G2507" s="7"/>
    </row>
    <row r="2508" spans="1:7" x14ac:dyDescent="0.35">
      <c r="A2508" t="str">
        <f>"2015-02-12"</f>
        <v>2015-02-12</v>
      </c>
      <c r="B2508" t="str">
        <f>"94.7001"</f>
        <v>94.7001</v>
      </c>
      <c r="C2508">
        <v>2506</v>
      </c>
      <c r="D2508" s="7">
        <v>94.700100000000006</v>
      </c>
      <c r="E2508" s="7">
        <f t="shared" si="78"/>
        <v>237318.45060000001</v>
      </c>
      <c r="F2508" s="7">
        <f t="shared" si="79"/>
        <v>6280036</v>
      </c>
      <c r="G2508" s="7"/>
    </row>
    <row r="2509" spans="1:7" x14ac:dyDescent="0.35">
      <c r="A2509" t="str">
        <f>"2015-02-13"</f>
        <v>2015-02-13</v>
      </c>
      <c r="B2509" t="str">
        <f>"93.5246"</f>
        <v>93.5246</v>
      </c>
      <c r="C2509">
        <v>2507</v>
      </c>
      <c r="D2509" s="7">
        <v>93.524600000000007</v>
      </c>
      <c r="E2509" s="7">
        <f t="shared" si="78"/>
        <v>234466.17220000003</v>
      </c>
      <c r="F2509" s="7">
        <f t="shared" si="79"/>
        <v>6285049</v>
      </c>
      <c r="G2509" s="7"/>
    </row>
    <row r="2510" spans="1:7" x14ac:dyDescent="0.35">
      <c r="A2510" t="str">
        <f>"2015-02-17"</f>
        <v>2015-02-17</v>
      </c>
      <c r="B2510" t="str">
        <f>"97.2209"</f>
        <v>97.2209</v>
      </c>
      <c r="C2510">
        <v>2508</v>
      </c>
      <c r="D2510" s="7">
        <v>97.2209</v>
      </c>
      <c r="E2510" s="7">
        <f t="shared" si="78"/>
        <v>243830.0172</v>
      </c>
      <c r="F2510" s="7">
        <f t="shared" si="79"/>
        <v>6290064</v>
      </c>
      <c r="G2510" s="7"/>
    </row>
    <row r="2511" spans="1:7" x14ac:dyDescent="0.35">
      <c r="A2511" t="str">
        <f>"2015-02-18"</f>
        <v>2015-02-18</v>
      </c>
      <c r="B2511" t="str">
        <f>"98.6703"</f>
        <v>98.6703</v>
      </c>
      <c r="C2511">
        <v>2509</v>
      </c>
      <c r="D2511" s="7">
        <v>98.670299999999997</v>
      </c>
      <c r="E2511" s="7">
        <f t="shared" si="78"/>
        <v>247563.78269999998</v>
      </c>
      <c r="F2511" s="7">
        <f t="shared" si="79"/>
        <v>6295081</v>
      </c>
      <c r="G2511" s="7"/>
    </row>
    <row r="2512" spans="1:7" x14ac:dyDescent="0.35">
      <c r="A2512" t="str">
        <f>"2015-02-19"</f>
        <v>2015-02-19</v>
      </c>
      <c r="B2512" t="str">
        <f>"100.0815"</f>
        <v>100.0815</v>
      </c>
      <c r="C2512">
        <v>2510</v>
      </c>
      <c r="D2512" s="7">
        <v>100.08150000000001</v>
      </c>
      <c r="E2512" s="7">
        <f t="shared" si="78"/>
        <v>251204.565</v>
      </c>
      <c r="F2512" s="7">
        <f t="shared" si="79"/>
        <v>6300100</v>
      </c>
      <c r="G2512" s="7"/>
    </row>
    <row r="2513" spans="1:7" x14ac:dyDescent="0.35">
      <c r="A2513" t="str">
        <f>"2015-02-20"</f>
        <v>2015-02-20</v>
      </c>
      <c r="B2513" t="str">
        <f>"97.375"</f>
        <v>97.375</v>
      </c>
      <c r="C2513">
        <v>2511</v>
      </c>
      <c r="D2513" s="7">
        <v>97.375</v>
      </c>
      <c r="E2513" s="7">
        <f t="shared" si="78"/>
        <v>244508.625</v>
      </c>
      <c r="F2513" s="7">
        <f t="shared" si="79"/>
        <v>6305121</v>
      </c>
      <c r="G2513" s="7"/>
    </row>
    <row r="2514" spans="1:7" x14ac:dyDescent="0.35">
      <c r="A2514" t="str">
        <f>"2015-02-23"</f>
        <v>2015-02-23</v>
      </c>
      <c r="B2514" t="str">
        <f>"99.8487"</f>
        <v>99.8487</v>
      </c>
      <c r="C2514">
        <v>2512</v>
      </c>
      <c r="D2514" s="7">
        <v>99.848699999999994</v>
      </c>
      <c r="E2514" s="7">
        <f t="shared" si="78"/>
        <v>250819.9344</v>
      </c>
      <c r="F2514" s="7">
        <f t="shared" si="79"/>
        <v>6310144</v>
      </c>
      <c r="G2514" s="7"/>
    </row>
    <row r="2515" spans="1:7" x14ac:dyDescent="0.35">
      <c r="A2515" t="str">
        <f>"2015-02-24"</f>
        <v>2015-02-24</v>
      </c>
      <c r="B2515" t="str">
        <f>"101.0318"</f>
        <v>101.0318</v>
      </c>
      <c r="C2515">
        <v>2513</v>
      </c>
      <c r="D2515" s="7">
        <v>101.0318</v>
      </c>
      <c r="E2515" s="7">
        <f t="shared" si="78"/>
        <v>253892.91340000002</v>
      </c>
      <c r="F2515" s="7">
        <f t="shared" si="79"/>
        <v>6315169</v>
      </c>
      <c r="G2515" s="7"/>
    </row>
    <row r="2516" spans="1:7" x14ac:dyDescent="0.35">
      <c r="A2516" t="str">
        <f>"2015-02-25"</f>
        <v>2015-02-25</v>
      </c>
      <c r="B2516" t="str">
        <f>"97.7938"</f>
        <v>97.7938</v>
      </c>
      <c r="C2516">
        <v>2514</v>
      </c>
      <c r="D2516" s="7">
        <v>97.793800000000005</v>
      </c>
      <c r="E2516" s="7">
        <f t="shared" si="78"/>
        <v>245853.61320000002</v>
      </c>
      <c r="F2516" s="7">
        <f t="shared" si="79"/>
        <v>6320196</v>
      </c>
      <c r="G2516" s="7"/>
    </row>
    <row r="2517" spans="1:7" x14ac:dyDescent="0.35">
      <c r="A2517" t="str">
        <f>"2015-02-26"</f>
        <v>2015-02-26</v>
      </c>
      <c r="B2517" t="str">
        <f>"93.0463"</f>
        <v>93.0463</v>
      </c>
      <c r="C2517">
        <v>2515</v>
      </c>
      <c r="D2517" s="7">
        <v>93.046300000000002</v>
      </c>
      <c r="E2517" s="7">
        <f t="shared" si="78"/>
        <v>234011.44450000001</v>
      </c>
      <c r="F2517" s="7">
        <f t="shared" si="79"/>
        <v>6325225</v>
      </c>
      <c r="G2517" s="7"/>
    </row>
    <row r="2518" spans="1:7" x14ac:dyDescent="0.35">
      <c r="A2518" t="str">
        <f>"2015-02-27"</f>
        <v>2015-02-27</v>
      </c>
      <c r="B2518" t="str">
        <f>"92.6882"</f>
        <v>92.6882</v>
      </c>
      <c r="C2518">
        <v>2516</v>
      </c>
      <c r="D2518" s="7">
        <v>92.688199999999995</v>
      </c>
      <c r="E2518" s="7">
        <f t="shared" si="78"/>
        <v>233203.51119999998</v>
      </c>
      <c r="F2518" s="7">
        <f t="shared" si="79"/>
        <v>6330256</v>
      </c>
      <c r="G2518" s="7"/>
    </row>
    <row r="2519" spans="1:7" x14ac:dyDescent="0.35">
      <c r="A2519" t="str">
        <f>"2015-03-02"</f>
        <v>2015-03-02</v>
      </c>
      <c r="B2519" t="str">
        <f>"92.6958"</f>
        <v>92.6958</v>
      </c>
      <c r="C2519">
        <v>2517</v>
      </c>
      <c r="D2519" s="7">
        <v>92.695800000000006</v>
      </c>
      <c r="E2519" s="7">
        <f t="shared" si="78"/>
        <v>233315.32860000001</v>
      </c>
      <c r="F2519" s="7">
        <f t="shared" si="79"/>
        <v>6335289</v>
      </c>
      <c r="G2519" s="7"/>
    </row>
    <row r="2520" spans="1:7" x14ac:dyDescent="0.35">
      <c r="A2520" t="str">
        <f>"2015-03-03"</f>
        <v>2015-03-03</v>
      </c>
      <c r="B2520" t="str">
        <f>"91.724"</f>
        <v>91.724</v>
      </c>
      <c r="C2520">
        <v>2518</v>
      </c>
      <c r="D2520" s="7">
        <v>91.724000000000004</v>
      </c>
      <c r="E2520" s="7">
        <f t="shared" si="78"/>
        <v>230961.03200000001</v>
      </c>
      <c r="F2520" s="7">
        <f t="shared" si="79"/>
        <v>6340324</v>
      </c>
      <c r="G2520" s="7"/>
    </row>
    <row r="2521" spans="1:7" x14ac:dyDescent="0.35">
      <c r="A2521" t="str">
        <f>"2015-03-04"</f>
        <v>2015-03-04</v>
      </c>
      <c r="B2521" t="str">
        <f>"88.5844"</f>
        <v>88.5844</v>
      </c>
      <c r="C2521">
        <v>2519</v>
      </c>
      <c r="D2521" s="7">
        <v>88.584400000000002</v>
      </c>
      <c r="E2521" s="7">
        <f t="shared" si="78"/>
        <v>223144.1036</v>
      </c>
      <c r="F2521" s="7">
        <f t="shared" si="79"/>
        <v>6345361</v>
      </c>
      <c r="G2521" s="7"/>
    </row>
    <row r="2522" spans="1:7" x14ac:dyDescent="0.35">
      <c r="A2522" t="str">
        <f>"2015-03-05"</f>
        <v>2015-03-05</v>
      </c>
      <c r="B2522" t="str">
        <f>"86.7957"</f>
        <v>86.7957</v>
      </c>
      <c r="C2522">
        <v>2520</v>
      </c>
      <c r="D2522" s="7">
        <v>86.795699999999997</v>
      </c>
      <c r="E2522" s="7">
        <f t="shared" si="78"/>
        <v>218725.16399999999</v>
      </c>
      <c r="F2522" s="7">
        <f t="shared" si="79"/>
        <v>6350400</v>
      </c>
      <c r="G2522" s="7"/>
    </row>
    <row r="2523" spans="1:7" x14ac:dyDescent="0.35">
      <c r="A2523" t="str">
        <f>"2015-03-06"</f>
        <v>2015-03-06</v>
      </c>
      <c r="B2523" t="str">
        <f>"86.7481"</f>
        <v>86.7481</v>
      </c>
      <c r="C2523">
        <v>2521</v>
      </c>
      <c r="D2523" s="7">
        <v>86.748099999999994</v>
      </c>
      <c r="E2523" s="7">
        <f t="shared" si="78"/>
        <v>218691.9601</v>
      </c>
      <c r="F2523" s="7">
        <f t="shared" si="79"/>
        <v>6355441</v>
      </c>
      <c r="G2523" s="7"/>
    </row>
    <row r="2524" spans="1:7" x14ac:dyDescent="0.35">
      <c r="A2524" t="str">
        <f>"2015-03-09"</f>
        <v>2015-03-09</v>
      </c>
      <c r="B2524" t="str">
        <f>"86.6269"</f>
        <v>86.6269</v>
      </c>
      <c r="C2524">
        <v>2522</v>
      </c>
      <c r="D2524" s="7">
        <v>86.626900000000006</v>
      </c>
      <c r="E2524" s="7">
        <f t="shared" si="78"/>
        <v>218473.04180000001</v>
      </c>
      <c r="F2524" s="7">
        <f t="shared" si="79"/>
        <v>6360484</v>
      </c>
      <c r="G2524" s="7"/>
    </row>
    <row r="2525" spans="1:7" x14ac:dyDescent="0.35">
      <c r="A2525" t="str">
        <f>"2015-03-10"</f>
        <v>2015-03-10</v>
      </c>
      <c r="B2525" t="str">
        <f>"84.9716"</f>
        <v>84.9716</v>
      </c>
      <c r="C2525">
        <v>2523</v>
      </c>
      <c r="D2525" s="7">
        <v>84.971599999999995</v>
      </c>
      <c r="E2525" s="7">
        <f t="shared" si="78"/>
        <v>214383.3468</v>
      </c>
      <c r="F2525" s="7">
        <f t="shared" si="79"/>
        <v>6365529</v>
      </c>
      <c r="G2525" s="7"/>
    </row>
    <row r="2526" spans="1:7" x14ac:dyDescent="0.35">
      <c r="A2526" t="str">
        <f>"2015-03-11"</f>
        <v>2015-03-11</v>
      </c>
      <c r="B2526" t="str">
        <f>"85.6131"</f>
        <v>85.6131</v>
      </c>
      <c r="C2526">
        <v>2524</v>
      </c>
      <c r="D2526" s="7">
        <v>85.613100000000003</v>
      </c>
      <c r="E2526" s="7">
        <f t="shared" si="78"/>
        <v>216087.4644</v>
      </c>
      <c r="F2526" s="7">
        <f t="shared" si="79"/>
        <v>6370576</v>
      </c>
      <c r="G2526" s="7"/>
    </row>
    <row r="2527" spans="1:7" x14ac:dyDescent="0.35">
      <c r="A2527" t="str">
        <f>"2015-03-12"</f>
        <v>2015-03-12</v>
      </c>
      <c r="B2527" t="str">
        <f>"86.5362"</f>
        <v>86.5362</v>
      </c>
      <c r="C2527">
        <v>2525</v>
      </c>
      <c r="D2527" s="7">
        <v>86.536199999999994</v>
      </c>
      <c r="E2527" s="7">
        <f t="shared" si="78"/>
        <v>218503.905</v>
      </c>
      <c r="F2527" s="7">
        <f t="shared" si="79"/>
        <v>6375625</v>
      </c>
      <c r="G2527" s="7"/>
    </row>
    <row r="2528" spans="1:7" x14ac:dyDescent="0.35">
      <c r="A2528" t="str">
        <f>"2015-03-13"</f>
        <v>2015-03-13</v>
      </c>
      <c r="B2528" t="str">
        <f>"84.8388"</f>
        <v>84.8388</v>
      </c>
      <c r="C2528">
        <v>2526</v>
      </c>
      <c r="D2528" s="7">
        <v>84.838800000000006</v>
      </c>
      <c r="E2528" s="7">
        <f t="shared" si="78"/>
        <v>214302.80880000003</v>
      </c>
      <c r="F2528" s="7">
        <f t="shared" si="79"/>
        <v>6380676</v>
      </c>
      <c r="G2528" s="7"/>
    </row>
    <row r="2529" spans="1:7" x14ac:dyDescent="0.35">
      <c r="A2529" t="str">
        <f>"2015-03-16"</f>
        <v>2015-03-16</v>
      </c>
      <c r="B2529" t="str">
        <f>"86.3462"</f>
        <v>86.3462</v>
      </c>
      <c r="C2529">
        <v>2527</v>
      </c>
      <c r="D2529" s="7">
        <v>86.346199999999996</v>
      </c>
      <c r="E2529" s="7">
        <f t="shared" si="78"/>
        <v>218196.8474</v>
      </c>
      <c r="F2529" s="7">
        <f t="shared" si="79"/>
        <v>6385729</v>
      </c>
      <c r="G2529" s="7"/>
    </row>
    <row r="2530" spans="1:7" x14ac:dyDescent="0.35">
      <c r="A2530" t="str">
        <f>"2015-03-17"</f>
        <v>2015-03-17</v>
      </c>
      <c r="B2530" t="str">
        <f>"89.8448"</f>
        <v>89.8448</v>
      </c>
      <c r="C2530">
        <v>2528</v>
      </c>
      <c r="D2530" s="7">
        <v>89.844800000000006</v>
      </c>
      <c r="E2530" s="7">
        <f t="shared" si="78"/>
        <v>227127.65440000003</v>
      </c>
      <c r="F2530" s="7">
        <f t="shared" si="79"/>
        <v>6390784</v>
      </c>
      <c r="G2530" s="7"/>
    </row>
    <row r="2531" spans="1:7" x14ac:dyDescent="0.35">
      <c r="A2531" t="str">
        <f>"2015-03-18"</f>
        <v>2015-03-18</v>
      </c>
      <c r="B2531" t="str">
        <f>"89.2953"</f>
        <v>89.2953</v>
      </c>
      <c r="C2531">
        <v>2529</v>
      </c>
      <c r="D2531" s="7">
        <v>89.295299999999997</v>
      </c>
      <c r="E2531" s="7">
        <f t="shared" si="78"/>
        <v>225827.8137</v>
      </c>
      <c r="F2531" s="7">
        <f t="shared" si="79"/>
        <v>6395841</v>
      </c>
      <c r="G2531" s="7"/>
    </row>
    <row r="2532" spans="1:7" x14ac:dyDescent="0.35">
      <c r="A2532" t="str">
        <f>"2015-03-19"</f>
        <v>2015-03-19</v>
      </c>
      <c r="B2532" t="str">
        <f>"91.9383"</f>
        <v>91.9383</v>
      </c>
      <c r="C2532">
        <v>2530</v>
      </c>
      <c r="D2532" s="7">
        <v>91.938299999999998</v>
      </c>
      <c r="E2532" s="7">
        <f t="shared" si="78"/>
        <v>232603.899</v>
      </c>
      <c r="F2532" s="7">
        <f t="shared" si="79"/>
        <v>6400900</v>
      </c>
      <c r="G2532" s="7"/>
    </row>
    <row r="2533" spans="1:7" x14ac:dyDescent="0.35">
      <c r="A2533" t="str">
        <f>"2015-03-20"</f>
        <v>2015-03-20</v>
      </c>
      <c r="B2533" t="str">
        <f>"90.1874"</f>
        <v>90.1874</v>
      </c>
      <c r="C2533">
        <v>2531</v>
      </c>
      <c r="D2533" s="7">
        <v>90.187399999999997</v>
      </c>
      <c r="E2533" s="7">
        <f t="shared" si="78"/>
        <v>228264.3094</v>
      </c>
      <c r="F2533" s="7">
        <f t="shared" si="79"/>
        <v>6405961</v>
      </c>
      <c r="G2533" s="7"/>
    </row>
    <row r="2534" spans="1:7" x14ac:dyDescent="0.35">
      <c r="A2534" t="str">
        <f>"2015-03-23"</f>
        <v>2015-03-23</v>
      </c>
      <c r="B2534" t="str">
        <f>"91.5306"</f>
        <v>91.5306</v>
      </c>
      <c r="C2534">
        <v>2532</v>
      </c>
      <c r="D2534" s="7">
        <v>91.530600000000007</v>
      </c>
      <c r="E2534" s="7">
        <f t="shared" si="78"/>
        <v>231755.47920000003</v>
      </c>
      <c r="F2534" s="7">
        <f t="shared" si="79"/>
        <v>6411024</v>
      </c>
      <c r="G2534" s="7"/>
    </row>
    <row r="2535" spans="1:7" x14ac:dyDescent="0.35">
      <c r="A2535" t="str">
        <f>"2015-03-24"</f>
        <v>2015-03-24</v>
      </c>
      <c r="B2535" t="str">
        <f>"89.6862"</f>
        <v>89.6862</v>
      </c>
      <c r="C2535">
        <v>2533</v>
      </c>
      <c r="D2535" s="7">
        <v>89.686199999999999</v>
      </c>
      <c r="E2535" s="7">
        <f t="shared" si="78"/>
        <v>227175.1446</v>
      </c>
      <c r="F2535" s="7">
        <f t="shared" si="79"/>
        <v>6416089</v>
      </c>
      <c r="G2535" s="7"/>
    </row>
    <row r="2536" spans="1:7" x14ac:dyDescent="0.35">
      <c r="A2536" t="str">
        <f>"2015-03-25"</f>
        <v>2015-03-25</v>
      </c>
      <c r="B2536" t="str">
        <f>"88.5443"</f>
        <v>88.5443</v>
      </c>
      <c r="C2536">
        <v>2534</v>
      </c>
      <c r="D2536" s="7">
        <v>88.544300000000007</v>
      </c>
      <c r="E2536" s="7">
        <f t="shared" si="78"/>
        <v>224371.2562</v>
      </c>
      <c r="F2536" s="7">
        <f t="shared" si="79"/>
        <v>6421156</v>
      </c>
      <c r="G2536" s="7"/>
    </row>
    <row r="2537" spans="1:7" x14ac:dyDescent="0.35">
      <c r="A2537" t="str">
        <f>"2015-03-26"</f>
        <v>2015-03-26</v>
      </c>
      <c r="B2537" t="str">
        <f>"84.5362"</f>
        <v>84.5362</v>
      </c>
      <c r="C2537">
        <v>2535</v>
      </c>
      <c r="D2537" s="7">
        <v>84.536199999999994</v>
      </c>
      <c r="E2537" s="7">
        <f t="shared" si="78"/>
        <v>214299.26699999999</v>
      </c>
      <c r="F2537" s="7">
        <f t="shared" si="79"/>
        <v>6426225</v>
      </c>
      <c r="G2537" s="7"/>
    </row>
    <row r="2538" spans="1:7" x14ac:dyDescent="0.35">
      <c r="A2538" t="str">
        <f>"2015-03-27"</f>
        <v>2015-03-27</v>
      </c>
      <c r="B2538" t="str">
        <f>"85.9482"</f>
        <v>85.9482</v>
      </c>
      <c r="C2538">
        <v>2536</v>
      </c>
      <c r="D2538" s="7">
        <v>85.9482</v>
      </c>
      <c r="E2538" s="7">
        <f t="shared" si="78"/>
        <v>217964.63519999999</v>
      </c>
      <c r="F2538" s="7">
        <f t="shared" si="79"/>
        <v>6431296</v>
      </c>
      <c r="G2538" s="7"/>
    </row>
    <row r="2539" spans="1:7" x14ac:dyDescent="0.35">
      <c r="A2539" t="str">
        <f>"2015-03-30"</f>
        <v>2015-03-30</v>
      </c>
      <c r="B2539" t="str">
        <f>"89.4707"</f>
        <v>89.4707</v>
      </c>
      <c r="C2539">
        <v>2537</v>
      </c>
      <c r="D2539" s="7">
        <v>89.470699999999994</v>
      </c>
      <c r="E2539" s="7">
        <f t="shared" si="78"/>
        <v>226987.16589999999</v>
      </c>
      <c r="F2539" s="7">
        <f t="shared" si="79"/>
        <v>6436369</v>
      </c>
      <c r="G2539" s="7"/>
    </row>
    <row r="2540" spans="1:7" x14ac:dyDescent="0.35">
      <c r="A2540" t="str">
        <f>"2015-03-31"</f>
        <v>2015-03-31</v>
      </c>
      <c r="B2540" t="str">
        <f>"89.9022"</f>
        <v>89.9022</v>
      </c>
      <c r="C2540">
        <v>2538</v>
      </c>
      <c r="D2540" s="7">
        <v>89.902199999999993</v>
      </c>
      <c r="E2540" s="7">
        <f t="shared" si="78"/>
        <v>228171.7836</v>
      </c>
      <c r="F2540" s="7">
        <f t="shared" si="79"/>
        <v>6441444</v>
      </c>
      <c r="G2540" s="7"/>
    </row>
    <row r="2541" spans="1:7" x14ac:dyDescent="0.35">
      <c r="A2541" t="str">
        <f>"2015-04-01"</f>
        <v>2015-04-01</v>
      </c>
      <c r="B2541" t="str">
        <f>"87.5728"</f>
        <v>87.5728</v>
      </c>
      <c r="C2541">
        <v>2539</v>
      </c>
      <c r="D2541" s="7">
        <v>87.572800000000001</v>
      </c>
      <c r="E2541" s="7">
        <f t="shared" si="78"/>
        <v>222347.33920000002</v>
      </c>
      <c r="F2541" s="7">
        <f t="shared" si="79"/>
        <v>6446521</v>
      </c>
      <c r="G2541" s="7"/>
    </row>
    <row r="2542" spans="1:7" x14ac:dyDescent="0.35">
      <c r="A2542" t="str">
        <f>"2015-04-02"</f>
        <v>2015-04-02</v>
      </c>
      <c r="B2542" t="str">
        <f>"89.0646"</f>
        <v>89.0646</v>
      </c>
      <c r="C2542">
        <v>2540</v>
      </c>
      <c r="D2542" s="7">
        <v>89.064599999999999</v>
      </c>
      <c r="E2542" s="7">
        <f t="shared" si="78"/>
        <v>226224.084</v>
      </c>
      <c r="F2542" s="7">
        <f t="shared" si="79"/>
        <v>6451600</v>
      </c>
      <c r="G2542" s="7"/>
    </row>
    <row r="2543" spans="1:7" x14ac:dyDescent="0.35">
      <c r="A2543" t="str">
        <f>"2015-04-06"</f>
        <v>2015-04-06</v>
      </c>
      <c r="B2543" t="str">
        <f>"89.5134"</f>
        <v>89.5134</v>
      </c>
      <c r="C2543">
        <v>2541</v>
      </c>
      <c r="D2543" s="7">
        <v>89.513400000000004</v>
      </c>
      <c r="E2543" s="7">
        <f t="shared" si="78"/>
        <v>227453.54940000002</v>
      </c>
      <c r="F2543" s="7">
        <f t="shared" si="79"/>
        <v>6456681</v>
      </c>
      <c r="G2543" s="7"/>
    </row>
    <row r="2544" spans="1:7" x14ac:dyDescent="0.35">
      <c r="A2544" t="str">
        <f>"2015-04-07"</f>
        <v>2015-04-07</v>
      </c>
      <c r="B2544" t="str">
        <f>"88.2548"</f>
        <v>88.2548</v>
      </c>
      <c r="C2544">
        <v>2542</v>
      </c>
      <c r="D2544" s="7">
        <v>88.254800000000003</v>
      </c>
      <c r="E2544" s="7">
        <f t="shared" si="78"/>
        <v>224343.7016</v>
      </c>
      <c r="F2544" s="7">
        <f t="shared" si="79"/>
        <v>6461764</v>
      </c>
      <c r="G2544" s="7"/>
    </row>
    <row r="2545" spans="1:7" x14ac:dyDescent="0.35">
      <c r="A2545" t="str">
        <f>"2015-04-08"</f>
        <v>2015-04-08</v>
      </c>
      <c r="B2545" t="str">
        <f>"89.8557"</f>
        <v>89.8557</v>
      </c>
      <c r="C2545">
        <v>2543</v>
      </c>
      <c r="D2545" s="7">
        <v>89.855699999999999</v>
      </c>
      <c r="E2545" s="7">
        <f t="shared" si="78"/>
        <v>228503.04509999999</v>
      </c>
      <c r="F2545" s="7">
        <f t="shared" si="79"/>
        <v>6466849</v>
      </c>
      <c r="G2545" s="7"/>
    </row>
    <row r="2546" spans="1:7" x14ac:dyDescent="0.35">
      <c r="A2546" t="str">
        <f>"2015-04-09"</f>
        <v>2015-04-09</v>
      </c>
      <c r="B2546" t="str">
        <f>"91.2864"</f>
        <v>91.2864</v>
      </c>
      <c r="C2546">
        <v>2544</v>
      </c>
      <c r="D2546" s="7">
        <v>91.2864</v>
      </c>
      <c r="E2546" s="7">
        <f t="shared" si="78"/>
        <v>232232.60159999999</v>
      </c>
      <c r="F2546" s="7">
        <f t="shared" si="79"/>
        <v>6471936</v>
      </c>
      <c r="G2546" s="7"/>
    </row>
    <row r="2547" spans="1:7" x14ac:dyDescent="0.35">
      <c r="A2547" t="str">
        <f>"2015-04-10"</f>
        <v>2015-04-10</v>
      </c>
      <c r="B2547" t="str">
        <f>"88.5412"</f>
        <v>88.5412</v>
      </c>
      <c r="C2547">
        <v>2545</v>
      </c>
      <c r="D2547" s="7">
        <v>88.541200000000003</v>
      </c>
      <c r="E2547" s="7">
        <f t="shared" si="78"/>
        <v>225337.35400000002</v>
      </c>
      <c r="F2547" s="7">
        <f t="shared" si="79"/>
        <v>6477025</v>
      </c>
      <c r="G2547" s="7"/>
    </row>
    <row r="2548" spans="1:7" x14ac:dyDescent="0.35">
      <c r="A2548" t="str">
        <f>"2015-04-13"</f>
        <v>2015-04-13</v>
      </c>
      <c r="B2548" t="str">
        <f>"89.4566"</f>
        <v>89.4566</v>
      </c>
      <c r="C2548">
        <v>2546</v>
      </c>
      <c r="D2548" s="7">
        <v>89.456599999999995</v>
      </c>
      <c r="E2548" s="7">
        <f t="shared" si="78"/>
        <v>227756.5036</v>
      </c>
      <c r="F2548" s="7">
        <f t="shared" si="79"/>
        <v>6482116</v>
      </c>
      <c r="G2548" s="7"/>
    </row>
    <row r="2549" spans="1:7" x14ac:dyDescent="0.35">
      <c r="A2549" t="str">
        <f>"2015-04-14"</f>
        <v>2015-04-14</v>
      </c>
      <c r="B2549" t="str">
        <f>"88.2496"</f>
        <v>88.2496</v>
      </c>
      <c r="C2549">
        <v>2547</v>
      </c>
      <c r="D2549" s="7">
        <v>88.249600000000001</v>
      </c>
      <c r="E2549" s="7">
        <f t="shared" si="78"/>
        <v>224771.73120000001</v>
      </c>
      <c r="F2549" s="7">
        <f t="shared" si="79"/>
        <v>6487209</v>
      </c>
      <c r="G2549" s="7"/>
    </row>
    <row r="2550" spans="1:7" x14ac:dyDescent="0.35">
      <c r="A2550" t="str">
        <f>"2015-04-15"</f>
        <v>2015-04-15</v>
      </c>
      <c r="B2550" t="str">
        <f>"84.7845"</f>
        <v>84.7845</v>
      </c>
      <c r="C2550">
        <v>2548</v>
      </c>
      <c r="D2550" s="7">
        <v>84.784499999999994</v>
      </c>
      <c r="E2550" s="7">
        <f t="shared" si="78"/>
        <v>216030.90599999999</v>
      </c>
      <c r="F2550" s="7">
        <f t="shared" si="79"/>
        <v>6492304</v>
      </c>
      <c r="G2550" s="7"/>
    </row>
    <row r="2551" spans="1:7" x14ac:dyDescent="0.35">
      <c r="A2551" t="str">
        <f>"2015-04-16"</f>
        <v>2015-04-16</v>
      </c>
      <c r="B2551" t="str">
        <f>"85.5624"</f>
        <v>85.5624</v>
      </c>
      <c r="C2551">
        <v>2549</v>
      </c>
      <c r="D2551" s="7">
        <v>85.562399999999997</v>
      </c>
      <c r="E2551" s="7">
        <f t="shared" si="78"/>
        <v>218098.5576</v>
      </c>
      <c r="F2551" s="7">
        <f t="shared" si="79"/>
        <v>6497401</v>
      </c>
      <c r="G2551" s="7"/>
    </row>
    <row r="2552" spans="1:7" x14ac:dyDescent="0.35">
      <c r="A2552" t="str">
        <f>"2015-04-17"</f>
        <v>2015-04-17</v>
      </c>
      <c r="B2552" t="str">
        <f>"85.6559"</f>
        <v>85.6559</v>
      </c>
      <c r="C2552">
        <v>2550</v>
      </c>
      <c r="D2552" s="7">
        <v>85.655900000000003</v>
      </c>
      <c r="E2552" s="7">
        <f t="shared" si="78"/>
        <v>218422.54500000001</v>
      </c>
      <c r="F2552" s="7">
        <f t="shared" si="79"/>
        <v>6502500</v>
      </c>
      <c r="G2552" s="7"/>
    </row>
    <row r="2553" spans="1:7" x14ac:dyDescent="0.35">
      <c r="A2553" t="str">
        <f>"2015-04-20"</f>
        <v>2015-04-20</v>
      </c>
      <c r="B2553" t="str">
        <f>"87.4871"</f>
        <v>87.4871</v>
      </c>
      <c r="C2553">
        <v>2551</v>
      </c>
      <c r="D2553" s="7">
        <v>87.487099999999998</v>
      </c>
      <c r="E2553" s="7">
        <f t="shared" si="78"/>
        <v>223179.59210000001</v>
      </c>
      <c r="F2553" s="7">
        <f t="shared" si="79"/>
        <v>6507601</v>
      </c>
      <c r="G2553" s="7"/>
    </row>
    <row r="2554" spans="1:7" x14ac:dyDescent="0.35">
      <c r="A2554" t="str">
        <f>"2015-04-21"</f>
        <v>2015-04-21</v>
      </c>
      <c r="B2554" t="str">
        <f>"88.4436"</f>
        <v>88.4436</v>
      </c>
      <c r="C2554">
        <v>2552</v>
      </c>
      <c r="D2554" s="7">
        <v>88.443600000000004</v>
      </c>
      <c r="E2554" s="7">
        <f t="shared" si="78"/>
        <v>225708.06720000002</v>
      </c>
      <c r="F2554" s="7">
        <f t="shared" si="79"/>
        <v>6512704</v>
      </c>
      <c r="G2554" s="7"/>
    </row>
    <row r="2555" spans="1:7" x14ac:dyDescent="0.35">
      <c r="A2555" t="str">
        <f>"2015-04-22"</f>
        <v>2015-04-22</v>
      </c>
      <c r="B2555" t="str">
        <f>"89.4195"</f>
        <v>89.4195</v>
      </c>
      <c r="C2555">
        <v>2553</v>
      </c>
      <c r="D2555" s="7">
        <v>89.419499999999999</v>
      </c>
      <c r="E2555" s="7">
        <f t="shared" si="78"/>
        <v>228287.9835</v>
      </c>
      <c r="F2555" s="7">
        <f t="shared" si="79"/>
        <v>6517809</v>
      </c>
      <c r="G2555" s="7"/>
    </row>
    <row r="2556" spans="1:7" x14ac:dyDescent="0.35">
      <c r="A2556" t="str">
        <f>"2015-04-23"</f>
        <v>2015-04-23</v>
      </c>
      <c r="B2556" t="str">
        <f>"87.9462"</f>
        <v>87.9462</v>
      </c>
      <c r="C2556">
        <v>2554</v>
      </c>
      <c r="D2556" s="7">
        <v>87.946200000000005</v>
      </c>
      <c r="E2556" s="7">
        <f t="shared" si="78"/>
        <v>224614.59480000002</v>
      </c>
      <c r="F2556" s="7">
        <f t="shared" si="79"/>
        <v>6522916</v>
      </c>
      <c r="G2556" s="7"/>
    </row>
    <row r="2557" spans="1:7" x14ac:dyDescent="0.35">
      <c r="A2557" t="str">
        <f>"2015-04-24"</f>
        <v>2015-04-24</v>
      </c>
      <c r="B2557" t="str">
        <f>"90.8505"</f>
        <v>90.8505</v>
      </c>
      <c r="C2557">
        <v>2555</v>
      </c>
      <c r="D2557" s="7">
        <v>90.850499999999997</v>
      </c>
      <c r="E2557" s="7">
        <f t="shared" si="78"/>
        <v>232123.0275</v>
      </c>
      <c r="F2557" s="7">
        <f t="shared" si="79"/>
        <v>6528025</v>
      </c>
      <c r="G2557" s="7"/>
    </row>
    <row r="2558" spans="1:7" x14ac:dyDescent="0.35">
      <c r="A2558" t="str">
        <f>"2015-04-27"</f>
        <v>2015-04-27</v>
      </c>
      <c r="B2558" t="str">
        <f>"89.0554"</f>
        <v>89.0554</v>
      </c>
      <c r="C2558">
        <v>2556</v>
      </c>
      <c r="D2558" s="7">
        <v>89.055400000000006</v>
      </c>
      <c r="E2558" s="7">
        <f t="shared" si="78"/>
        <v>227625.6024</v>
      </c>
      <c r="F2558" s="7">
        <f t="shared" si="79"/>
        <v>6533136</v>
      </c>
      <c r="G2558" s="7"/>
    </row>
    <row r="2559" spans="1:7" x14ac:dyDescent="0.35">
      <c r="A2559" t="str">
        <f>"2015-04-28"</f>
        <v>2015-04-28</v>
      </c>
      <c r="B2559" t="str">
        <f>"88.4224"</f>
        <v>88.4224</v>
      </c>
      <c r="C2559">
        <v>2557</v>
      </c>
      <c r="D2559" s="7">
        <v>88.422399999999996</v>
      </c>
      <c r="E2559" s="7">
        <f t="shared" si="78"/>
        <v>226096.07679999998</v>
      </c>
      <c r="F2559" s="7">
        <f t="shared" si="79"/>
        <v>6538249</v>
      </c>
      <c r="G2559" s="7"/>
    </row>
    <row r="2560" spans="1:7" x14ac:dyDescent="0.35">
      <c r="A2560" t="str">
        <f>"2015-04-29"</f>
        <v>2015-04-29</v>
      </c>
      <c r="B2560" t="str">
        <f>"89.5927"</f>
        <v>89.5927</v>
      </c>
      <c r="C2560">
        <v>2558</v>
      </c>
      <c r="D2560" s="7">
        <v>89.592699999999994</v>
      </c>
      <c r="E2560" s="7">
        <f t="shared" si="78"/>
        <v>229178.12659999999</v>
      </c>
      <c r="F2560" s="7">
        <f t="shared" si="79"/>
        <v>6543364</v>
      </c>
      <c r="G2560" s="7"/>
    </row>
    <row r="2561" spans="1:7" x14ac:dyDescent="0.35">
      <c r="A2561" t="str">
        <f>"2015-04-30"</f>
        <v>2015-04-30</v>
      </c>
      <c r="B2561" t="str">
        <f>"87.9239"</f>
        <v>87.9239</v>
      </c>
      <c r="C2561">
        <v>2559</v>
      </c>
      <c r="D2561" s="7">
        <v>87.923900000000003</v>
      </c>
      <c r="E2561" s="7">
        <f t="shared" si="78"/>
        <v>224997.26010000001</v>
      </c>
      <c r="F2561" s="7">
        <f t="shared" si="79"/>
        <v>6548481</v>
      </c>
      <c r="G2561" s="7"/>
    </row>
    <row r="2562" spans="1:7" x14ac:dyDescent="0.35">
      <c r="A2562" t="str">
        <f>"2015-05-01"</f>
        <v>2015-05-01</v>
      </c>
      <c r="B2562" t="str">
        <f>"87.9614"</f>
        <v>87.9614</v>
      </c>
      <c r="C2562">
        <v>2560</v>
      </c>
      <c r="D2562" s="7">
        <v>87.961399999999998</v>
      </c>
      <c r="E2562" s="7">
        <f t="shared" si="78"/>
        <v>225181.18400000001</v>
      </c>
      <c r="F2562" s="7">
        <f t="shared" si="79"/>
        <v>6553600</v>
      </c>
      <c r="G2562" s="7"/>
    </row>
    <row r="2563" spans="1:7" x14ac:dyDescent="0.35">
      <c r="A2563" t="str">
        <f>"2015-05-04"</f>
        <v>2015-05-04</v>
      </c>
      <c r="B2563" t="str">
        <f>"87.5761"</f>
        <v>87.5761</v>
      </c>
      <c r="C2563">
        <v>2561</v>
      </c>
      <c r="D2563" s="7">
        <v>87.576099999999997</v>
      </c>
      <c r="E2563" s="7">
        <f t="shared" si="78"/>
        <v>224282.3921</v>
      </c>
      <c r="F2563" s="7">
        <f t="shared" si="79"/>
        <v>6558721</v>
      </c>
      <c r="G2563" s="7"/>
    </row>
    <row r="2564" spans="1:7" x14ac:dyDescent="0.35">
      <c r="A2564" t="str">
        <f>"2015-05-05"</f>
        <v>2015-05-05</v>
      </c>
      <c r="B2564" t="str">
        <f>"85.8871"</f>
        <v>85.8871</v>
      </c>
      <c r="C2564">
        <v>2562</v>
      </c>
      <c r="D2564" s="7">
        <v>85.887100000000004</v>
      </c>
      <c r="E2564" s="7">
        <f t="shared" ref="E2564:E2627" si="80">C2564*D2564</f>
        <v>220042.75020000001</v>
      </c>
      <c r="F2564" s="7">
        <f t="shared" ref="F2564:F2627" si="81">C2564*C2564</f>
        <v>6563844</v>
      </c>
      <c r="G2564" s="7"/>
    </row>
    <row r="2565" spans="1:7" x14ac:dyDescent="0.35">
      <c r="A2565" t="str">
        <f>"2015-05-06"</f>
        <v>2015-05-06</v>
      </c>
      <c r="B2565" t="str">
        <f>"84.4275"</f>
        <v>84.4275</v>
      </c>
      <c r="C2565">
        <v>2563</v>
      </c>
      <c r="D2565" s="7">
        <v>84.427499999999995</v>
      </c>
      <c r="E2565" s="7">
        <f t="shared" si="80"/>
        <v>216387.6825</v>
      </c>
      <c r="F2565" s="7">
        <f t="shared" si="81"/>
        <v>6568969</v>
      </c>
      <c r="G2565" s="7"/>
    </row>
    <row r="2566" spans="1:7" x14ac:dyDescent="0.35">
      <c r="A2566" t="str">
        <f>"2015-05-07"</f>
        <v>2015-05-07</v>
      </c>
      <c r="B2566" t="str">
        <f>"86.7214"</f>
        <v>86.7214</v>
      </c>
      <c r="C2566">
        <v>2564</v>
      </c>
      <c r="D2566" s="7">
        <v>86.721400000000003</v>
      </c>
      <c r="E2566" s="7">
        <f t="shared" si="80"/>
        <v>222353.66959999999</v>
      </c>
      <c r="F2566" s="7">
        <f t="shared" si="81"/>
        <v>6574096</v>
      </c>
      <c r="G2566" s="7"/>
    </row>
    <row r="2567" spans="1:7" x14ac:dyDescent="0.35">
      <c r="A2567" t="str">
        <f>"2015-05-08"</f>
        <v>2015-05-08</v>
      </c>
      <c r="B2567" t="str">
        <f>"87.296"</f>
        <v>87.296</v>
      </c>
      <c r="C2567">
        <v>2565</v>
      </c>
      <c r="D2567" s="7">
        <v>87.296000000000006</v>
      </c>
      <c r="E2567" s="7">
        <f t="shared" si="80"/>
        <v>223914.24000000002</v>
      </c>
      <c r="F2567" s="7">
        <f t="shared" si="81"/>
        <v>6579225</v>
      </c>
      <c r="G2567" s="7"/>
    </row>
    <row r="2568" spans="1:7" x14ac:dyDescent="0.35">
      <c r="A2568" t="str">
        <f>"2015-05-11"</f>
        <v>2015-05-11</v>
      </c>
      <c r="B2568" t="str">
        <f>"89.1884"</f>
        <v>89.1884</v>
      </c>
      <c r="C2568">
        <v>2566</v>
      </c>
      <c r="D2568" s="7">
        <v>89.188400000000001</v>
      </c>
      <c r="E2568" s="7">
        <f t="shared" si="80"/>
        <v>228857.4344</v>
      </c>
      <c r="F2568" s="7">
        <f t="shared" si="81"/>
        <v>6584356</v>
      </c>
      <c r="G2568" s="7"/>
    </row>
    <row r="2569" spans="1:7" x14ac:dyDescent="0.35">
      <c r="A2569" t="str">
        <f>"2015-05-12"</f>
        <v>2015-05-12</v>
      </c>
      <c r="B2569" t="str">
        <f>"90.858"</f>
        <v>90.858</v>
      </c>
      <c r="C2569">
        <v>2567</v>
      </c>
      <c r="D2569" s="7">
        <v>90.858000000000004</v>
      </c>
      <c r="E2569" s="7">
        <f t="shared" si="80"/>
        <v>233232.486</v>
      </c>
      <c r="F2569" s="7">
        <f t="shared" si="81"/>
        <v>6589489</v>
      </c>
      <c r="G2569" s="7"/>
    </row>
    <row r="2570" spans="1:7" x14ac:dyDescent="0.35">
      <c r="A2570" t="str">
        <f>"2015-05-13"</f>
        <v>2015-05-13</v>
      </c>
      <c r="B2570" t="str">
        <f>"90.6887"</f>
        <v>90.6887</v>
      </c>
      <c r="C2570">
        <v>2568</v>
      </c>
      <c r="D2570" s="7">
        <v>90.688699999999997</v>
      </c>
      <c r="E2570" s="7">
        <f t="shared" si="80"/>
        <v>232888.5816</v>
      </c>
      <c r="F2570" s="7">
        <f t="shared" si="81"/>
        <v>6594624</v>
      </c>
      <c r="G2570" s="7"/>
    </row>
    <row r="2571" spans="1:7" x14ac:dyDescent="0.35">
      <c r="A2571" t="str">
        <f>"2015-05-14"</f>
        <v>2015-05-14</v>
      </c>
      <c r="B2571" t="str">
        <f>"92.3717"</f>
        <v>92.3717</v>
      </c>
      <c r="C2571">
        <v>2569</v>
      </c>
      <c r="D2571" s="7">
        <v>92.371700000000004</v>
      </c>
      <c r="E2571" s="7">
        <f t="shared" si="80"/>
        <v>237302.89730000001</v>
      </c>
      <c r="F2571" s="7">
        <f t="shared" si="81"/>
        <v>6599761</v>
      </c>
      <c r="G2571" s="7"/>
    </row>
    <row r="2572" spans="1:7" x14ac:dyDescent="0.35">
      <c r="A2572" t="str">
        <f>"2015-05-15"</f>
        <v>2015-05-15</v>
      </c>
      <c r="B2572" t="str">
        <f>"94.7214"</f>
        <v>94.7214</v>
      </c>
      <c r="C2572">
        <v>2570</v>
      </c>
      <c r="D2572" s="7">
        <v>94.721400000000003</v>
      </c>
      <c r="E2572" s="7">
        <f t="shared" si="80"/>
        <v>243433.99800000002</v>
      </c>
      <c r="F2572" s="7">
        <f t="shared" si="81"/>
        <v>6604900</v>
      </c>
      <c r="G2572" s="7"/>
    </row>
    <row r="2573" spans="1:7" x14ac:dyDescent="0.35">
      <c r="A2573" t="str">
        <f>"2015-05-18"</f>
        <v>2015-05-18</v>
      </c>
      <c r="B2573" t="str">
        <f>"96.3699"</f>
        <v>96.3699</v>
      </c>
      <c r="C2573">
        <v>2571</v>
      </c>
      <c r="D2573" s="7">
        <v>96.369900000000001</v>
      </c>
      <c r="E2573" s="7">
        <f t="shared" si="80"/>
        <v>247767.0129</v>
      </c>
      <c r="F2573" s="7">
        <f t="shared" si="81"/>
        <v>6610041</v>
      </c>
      <c r="G2573" s="7"/>
    </row>
    <row r="2574" spans="1:7" x14ac:dyDescent="0.35">
      <c r="A2574" t="str">
        <f>"2015-05-19"</f>
        <v>2015-05-19</v>
      </c>
      <c r="B2574" t="str">
        <f>"97.808"</f>
        <v>97.808</v>
      </c>
      <c r="C2574">
        <v>2572</v>
      </c>
      <c r="D2574" s="7">
        <v>97.808000000000007</v>
      </c>
      <c r="E2574" s="7">
        <f t="shared" si="80"/>
        <v>251562.17600000001</v>
      </c>
      <c r="F2574" s="7">
        <f t="shared" si="81"/>
        <v>6615184</v>
      </c>
      <c r="G2574" s="7"/>
    </row>
    <row r="2575" spans="1:7" x14ac:dyDescent="0.35">
      <c r="A2575" t="str">
        <f>"2015-05-20"</f>
        <v>2015-05-20</v>
      </c>
      <c r="B2575" t="str">
        <f>"95.3277"</f>
        <v>95.3277</v>
      </c>
      <c r="C2575">
        <v>2573</v>
      </c>
      <c r="D2575" s="7">
        <v>95.327699999999993</v>
      </c>
      <c r="E2575" s="7">
        <f t="shared" si="80"/>
        <v>245278.1721</v>
      </c>
      <c r="F2575" s="7">
        <f t="shared" si="81"/>
        <v>6620329</v>
      </c>
      <c r="G2575" s="7"/>
    </row>
    <row r="2576" spans="1:7" x14ac:dyDescent="0.35">
      <c r="A2576" t="str">
        <f>"2015-05-21"</f>
        <v>2015-05-21</v>
      </c>
      <c r="B2576" t="str">
        <f>"92.7533"</f>
        <v>92.7533</v>
      </c>
      <c r="C2576">
        <v>2574</v>
      </c>
      <c r="D2576" s="7">
        <v>92.753299999999996</v>
      </c>
      <c r="E2576" s="7">
        <f t="shared" si="80"/>
        <v>238746.99419999999</v>
      </c>
      <c r="F2576" s="7">
        <f t="shared" si="81"/>
        <v>6625476</v>
      </c>
      <c r="G2576" s="7"/>
    </row>
    <row r="2577" spans="1:7" x14ac:dyDescent="0.35">
      <c r="A2577" t="str">
        <f>"2015-05-22"</f>
        <v>2015-05-22</v>
      </c>
      <c r="B2577" t="str">
        <f>"92.9052"</f>
        <v>92.9052</v>
      </c>
      <c r="C2577">
        <v>2575</v>
      </c>
      <c r="D2577" s="7">
        <v>92.905199999999994</v>
      </c>
      <c r="E2577" s="7">
        <f t="shared" si="80"/>
        <v>239230.88999999998</v>
      </c>
      <c r="F2577" s="7">
        <f t="shared" si="81"/>
        <v>6630625</v>
      </c>
      <c r="G2577" s="7"/>
    </row>
    <row r="2578" spans="1:7" x14ac:dyDescent="0.35">
      <c r="A2578" t="str">
        <f>"2015-05-26"</f>
        <v>2015-05-26</v>
      </c>
      <c r="B2578" t="str">
        <f>"92.2921"</f>
        <v>92.2921</v>
      </c>
      <c r="C2578">
        <v>2576</v>
      </c>
      <c r="D2578" s="7">
        <v>92.292100000000005</v>
      </c>
      <c r="E2578" s="7">
        <f t="shared" si="80"/>
        <v>237744.44960000002</v>
      </c>
      <c r="F2578" s="7">
        <f t="shared" si="81"/>
        <v>6635776</v>
      </c>
      <c r="G2578" s="7"/>
    </row>
    <row r="2579" spans="1:7" x14ac:dyDescent="0.35">
      <c r="A2579" t="str">
        <f>"2015-05-27"</f>
        <v>2015-05-27</v>
      </c>
      <c r="B2579" t="str">
        <f>"93.2912"</f>
        <v>93.2912</v>
      </c>
      <c r="C2579">
        <v>2577</v>
      </c>
      <c r="D2579" s="7">
        <v>93.291200000000003</v>
      </c>
      <c r="E2579" s="7">
        <f t="shared" si="80"/>
        <v>240411.42240000001</v>
      </c>
      <c r="F2579" s="7">
        <f t="shared" si="81"/>
        <v>6640929</v>
      </c>
      <c r="G2579" s="7"/>
    </row>
    <row r="2580" spans="1:7" x14ac:dyDescent="0.35">
      <c r="A2580" t="str">
        <f>"2015-05-28"</f>
        <v>2015-05-28</v>
      </c>
      <c r="B2580" t="str">
        <f>"92.3827"</f>
        <v>92.3827</v>
      </c>
      <c r="C2580">
        <v>2578</v>
      </c>
      <c r="D2580" s="7">
        <v>92.3827</v>
      </c>
      <c r="E2580" s="7">
        <f t="shared" si="80"/>
        <v>238162.60060000001</v>
      </c>
      <c r="F2580" s="7">
        <f t="shared" si="81"/>
        <v>6646084</v>
      </c>
      <c r="G2580" s="7"/>
    </row>
    <row r="2581" spans="1:7" x14ac:dyDescent="0.35">
      <c r="A2581" t="str">
        <f>"2015-05-29"</f>
        <v>2015-05-29</v>
      </c>
      <c r="B2581" t="str">
        <f>"88.8327"</f>
        <v>88.8327</v>
      </c>
      <c r="C2581">
        <v>2579</v>
      </c>
      <c r="D2581" s="7">
        <v>88.832700000000003</v>
      </c>
      <c r="E2581" s="7">
        <f t="shared" si="80"/>
        <v>229099.53330000001</v>
      </c>
      <c r="F2581" s="7">
        <f t="shared" si="81"/>
        <v>6651241</v>
      </c>
      <c r="G2581" s="7"/>
    </row>
    <row r="2582" spans="1:7" x14ac:dyDescent="0.35">
      <c r="A2582" t="str">
        <f>"2015-06-01"</f>
        <v>2015-06-01</v>
      </c>
      <c r="B2582" t="str">
        <f>"86.312"</f>
        <v>86.312</v>
      </c>
      <c r="C2582">
        <v>2580</v>
      </c>
      <c r="D2582" s="7">
        <v>86.311999999999998</v>
      </c>
      <c r="E2582" s="7">
        <f t="shared" si="80"/>
        <v>222684.96</v>
      </c>
      <c r="F2582" s="7">
        <f t="shared" si="81"/>
        <v>6656400</v>
      </c>
      <c r="G2582" s="7"/>
    </row>
    <row r="2583" spans="1:7" x14ac:dyDescent="0.35">
      <c r="A2583" t="str">
        <f>"2015-06-02"</f>
        <v>2015-06-02</v>
      </c>
      <c r="B2583" t="str">
        <f>"86.1836"</f>
        <v>86.1836</v>
      </c>
      <c r="C2583">
        <v>2581</v>
      </c>
      <c r="D2583" s="7">
        <v>86.183599999999998</v>
      </c>
      <c r="E2583" s="7">
        <f t="shared" si="80"/>
        <v>222439.87159999998</v>
      </c>
      <c r="F2583" s="7">
        <f t="shared" si="81"/>
        <v>6661561</v>
      </c>
      <c r="G2583" s="7"/>
    </row>
    <row r="2584" spans="1:7" x14ac:dyDescent="0.35">
      <c r="A2584" t="str">
        <f>"2015-06-03"</f>
        <v>2015-06-03</v>
      </c>
      <c r="B2584" t="str">
        <f>"88.8192"</f>
        <v>88.8192</v>
      </c>
      <c r="C2584">
        <v>2582</v>
      </c>
      <c r="D2584" s="7">
        <v>88.819199999999995</v>
      </c>
      <c r="E2584" s="7">
        <f t="shared" si="80"/>
        <v>229331.17439999999</v>
      </c>
      <c r="F2584" s="7">
        <f t="shared" si="81"/>
        <v>6666724</v>
      </c>
      <c r="G2584" s="7"/>
    </row>
    <row r="2585" spans="1:7" x14ac:dyDescent="0.35">
      <c r="A2585" t="str">
        <f>"2015-06-04"</f>
        <v>2015-06-04</v>
      </c>
      <c r="B2585" t="str">
        <f>"89.4432"</f>
        <v>89.4432</v>
      </c>
      <c r="C2585">
        <v>2583</v>
      </c>
      <c r="D2585" s="7">
        <v>89.443200000000004</v>
      </c>
      <c r="E2585" s="7">
        <f t="shared" si="80"/>
        <v>231031.7856</v>
      </c>
      <c r="F2585" s="7">
        <f t="shared" si="81"/>
        <v>6671889</v>
      </c>
      <c r="G2585" s="7"/>
    </row>
    <row r="2586" spans="1:7" x14ac:dyDescent="0.35">
      <c r="A2586" t="str">
        <f>"2015-06-05"</f>
        <v>2015-06-05</v>
      </c>
      <c r="B2586" t="str">
        <f>"89.8181"</f>
        <v>89.8181</v>
      </c>
      <c r="C2586">
        <v>2584</v>
      </c>
      <c r="D2586" s="7">
        <v>89.818100000000001</v>
      </c>
      <c r="E2586" s="7">
        <f t="shared" si="80"/>
        <v>232089.97039999999</v>
      </c>
      <c r="F2586" s="7">
        <f t="shared" si="81"/>
        <v>6677056</v>
      </c>
      <c r="G2586" s="7"/>
    </row>
    <row r="2587" spans="1:7" x14ac:dyDescent="0.35">
      <c r="A2587" t="str">
        <f>"2015-06-08"</f>
        <v>2015-06-08</v>
      </c>
      <c r="B2587" t="str">
        <f>"81.1064"</f>
        <v>81.1064</v>
      </c>
      <c r="C2587">
        <v>2585</v>
      </c>
      <c r="D2587" s="7">
        <v>81.106399999999994</v>
      </c>
      <c r="E2587" s="7">
        <f t="shared" si="80"/>
        <v>209660.04399999999</v>
      </c>
      <c r="F2587" s="7">
        <f t="shared" si="81"/>
        <v>6682225</v>
      </c>
      <c r="G2587" s="7"/>
    </row>
    <row r="2588" spans="1:7" x14ac:dyDescent="0.35">
      <c r="A2588" t="str">
        <f>"2015-06-09"</f>
        <v>2015-06-09</v>
      </c>
      <c r="B2588" t="str">
        <f>"80.6938"</f>
        <v>80.6938</v>
      </c>
      <c r="C2588">
        <v>2586</v>
      </c>
      <c r="D2588" s="7">
        <v>80.693799999999996</v>
      </c>
      <c r="E2588" s="7">
        <f t="shared" si="80"/>
        <v>208674.16679999998</v>
      </c>
      <c r="F2588" s="7">
        <f t="shared" si="81"/>
        <v>6687396</v>
      </c>
      <c r="G2588" s="7"/>
    </row>
    <row r="2589" spans="1:7" x14ac:dyDescent="0.35">
      <c r="A2589" t="str">
        <f>"2015-06-10"</f>
        <v>2015-06-10</v>
      </c>
      <c r="B2589" t="str">
        <f>"82.0838"</f>
        <v>82.0838</v>
      </c>
      <c r="C2589">
        <v>2587</v>
      </c>
      <c r="D2589" s="7">
        <v>82.083799999999997</v>
      </c>
      <c r="E2589" s="7">
        <f t="shared" si="80"/>
        <v>212350.79059999998</v>
      </c>
      <c r="F2589" s="7">
        <f t="shared" si="81"/>
        <v>6692569</v>
      </c>
      <c r="G2589" s="7"/>
    </row>
    <row r="2590" spans="1:7" x14ac:dyDescent="0.35">
      <c r="A2590" t="str">
        <f>"2015-06-11"</f>
        <v>2015-06-11</v>
      </c>
      <c r="B2590" t="str">
        <f>"84.4157"</f>
        <v>84.4157</v>
      </c>
      <c r="C2590">
        <v>2588</v>
      </c>
      <c r="D2590" s="7">
        <v>84.415700000000001</v>
      </c>
      <c r="E2590" s="7">
        <f t="shared" si="80"/>
        <v>218467.8316</v>
      </c>
      <c r="F2590" s="7">
        <f t="shared" si="81"/>
        <v>6697744</v>
      </c>
      <c r="G2590" s="7"/>
    </row>
    <row r="2591" spans="1:7" x14ac:dyDescent="0.35">
      <c r="A2591" t="str">
        <f>"2015-06-12"</f>
        <v>2015-06-12</v>
      </c>
      <c r="B2591" t="str">
        <f>"85.4173"</f>
        <v>85.4173</v>
      </c>
      <c r="C2591">
        <v>2589</v>
      </c>
      <c r="D2591" s="7">
        <v>85.417299999999997</v>
      </c>
      <c r="E2591" s="7">
        <f t="shared" si="80"/>
        <v>221145.3897</v>
      </c>
      <c r="F2591" s="7">
        <f t="shared" si="81"/>
        <v>6702921</v>
      </c>
      <c r="G2591" s="7"/>
    </row>
    <row r="2592" spans="1:7" x14ac:dyDescent="0.35">
      <c r="A2592" t="str">
        <f>"2015-06-15"</f>
        <v>2015-06-15</v>
      </c>
      <c r="B2592" t="str">
        <f>"82.8927"</f>
        <v>82.8927</v>
      </c>
      <c r="C2592">
        <v>2590</v>
      </c>
      <c r="D2592" s="7">
        <v>82.892700000000005</v>
      </c>
      <c r="E2592" s="7">
        <f t="shared" si="80"/>
        <v>214692.09300000002</v>
      </c>
      <c r="F2592" s="7">
        <f t="shared" si="81"/>
        <v>6708100</v>
      </c>
      <c r="G2592" s="7"/>
    </row>
    <row r="2593" spans="1:7" x14ac:dyDescent="0.35">
      <c r="A2593" t="str">
        <f>"2015-06-16"</f>
        <v>2015-06-16</v>
      </c>
      <c r="B2593" t="str">
        <f>"83.9821"</f>
        <v>83.9821</v>
      </c>
      <c r="C2593">
        <v>2591</v>
      </c>
      <c r="D2593" s="7">
        <v>83.982100000000003</v>
      </c>
      <c r="E2593" s="7">
        <f t="shared" si="80"/>
        <v>217597.62110000002</v>
      </c>
      <c r="F2593" s="7">
        <f t="shared" si="81"/>
        <v>6713281</v>
      </c>
      <c r="G2593" s="7"/>
    </row>
    <row r="2594" spans="1:7" x14ac:dyDescent="0.35">
      <c r="A2594" t="str">
        <f>"2015-06-17"</f>
        <v>2015-06-17</v>
      </c>
      <c r="B2594" t="str">
        <f>"85.6059"</f>
        <v>85.6059</v>
      </c>
      <c r="C2594">
        <v>2592</v>
      </c>
      <c r="D2594" s="7">
        <v>85.605900000000005</v>
      </c>
      <c r="E2594" s="7">
        <f t="shared" si="80"/>
        <v>221890.49280000001</v>
      </c>
      <c r="F2594" s="7">
        <f t="shared" si="81"/>
        <v>6718464</v>
      </c>
      <c r="G2594" s="7"/>
    </row>
    <row r="2595" spans="1:7" x14ac:dyDescent="0.35">
      <c r="A2595" t="str">
        <f>"2015-06-18"</f>
        <v>2015-06-18</v>
      </c>
      <c r="B2595" t="str">
        <f>"85.4704"</f>
        <v>85.4704</v>
      </c>
      <c r="C2595">
        <v>2593</v>
      </c>
      <c r="D2595" s="7">
        <v>85.470399999999998</v>
      </c>
      <c r="E2595" s="7">
        <f t="shared" si="80"/>
        <v>221624.74719999998</v>
      </c>
      <c r="F2595" s="7">
        <f t="shared" si="81"/>
        <v>6723649</v>
      </c>
      <c r="G2595" s="7"/>
    </row>
    <row r="2596" spans="1:7" x14ac:dyDescent="0.35">
      <c r="A2596" t="str">
        <f>"2015-06-19"</f>
        <v>2015-06-19</v>
      </c>
      <c r="B2596" t="str">
        <f>"86.2094"</f>
        <v>86.2094</v>
      </c>
      <c r="C2596">
        <v>2594</v>
      </c>
      <c r="D2596" s="7">
        <v>86.209400000000002</v>
      </c>
      <c r="E2596" s="7">
        <f t="shared" si="80"/>
        <v>223627.18360000002</v>
      </c>
      <c r="F2596" s="7">
        <f t="shared" si="81"/>
        <v>6728836</v>
      </c>
      <c r="G2596" s="7"/>
    </row>
    <row r="2597" spans="1:7" x14ac:dyDescent="0.35">
      <c r="A2597" t="str">
        <f>"2015-06-22"</f>
        <v>2015-06-22</v>
      </c>
      <c r="B2597" t="str">
        <f>"88.682"</f>
        <v>88.682</v>
      </c>
      <c r="C2597">
        <v>2595</v>
      </c>
      <c r="D2597" s="7">
        <v>88.682000000000002</v>
      </c>
      <c r="E2597" s="7">
        <f t="shared" si="80"/>
        <v>230129.79</v>
      </c>
      <c r="F2597" s="7">
        <f t="shared" si="81"/>
        <v>6734025</v>
      </c>
      <c r="G2597" s="7"/>
    </row>
    <row r="2598" spans="1:7" x14ac:dyDescent="0.35">
      <c r="A2598" t="str">
        <f>"2015-06-23"</f>
        <v>2015-06-23</v>
      </c>
      <c r="B2598" t="str">
        <f>"88.7358"</f>
        <v>88.7358</v>
      </c>
      <c r="C2598">
        <v>2596</v>
      </c>
      <c r="D2598" s="7">
        <v>88.735799999999998</v>
      </c>
      <c r="E2598" s="7">
        <f t="shared" si="80"/>
        <v>230358.13680000001</v>
      </c>
      <c r="F2598" s="7">
        <f t="shared" si="81"/>
        <v>6739216</v>
      </c>
      <c r="G2598" s="7"/>
    </row>
    <row r="2599" spans="1:7" x14ac:dyDescent="0.35">
      <c r="A2599" t="str">
        <f>"2015-06-24"</f>
        <v>2015-06-24</v>
      </c>
      <c r="B2599" t="str">
        <f>"90.2846"</f>
        <v>90.2846</v>
      </c>
      <c r="C2599">
        <v>2597</v>
      </c>
      <c r="D2599" s="7">
        <v>90.284599999999998</v>
      </c>
      <c r="E2599" s="7">
        <f t="shared" si="80"/>
        <v>234469.10619999998</v>
      </c>
      <c r="F2599" s="7">
        <f t="shared" si="81"/>
        <v>6744409</v>
      </c>
      <c r="G2599" s="7"/>
    </row>
    <row r="2600" spans="1:7" x14ac:dyDescent="0.35">
      <c r="A2600" t="str">
        <f>"2015-06-25"</f>
        <v>2015-06-25</v>
      </c>
      <c r="B2600" t="str">
        <f>"90.8314"</f>
        <v>90.8314</v>
      </c>
      <c r="C2600">
        <v>2598</v>
      </c>
      <c r="D2600" s="7">
        <v>90.831400000000002</v>
      </c>
      <c r="E2600" s="7">
        <f t="shared" si="80"/>
        <v>235979.97719999999</v>
      </c>
      <c r="F2600" s="7">
        <f t="shared" si="81"/>
        <v>6749604</v>
      </c>
      <c r="G2600" s="7"/>
    </row>
    <row r="2601" spans="1:7" x14ac:dyDescent="0.35">
      <c r="A2601" t="str">
        <f>"2015-06-26"</f>
        <v>2015-06-26</v>
      </c>
      <c r="B2601" t="str">
        <f>"90.8286"</f>
        <v>90.8286</v>
      </c>
      <c r="C2601">
        <v>2599</v>
      </c>
      <c r="D2601" s="7">
        <v>90.828599999999994</v>
      </c>
      <c r="E2601" s="7">
        <f t="shared" si="80"/>
        <v>236063.53139999998</v>
      </c>
      <c r="F2601" s="7">
        <f t="shared" si="81"/>
        <v>6754801</v>
      </c>
      <c r="G2601" s="7"/>
    </row>
    <row r="2602" spans="1:7" x14ac:dyDescent="0.35">
      <c r="A2602" t="str">
        <f>"2015-06-29"</f>
        <v>2015-06-29</v>
      </c>
      <c r="B2602" t="str">
        <f>"86.4541"</f>
        <v>86.4541</v>
      </c>
      <c r="C2602">
        <v>2600</v>
      </c>
      <c r="D2602" s="7">
        <v>86.454099999999997</v>
      </c>
      <c r="E2602" s="7">
        <f t="shared" si="80"/>
        <v>224780.66</v>
      </c>
      <c r="F2602" s="7">
        <f t="shared" si="81"/>
        <v>6760000</v>
      </c>
      <c r="G2602" s="7"/>
    </row>
    <row r="2603" spans="1:7" x14ac:dyDescent="0.35">
      <c r="A2603" t="str">
        <f>"2015-06-30"</f>
        <v>2015-06-30</v>
      </c>
      <c r="B2603" t="str">
        <f>"86.4282"</f>
        <v>86.4282</v>
      </c>
      <c r="C2603">
        <v>2601</v>
      </c>
      <c r="D2603" s="7">
        <v>86.428200000000004</v>
      </c>
      <c r="E2603" s="7">
        <f t="shared" si="80"/>
        <v>224799.7482</v>
      </c>
      <c r="F2603" s="7">
        <f t="shared" si="81"/>
        <v>6765201</v>
      </c>
      <c r="G2603" s="7"/>
    </row>
    <row r="2604" spans="1:7" x14ac:dyDescent="0.35">
      <c r="A2604" t="str">
        <f>"2015-07-01"</f>
        <v>2015-07-01</v>
      </c>
      <c r="B2604" t="str">
        <f>"88.2256"</f>
        <v>88.2256</v>
      </c>
      <c r="C2604">
        <v>2602</v>
      </c>
      <c r="D2604" s="7">
        <v>88.2256</v>
      </c>
      <c r="E2604" s="7">
        <f t="shared" si="80"/>
        <v>229563.01120000001</v>
      </c>
      <c r="F2604" s="7">
        <f t="shared" si="81"/>
        <v>6770404</v>
      </c>
      <c r="G2604" s="7"/>
    </row>
    <row r="2605" spans="1:7" x14ac:dyDescent="0.35">
      <c r="A2605" t="str">
        <f>"2015-07-02"</f>
        <v>2015-07-02</v>
      </c>
      <c r="B2605" t="str">
        <f>"89.3258"</f>
        <v>89.3258</v>
      </c>
      <c r="C2605">
        <v>2603</v>
      </c>
      <c r="D2605" s="7">
        <v>89.325800000000001</v>
      </c>
      <c r="E2605" s="7">
        <f t="shared" si="80"/>
        <v>232515.05739999999</v>
      </c>
      <c r="F2605" s="7">
        <f t="shared" si="81"/>
        <v>6775609</v>
      </c>
      <c r="G2605" s="7"/>
    </row>
    <row r="2606" spans="1:7" x14ac:dyDescent="0.35">
      <c r="A2606" t="str">
        <f>"2015-07-06"</f>
        <v>2015-07-06</v>
      </c>
      <c r="B2606" t="str">
        <f>"89.3644"</f>
        <v>89.3644</v>
      </c>
      <c r="C2606">
        <v>2604</v>
      </c>
      <c r="D2606" s="7">
        <v>89.364400000000003</v>
      </c>
      <c r="E2606" s="7">
        <f t="shared" si="80"/>
        <v>232704.8976</v>
      </c>
      <c r="F2606" s="7">
        <f t="shared" si="81"/>
        <v>6780816</v>
      </c>
      <c r="G2606" s="7"/>
    </row>
    <row r="2607" spans="1:7" x14ac:dyDescent="0.35">
      <c r="A2607" t="str">
        <f>"2015-07-07"</f>
        <v>2015-07-07</v>
      </c>
      <c r="B2607" t="str">
        <f>"92.4753"</f>
        <v>92.4753</v>
      </c>
      <c r="C2607">
        <v>2605</v>
      </c>
      <c r="D2607" s="7">
        <v>92.475300000000004</v>
      </c>
      <c r="E2607" s="7">
        <f t="shared" si="80"/>
        <v>240898.15650000001</v>
      </c>
      <c r="F2607" s="7">
        <f t="shared" si="81"/>
        <v>6786025</v>
      </c>
      <c r="G2607" s="7"/>
    </row>
    <row r="2608" spans="1:7" x14ac:dyDescent="0.35">
      <c r="A2608" t="str">
        <f>"2015-07-08"</f>
        <v>2015-07-08</v>
      </c>
      <c r="B2608" t="str">
        <f>"89.7702"</f>
        <v>89.7702</v>
      </c>
      <c r="C2608">
        <v>2606</v>
      </c>
      <c r="D2608" s="7">
        <v>89.770200000000003</v>
      </c>
      <c r="E2608" s="7">
        <f t="shared" si="80"/>
        <v>233941.14120000001</v>
      </c>
      <c r="F2608" s="7">
        <f t="shared" si="81"/>
        <v>6791236</v>
      </c>
      <c r="G2608" s="7"/>
    </row>
    <row r="2609" spans="1:7" x14ac:dyDescent="0.35">
      <c r="A2609" t="str">
        <f>"2015-07-09"</f>
        <v>2015-07-09</v>
      </c>
      <c r="B2609" t="str">
        <f>"92.8716"</f>
        <v>92.8716</v>
      </c>
      <c r="C2609">
        <v>2607</v>
      </c>
      <c r="D2609" s="7">
        <v>92.871600000000001</v>
      </c>
      <c r="E2609" s="7">
        <f t="shared" si="80"/>
        <v>242116.26120000001</v>
      </c>
      <c r="F2609" s="7">
        <f t="shared" si="81"/>
        <v>6796449</v>
      </c>
      <c r="G2609" s="7"/>
    </row>
    <row r="2610" spans="1:7" x14ac:dyDescent="0.35">
      <c r="A2610" t="str">
        <f>"2015-07-10"</f>
        <v>2015-07-10</v>
      </c>
      <c r="B2610" t="str">
        <f>"93.3305"</f>
        <v>93.3305</v>
      </c>
      <c r="C2610">
        <v>2608</v>
      </c>
      <c r="D2610" s="7">
        <v>93.330500000000001</v>
      </c>
      <c r="E2610" s="7">
        <f t="shared" si="80"/>
        <v>243405.94399999999</v>
      </c>
      <c r="F2610" s="7">
        <f t="shared" si="81"/>
        <v>6801664</v>
      </c>
      <c r="G2610" s="7"/>
    </row>
    <row r="2611" spans="1:7" x14ac:dyDescent="0.35">
      <c r="A2611" t="str">
        <f>"2015-07-13"</f>
        <v>2015-07-13</v>
      </c>
      <c r="B2611" t="str">
        <f>"94.6432"</f>
        <v>94.6432</v>
      </c>
      <c r="C2611">
        <v>2609</v>
      </c>
      <c r="D2611" s="7">
        <v>94.643199999999993</v>
      </c>
      <c r="E2611" s="7">
        <f t="shared" si="80"/>
        <v>246924.10879999999</v>
      </c>
      <c r="F2611" s="7">
        <f t="shared" si="81"/>
        <v>6806881</v>
      </c>
      <c r="G2611" s="7"/>
    </row>
    <row r="2612" spans="1:7" x14ac:dyDescent="0.35">
      <c r="A2612" t="str">
        <f>"2015-07-14"</f>
        <v>2015-07-14</v>
      </c>
      <c r="B2612" t="str">
        <f>"94.6879"</f>
        <v>94.6879</v>
      </c>
      <c r="C2612">
        <v>2610</v>
      </c>
      <c r="D2612" s="7">
        <v>94.687899999999999</v>
      </c>
      <c r="E2612" s="7">
        <f t="shared" si="80"/>
        <v>247135.41899999999</v>
      </c>
      <c r="F2612" s="7">
        <f t="shared" si="81"/>
        <v>6812100</v>
      </c>
      <c r="G2612" s="7"/>
    </row>
    <row r="2613" spans="1:7" x14ac:dyDescent="0.35">
      <c r="A2613" t="str">
        <f>"2015-07-15"</f>
        <v>2015-07-15</v>
      </c>
      <c r="B2613" t="str">
        <f>"95.2069"</f>
        <v>95.2069</v>
      </c>
      <c r="C2613">
        <v>2611</v>
      </c>
      <c r="D2613" s="7">
        <v>95.206900000000005</v>
      </c>
      <c r="E2613" s="7">
        <f t="shared" si="80"/>
        <v>248585.21590000001</v>
      </c>
      <c r="F2613" s="7">
        <f t="shared" si="81"/>
        <v>6817321</v>
      </c>
      <c r="G2613" s="7"/>
    </row>
    <row r="2614" spans="1:7" x14ac:dyDescent="0.35">
      <c r="A2614" t="str">
        <f>"2015-07-16"</f>
        <v>2015-07-16</v>
      </c>
      <c r="B2614" t="str">
        <f>"94.3275"</f>
        <v>94.3275</v>
      </c>
      <c r="C2614">
        <v>2612</v>
      </c>
      <c r="D2614" s="7">
        <v>94.327500000000001</v>
      </c>
      <c r="E2614" s="7">
        <f t="shared" si="80"/>
        <v>246383.43</v>
      </c>
      <c r="F2614" s="7">
        <f t="shared" si="81"/>
        <v>6822544</v>
      </c>
      <c r="G2614" s="7"/>
    </row>
    <row r="2615" spans="1:7" x14ac:dyDescent="0.35">
      <c r="A2615" t="str">
        <f>"2015-07-17"</f>
        <v>2015-07-17</v>
      </c>
      <c r="B2615" t="str">
        <f>"94.948"</f>
        <v>94.948</v>
      </c>
      <c r="C2615">
        <v>2613</v>
      </c>
      <c r="D2615" s="7">
        <v>94.947999999999993</v>
      </c>
      <c r="E2615" s="7">
        <f t="shared" si="80"/>
        <v>248099.12399999998</v>
      </c>
      <c r="F2615" s="7">
        <f t="shared" si="81"/>
        <v>6827769</v>
      </c>
      <c r="G2615" s="7"/>
    </row>
    <row r="2616" spans="1:7" x14ac:dyDescent="0.35">
      <c r="A2616" t="str">
        <f>"2015-07-20"</f>
        <v>2015-07-20</v>
      </c>
      <c r="B2616" t="str">
        <f>"95.8466"</f>
        <v>95.8466</v>
      </c>
      <c r="C2616">
        <v>2614</v>
      </c>
      <c r="D2616" s="7">
        <v>95.846599999999995</v>
      </c>
      <c r="E2616" s="7">
        <f t="shared" si="80"/>
        <v>250543.01239999998</v>
      </c>
      <c r="F2616" s="7">
        <f t="shared" si="81"/>
        <v>6832996</v>
      </c>
      <c r="G2616" s="7"/>
    </row>
    <row r="2617" spans="1:7" x14ac:dyDescent="0.35">
      <c r="A2617" t="str">
        <f>"2015-07-21"</f>
        <v>2015-07-21</v>
      </c>
      <c r="B2617" t="str">
        <f>"96.3799"</f>
        <v>96.3799</v>
      </c>
      <c r="C2617">
        <v>2615</v>
      </c>
      <c r="D2617" s="7">
        <v>96.379900000000006</v>
      </c>
      <c r="E2617" s="7">
        <f t="shared" si="80"/>
        <v>252033.43850000002</v>
      </c>
      <c r="F2617" s="7">
        <f t="shared" si="81"/>
        <v>6838225</v>
      </c>
      <c r="G2617" s="7"/>
    </row>
    <row r="2618" spans="1:7" x14ac:dyDescent="0.35">
      <c r="A2618" t="str">
        <f>"2015-07-22"</f>
        <v>2015-07-22</v>
      </c>
      <c r="B2618" t="str">
        <f>"98.3249"</f>
        <v>98.3249</v>
      </c>
      <c r="C2618">
        <v>2616</v>
      </c>
      <c r="D2618" s="7">
        <v>98.3249</v>
      </c>
      <c r="E2618" s="7">
        <f t="shared" si="80"/>
        <v>257217.93839999998</v>
      </c>
      <c r="F2618" s="7">
        <f t="shared" si="81"/>
        <v>6843456</v>
      </c>
      <c r="G2618" s="7"/>
    </row>
    <row r="2619" spans="1:7" x14ac:dyDescent="0.35">
      <c r="A2619" t="str">
        <f>"2015-07-23"</f>
        <v>2015-07-23</v>
      </c>
      <c r="B2619" t="str">
        <f>"92.645"</f>
        <v>92.645</v>
      </c>
      <c r="C2619">
        <v>2617</v>
      </c>
      <c r="D2619" s="7">
        <v>92.644999999999996</v>
      </c>
      <c r="E2619" s="7">
        <f t="shared" si="80"/>
        <v>242451.965</v>
      </c>
      <c r="F2619" s="7">
        <f t="shared" si="81"/>
        <v>6848689</v>
      </c>
      <c r="G2619" s="7"/>
    </row>
    <row r="2620" spans="1:7" x14ac:dyDescent="0.35">
      <c r="A2620" t="str">
        <f>"2015-07-24"</f>
        <v>2015-07-24</v>
      </c>
      <c r="B2620" t="str">
        <f>"92.7759"</f>
        <v>92.7759</v>
      </c>
      <c r="C2620">
        <v>2618</v>
      </c>
      <c r="D2620" s="7">
        <v>92.775899999999993</v>
      </c>
      <c r="E2620" s="7">
        <f t="shared" si="80"/>
        <v>242887.30619999999</v>
      </c>
      <c r="F2620" s="7">
        <f t="shared" si="81"/>
        <v>6853924</v>
      </c>
      <c r="G2620" s="7"/>
    </row>
    <row r="2621" spans="1:7" x14ac:dyDescent="0.35">
      <c r="A2621" t="str">
        <f>"2015-07-27"</f>
        <v>2015-07-27</v>
      </c>
      <c r="B2621" t="str">
        <f>"89.2067"</f>
        <v>89.2067</v>
      </c>
      <c r="C2621">
        <v>2619</v>
      </c>
      <c r="D2621" s="7">
        <v>89.206699999999998</v>
      </c>
      <c r="E2621" s="7">
        <f t="shared" si="80"/>
        <v>233632.34729999999</v>
      </c>
      <c r="F2621" s="7">
        <f t="shared" si="81"/>
        <v>6859161</v>
      </c>
      <c r="G2621" s="7"/>
    </row>
    <row r="2622" spans="1:7" x14ac:dyDescent="0.35">
      <c r="A2622" t="str">
        <f>"2015-07-28"</f>
        <v>2015-07-28</v>
      </c>
      <c r="B2622" t="str">
        <f>"91.6269"</f>
        <v>91.6269</v>
      </c>
      <c r="C2622">
        <v>2620</v>
      </c>
      <c r="D2622" s="7">
        <v>91.626900000000006</v>
      </c>
      <c r="E2622" s="7">
        <f t="shared" si="80"/>
        <v>240062.478</v>
      </c>
      <c r="F2622" s="7">
        <f t="shared" si="81"/>
        <v>6864400</v>
      </c>
      <c r="G2622" s="7"/>
    </row>
    <row r="2623" spans="1:7" x14ac:dyDescent="0.35">
      <c r="A2623" t="str">
        <f>"2015-07-29"</f>
        <v>2015-07-29</v>
      </c>
      <c r="B2623" t="str">
        <f>"91.4657"</f>
        <v>91.4657</v>
      </c>
      <c r="C2623">
        <v>2621</v>
      </c>
      <c r="D2623" s="7">
        <v>91.465699999999998</v>
      </c>
      <c r="E2623" s="7">
        <f t="shared" si="80"/>
        <v>239731.59969999999</v>
      </c>
      <c r="F2623" s="7">
        <f t="shared" si="81"/>
        <v>6869641</v>
      </c>
      <c r="G2623" s="7"/>
    </row>
    <row r="2624" spans="1:7" x14ac:dyDescent="0.35">
      <c r="A2624" t="str">
        <f>"2015-07-30"</f>
        <v>2015-07-30</v>
      </c>
      <c r="B2624" t="str">
        <f>"91.2361"</f>
        <v>91.2361</v>
      </c>
      <c r="C2624">
        <v>2622</v>
      </c>
      <c r="D2624" s="7">
        <v>91.236099999999993</v>
      </c>
      <c r="E2624" s="7">
        <f t="shared" si="80"/>
        <v>239221.05419999998</v>
      </c>
      <c r="F2624" s="7">
        <f t="shared" si="81"/>
        <v>6874884</v>
      </c>
      <c r="G2624" s="7"/>
    </row>
    <row r="2625" spans="1:7" x14ac:dyDescent="0.35">
      <c r="A2625" t="str">
        <f>"2015-07-31"</f>
        <v>2015-07-31</v>
      </c>
      <c r="B2625" t="str">
        <f>"92.0201"</f>
        <v>92.0201</v>
      </c>
      <c r="C2625">
        <v>2623</v>
      </c>
      <c r="D2625" s="7">
        <v>92.020099999999999</v>
      </c>
      <c r="E2625" s="7">
        <f t="shared" si="80"/>
        <v>241368.72229999999</v>
      </c>
      <c r="F2625" s="7">
        <f t="shared" si="81"/>
        <v>6880129</v>
      </c>
      <c r="G2625" s="7"/>
    </row>
    <row r="2626" spans="1:7" x14ac:dyDescent="0.35">
      <c r="A2626" t="str">
        <f>"2015-08-03"</f>
        <v>2015-08-03</v>
      </c>
      <c r="B2626" t="str">
        <f>"91.6251"</f>
        <v>91.6251</v>
      </c>
      <c r="C2626">
        <v>2624</v>
      </c>
      <c r="D2626" s="7">
        <v>91.625100000000003</v>
      </c>
      <c r="E2626" s="7">
        <f t="shared" si="80"/>
        <v>240424.26240000001</v>
      </c>
      <c r="F2626" s="7">
        <f t="shared" si="81"/>
        <v>6885376</v>
      </c>
      <c r="G2626" s="7"/>
    </row>
    <row r="2627" spans="1:7" x14ac:dyDescent="0.35">
      <c r="A2627" t="str">
        <f>"2015-08-04"</f>
        <v>2015-08-04</v>
      </c>
      <c r="B2627" t="str">
        <f>"92.41"</f>
        <v>92.41</v>
      </c>
      <c r="C2627">
        <v>2625</v>
      </c>
      <c r="D2627" s="7">
        <v>92.41</v>
      </c>
      <c r="E2627" s="7">
        <f t="shared" si="80"/>
        <v>242576.25</v>
      </c>
      <c r="F2627" s="7">
        <f t="shared" si="81"/>
        <v>6890625</v>
      </c>
      <c r="G2627" s="7"/>
    </row>
    <row r="2628" spans="1:7" x14ac:dyDescent="0.35">
      <c r="A2628" t="str">
        <f>"2015-08-05"</f>
        <v>2015-08-05</v>
      </c>
      <c r="B2628" t="str">
        <f>"91.7357"</f>
        <v>91.7357</v>
      </c>
      <c r="C2628">
        <v>2626</v>
      </c>
      <c r="D2628" s="7">
        <v>91.735699999999994</v>
      </c>
      <c r="E2628" s="7">
        <f t="shared" ref="E2628:E2691" si="82">C2628*D2628</f>
        <v>240897.94819999998</v>
      </c>
      <c r="F2628" s="7">
        <f t="shared" ref="F2628:F2691" si="83">C2628*C2628</f>
        <v>6895876</v>
      </c>
      <c r="G2628" s="7"/>
    </row>
    <row r="2629" spans="1:7" x14ac:dyDescent="0.35">
      <c r="A2629" t="str">
        <f>"2015-08-06"</f>
        <v>2015-08-06</v>
      </c>
      <c r="B2629" t="str">
        <f>"93.2209"</f>
        <v>93.2209</v>
      </c>
      <c r="C2629">
        <v>2627</v>
      </c>
      <c r="D2629" s="7">
        <v>93.2209</v>
      </c>
      <c r="E2629" s="7">
        <f t="shared" si="82"/>
        <v>244891.30429999999</v>
      </c>
      <c r="F2629" s="7">
        <f t="shared" si="83"/>
        <v>6901129</v>
      </c>
      <c r="G2629" s="7"/>
    </row>
    <row r="2630" spans="1:7" x14ac:dyDescent="0.35">
      <c r="A2630" t="str">
        <f>"2015-08-07"</f>
        <v>2015-08-07</v>
      </c>
      <c r="B2630" t="str">
        <f>"93.1128"</f>
        <v>93.1128</v>
      </c>
      <c r="C2630">
        <v>2628</v>
      </c>
      <c r="D2630" s="7">
        <v>93.112799999999993</v>
      </c>
      <c r="E2630" s="7">
        <f t="shared" si="82"/>
        <v>244700.43839999998</v>
      </c>
      <c r="F2630" s="7">
        <f t="shared" si="83"/>
        <v>6906384</v>
      </c>
      <c r="G2630" s="7"/>
    </row>
    <row r="2631" spans="1:7" x14ac:dyDescent="0.35">
      <c r="A2631" t="str">
        <f>"2015-08-10"</f>
        <v>2015-08-10</v>
      </c>
      <c r="B2631" t="str">
        <f>"89.4806"</f>
        <v>89.4806</v>
      </c>
      <c r="C2631">
        <v>2629</v>
      </c>
      <c r="D2631" s="7">
        <v>89.480599999999995</v>
      </c>
      <c r="E2631" s="7">
        <f t="shared" si="82"/>
        <v>235244.49739999999</v>
      </c>
      <c r="F2631" s="7">
        <f t="shared" si="83"/>
        <v>6911641</v>
      </c>
      <c r="G2631" s="7"/>
    </row>
    <row r="2632" spans="1:7" x14ac:dyDescent="0.35">
      <c r="A2632" t="str">
        <f>"2015-08-11"</f>
        <v>2015-08-11</v>
      </c>
      <c r="B2632" t="str">
        <f>"92.8654"</f>
        <v>92.8654</v>
      </c>
      <c r="C2632">
        <v>2630</v>
      </c>
      <c r="D2632" s="7">
        <v>92.865399999999994</v>
      </c>
      <c r="E2632" s="7">
        <f t="shared" si="82"/>
        <v>244236.00199999998</v>
      </c>
      <c r="F2632" s="7">
        <f t="shared" si="83"/>
        <v>6916900</v>
      </c>
      <c r="G2632" s="7"/>
    </row>
    <row r="2633" spans="1:7" x14ac:dyDescent="0.35">
      <c r="A2633" t="str">
        <f>"2015-08-12"</f>
        <v>2015-08-12</v>
      </c>
      <c r="B2633" t="str">
        <f>"90.0944"</f>
        <v>90.0944</v>
      </c>
      <c r="C2633">
        <v>2631</v>
      </c>
      <c r="D2633" s="7">
        <v>90.094399999999993</v>
      </c>
      <c r="E2633" s="7">
        <f t="shared" si="82"/>
        <v>237038.36639999997</v>
      </c>
      <c r="F2633" s="7">
        <f t="shared" si="83"/>
        <v>6922161</v>
      </c>
      <c r="G2633" s="7"/>
    </row>
    <row r="2634" spans="1:7" x14ac:dyDescent="0.35">
      <c r="A2634" t="str">
        <f>"2015-08-13"</f>
        <v>2015-08-13</v>
      </c>
      <c r="B2634" t="str">
        <f>"89.4997"</f>
        <v>89.4997</v>
      </c>
      <c r="C2634">
        <v>2632</v>
      </c>
      <c r="D2634" s="7">
        <v>89.499700000000004</v>
      </c>
      <c r="E2634" s="7">
        <f t="shared" si="82"/>
        <v>235563.21040000001</v>
      </c>
      <c r="F2634" s="7">
        <f t="shared" si="83"/>
        <v>6927424</v>
      </c>
      <c r="G2634" s="7"/>
    </row>
    <row r="2635" spans="1:7" x14ac:dyDescent="0.35">
      <c r="A2635" t="str">
        <f>"2015-08-14"</f>
        <v>2015-08-14</v>
      </c>
      <c r="B2635" t="str">
        <f>"89.8915"</f>
        <v>89.8915</v>
      </c>
      <c r="C2635">
        <v>2633</v>
      </c>
      <c r="D2635" s="7">
        <v>89.891499999999994</v>
      </c>
      <c r="E2635" s="7">
        <f t="shared" si="82"/>
        <v>236684.31949999998</v>
      </c>
      <c r="F2635" s="7">
        <f t="shared" si="83"/>
        <v>6932689</v>
      </c>
      <c r="G2635" s="7"/>
    </row>
    <row r="2636" spans="1:7" x14ac:dyDescent="0.35">
      <c r="A2636" t="str">
        <f>"2015-08-17"</f>
        <v>2015-08-17</v>
      </c>
      <c r="B2636" t="str">
        <f>"88.9548"</f>
        <v>88.9548</v>
      </c>
      <c r="C2636">
        <v>2634</v>
      </c>
      <c r="D2636" s="7">
        <v>88.954800000000006</v>
      </c>
      <c r="E2636" s="7">
        <f t="shared" si="82"/>
        <v>234306.94320000001</v>
      </c>
      <c r="F2636" s="7">
        <f t="shared" si="83"/>
        <v>6937956</v>
      </c>
      <c r="G2636" s="7"/>
    </row>
    <row r="2637" spans="1:7" x14ac:dyDescent="0.35">
      <c r="A2637" t="str">
        <f>"2015-08-18"</f>
        <v>2015-08-18</v>
      </c>
      <c r="B2637" t="str">
        <f>"84.9244"</f>
        <v>84.9244</v>
      </c>
      <c r="C2637">
        <v>2635</v>
      </c>
      <c r="D2637" s="7">
        <v>84.924400000000006</v>
      </c>
      <c r="E2637" s="7">
        <f t="shared" si="82"/>
        <v>223775.79400000002</v>
      </c>
      <c r="F2637" s="7">
        <f t="shared" si="83"/>
        <v>6943225</v>
      </c>
      <c r="G2637" s="7"/>
    </row>
    <row r="2638" spans="1:7" x14ac:dyDescent="0.35">
      <c r="A2638" t="str">
        <f>"2015-08-19"</f>
        <v>2015-08-19</v>
      </c>
      <c r="B2638" t="str">
        <f>"79.9115"</f>
        <v>79.9115</v>
      </c>
      <c r="C2638">
        <v>2636</v>
      </c>
      <c r="D2638" s="7">
        <v>79.911500000000004</v>
      </c>
      <c r="E2638" s="7">
        <f t="shared" si="82"/>
        <v>210646.71400000001</v>
      </c>
      <c r="F2638" s="7">
        <f t="shared" si="83"/>
        <v>6948496</v>
      </c>
      <c r="G2638" s="7"/>
    </row>
    <row r="2639" spans="1:7" x14ac:dyDescent="0.35">
      <c r="A2639" t="str">
        <f>"2015-08-20"</f>
        <v>2015-08-20</v>
      </c>
      <c r="B2639" t="str">
        <f>"77.8991"</f>
        <v>77.8991</v>
      </c>
      <c r="C2639">
        <v>2637</v>
      </c>
      <c r="D2639" s="7">
        <v>77.899100000000004</v>
      </c>
      <c r="E2639" s="7">
        <f t="shared" si="82"/>
        <v>205419.92670000001</v>
      </c>
      <c r="F2639" s="7">
        <f t="shared" si="83"/>
        <v>6953769</v>
      </c>
      <c r="G2639" s="7"/>
    </row>
    <row r="2640" spans="1:7" x14ac:dyDescent="0.35">
      <c r="A2640" t="str">
        <f>"2015-08-21"</f>
        <v>2015-08-21</v>
      </c>
      <c r="B2640" t="str">
        <f>"75.5025"</f>
        <v>75.5025</v>
      </c>
      <c r="C2640">
        <v>2638</v>
      </c>
      <c r="D2640" s="7">
        <v>75.502499999999998</v>
      </c>
      <c r="E2640" s="7">
        <f t="shared" si="82"/>
        <v>199175.595</v>
      </c>
      <c r="F2640" s="7">
        <f t="shared" si="83"/>
        <v>6959044</v>
      </c>
      <c r="G2640" s="7"/>
    </row>
    <row r="2641" spans="1:7" x14ac:dyDescent="0.35">
      <c r="A2641" t="str">
        <f>"2015-08-24"</f>
        <v>2015-08-24</v>
      </c>
      <c r="B2641" t="str">
        <f>"70.9268"</f>
        <v>70.9268</v>
      </c>
      <c r="C2641">
        <v>2639</v>
      </c>
      <c r="D2641" s="7">
        <v>70.9268</v>
      </c>
      <c r="E2641" s="7">
        <f t="shared" si="82"/>
        <v>187175.82519999999</v>
      </c>
      <c r="F2641" s="7">
        <f t="shared" si="83"/>
        <v>6964321</v>
      </c>
      <c r="G2641" s="7"/>
    </row>
    <row r="2642" spans="1:7" x14ac:dyDescent="0.35">
      <c r="A2642" t="str">
        <f>"2015-08-25"</f>
        <v>2015-08-25</v>
      </c>
      <c r="B2642" t="str">
        <f>"74.7397"</f>
        <v>74.7397</v>
      </c>
      <c r="C2642">
        <v>2640</v>
      </c>
      <c r="D2642" s="7">
        <v>74.739699999999999</v>
      </c>
      <c r="E2642" s="7">
        <f t="shared" si="82"/>
        <v>197312.80799999999</v>
      </c>
      <c r="F2642" s="7">
        <f t="shared" si="83"/>
        <v>6969600</v>
      </c>
      <c r="G2642" s="7"/>
    </row>
    <row r="2643" spans="1:7" x14ac:dyDescent="0.35">
      <c r="A2643" t="str">
        <f>"2015-08-26"</f>
        <v>2015-08-26</v>
      </c>
      <c r="B2643" t="str">
        <f>"76.28"</f>
        <v>76.28</v>
      </c>
      <c r="C2643">
        <v>2641</v>
      </c>
      <c r="D2643" s="7">
        <v>76.28</v>
      </c>
      <c r="E2643" s="7">
        <f t="shared" si="82"/>
        <v>201455.48</v>
      </c>
      <c r="F2643" s="7">
        <f t="shared" si="83"/>
        <v>6974881</v>
      </c>
      <c r="G2643" s="7"/>
    </row>
    <row r="2644" spans="1:7" x14ac:dyDescent="0.35">
      <c r="A2644" t="str">
        <f>"2015-08-27"</f>
        <v>2015-08-27</v>
      </c>
      <c r="B2644" t="str">
        <f>"76.7702"</f>
        <v>76.7702</v>
      </c>
      <c r="C2644">
        <v>2642</v>
      </c>
      <c r="D2644" s="7">
        <v>76.770200000000003</v>
      </c>
      <c r="E2644" s="7">
        <f t="shared" si="82"/>
        <v>202826.86840000001</v>
      </c>
      <c r="F2644" s="7">
        <f t="shared" si="83"/>
        <v>6980164</v>
      </c>
      <c r="G2644" s="7"/>
    </row>
    <row r="2645" spans="1:7" x14ac:dyDescent="0.35">
      <c r="A2645" t="str">
        <f>"2015-08-28"</f>
        <v>2015-08-28</v>
      </c>
      <c r="B2645" t="str">
        <f>"75.1019"</f>
        <v>75.1019</v>
      </c>
      <c r="C2645">
        <v>2643</v>
      </c>
      <c r="D2645" s="7">
        <v>75.101900000000001</v>
      </c>
      <c r="E2645" s="7">
        <f t="shared" si="82"/>
        <v>198494.3217</v>
      </c>
      <c r="F2645" s="7">
        <f t="shared" si="83"/>
        <v>6985449</v>
      </c>
      <c r="G2645" s="7"/>
    </row>
    <row r="2646" spans="1:7" x14ac:dyDescent="0.35">
      <c r="A2646" t="str">
        <f>"2015-08-31"</f>
        <v>2015-08-31</v>
      </c>
      <c r="B2646" t="str">
        <f>"75.8262"</f>
        <v>75.8262</v>
      </c>
      <c r="C2646">
        <v>2644</v>
      </c>
      <c r="D2646" s="7">
        <v>75.8262</v>
      </c>
      <c r="E2646" s="7">
        <f t="shared" si="82"/>
        <v>200484.47279999999</v>
      </c>
      <c r="F2646" s="7">
        <f t="shared" si="83"/>
        <v>6990736</v>
      </c>
      <c r="G2646" s="7"/>
    </row>
    <row r="2647" spans="1:7" x14ac:dyDescent="0.35">
      <c r="A2647" t="str">
        <f>"2015-09-01"</f>
        <v>2015-09-01</v>
      </c>
      <c r="B2647" t="str">
        <f>"72.7848"</f>
        <v>72.7848</v>
      </c>
      <c r="C2647">
        <v>2645</v>
      </c>
      <c r="D2647" s="7">
        <v>72.784800000000004</v>
      </c>
      <c r="E2647" s="7">
        <f t="shared" si="82"/>
        <v>192515.796</v>
      </c>
      <c r="F2647" s="7">
        <f t="shared" si="83"/>
        <v>6996025</v>
      </c>
      <c r="G2647" s="7"/>
    </row>
    <row r="2648" spans="1:7" x14ac:dyDescent="0.35">
      <c r="A2648" t="str">
        <f>"2015-09-02"</f>
        <v>2015-09-02</v>
      </c>
      <c r="B2648" t="str">
        <f>"72.7854"</f>
        <v>72.7854</v>
      </c>
      <c r="C2648">
        <v>2646</v>
      </c>
      <c r="D2648" s="7">
        <v>72.785399999999996</v>
      </c>
      <c r="E2648" s="7">
        <f t="shared" si="82"/>
        <v>192590.1684</v>
      </c>
      <c r="F2648" s="7">
        <f t="shared" si="83"/>
        <v>7001316</v>
      </c>
      <c r="G2648" s="7"/>
    </row>
    <row r="2649" spans="1:7" x14ac:dyDescent="0.35">
      <c r="A2649" t="str">
        <f>"2015-09-03"</f>
        <v>2015-09-03</v>
      </c>
      <c r="B2649" t="str">
        <f>"72.6393"</f>
        <v>72.6393</v>
      </c>
      <c r="C2649">
        <v>2647</v>
      </c>
      <c r="D2649" s="7">
        <v>72.639300000000006</v>
      </c>
      <c r="E2649" s="7">
        <f t="shared" si="82"/>
        <v>192276.22710000002</v>
      </c>
      <c r="F2649" s="7">
        <f t="shared" si="83"/>
        <v>7006609</v>
      </c>
      <c r="G2649" s="7"/>
    </row>
    <row r="2650" spans="1:7" x14ac:dyDescent="0.35">
      <c r="A2650" t="str">
        <f>"2015-09-04"</f>
        <v>2015-09-04</v>
      </c>
      <c r="B2650" t="str">
        <f>"72.5137"</f>
        <v>72.5137</v>
      </c>
      <c r="C2650">
        <v>2648</v>
      </c>
      <c r="D2650" s="7">
        <v>72.5137</v>
      </c>
      <c r="E2650" s="7">
        <f t="shared" si="82"/>
        <v>192016.2776</v>
      </c>
      <c r="F2650" s="7">
        <f t="shared" si="83"/>
        <v>7011904</v>
      </c>
      <c r="G2650" s="7"/>
    </row>
    <row r="2651" spans="1:7" x14ac:dyDescent="0.35">
      <c r="A2651" t="str">
        <f>"2015-09-08"</f>
        <v>2015-09-08</v>
      </c>
      <c r="B2651" t="str">
        <f>"73.7537"</f>
        <v>73.7537</v>
      </c>
      <c r="C2651">
        <v>2649</v>
      </c>
      <c r="D2651" s="7">
        <v>73.753699999999995</v>
      </c>
      <c r="E2651" s="7">
        <f t="shared" si="82"/>
        <v>195373.55129999999</v>
      </c>
      <c r="F2651" s="7">
        <f t="shared" si="83"/>
        <v>7017201</v>
      </c>
      <c r="G2651" s="7"/>
    </row>
    <row r="2652" spans="1:7" x14ac:dyDescent="0.35">
      <c r="A2652" t="str">
        <f>"2015-09-09"</f>
        <v>2015-09-09</v>
      </c>
      <c r="B2652" t="str">
        <f>"74.5554"</f>
        <v>74.5554</v>
      </c>
      <c r="C2652">
        <v>2650</v>
      </c>
      <c r="D2652" s="7">
        <v>74.555400000000006</v>
      </c>
      <c r="E2652" s="7">
        <f t="shared" si="82"/>
        <v>197571.81000000003</v>
      </c>
      <c r="F2652" s="7">
        <f t="shared" si="83"/>
        <v>7022500</v>
      </c>
      <c r="G2652" s="7"/>
    </row>
    <row r="2653" spans="1:7" x14ac:dyDescent="0.35">
      <c r="A2653" t="str">
        <f>"2015-09-10"</f>
        <v>2015-09-10</v>
      </c>
      <c r="B2653" t="str">
        <f>"72.9704"</f>
        <v>72.9704</v>
      </c>
      <c r="C2653">
        <v>2651</v>
      </c>
      <c r="D2653" s="7">
        <v>72.970399999999998</v>
      </c>
      <c r="E2653" s="7">
        <f t="shared" si="82"/>
        <v>193444.53039999999</v>
      </c>
      <c r="F2653" s="7">
        <f t="shared" si="83"/>
        <v>7027801</v>
      </c>
      <c r="G2653" s="7"/>
    </row>
    <row r="2654" spans="1:7" x14ac:dyDescent="0.35">
      <c r="A2654" t="str">
        <f>"2015-09-11"</f>
        <v>2015-09-11</v>
      </c>
      <c r="B2654" t="str">
        <f>"72.4908"</f>
        <v>72.4908</v>
      </c>
      <c r="C2654">
        <v>2652</v>
      </c>
      <c r="D2654" s="7">
        <v>72.490799999999993</v>
      </c>
      <c r="E2654" s="7">
        <f t="shared" si="82"/>
        <v>192245.60159999999</v>
      </c>
      <c r="F2654" s="7">
        <f t="shared" si="83"/>
        <v>7033104</v>
      </c>
      <c r="G2654" s="7"/>
    </row>
    <row r="2655" spans="1:7" x14ac:dyDescent="0.35">
      <c r="A2655" t="str">
        <f>"2015-09-14"</f>
        <v>2015-09-14</v>
      </c>
      <c r="B2655" t="str">
        <f>"73.4403"</f>
        <v>73.4403</v>
      </c>
      <c r="C2655">
        <v>2653</v>
      </c>
      <c r="D2655" s="7">
        <v>73.440299999999993</v>
      </c>
      <c r="E2655" s="7">
        <f t="shared" si="82"/>
        <v>194837.11589999998</v>
      </c>
      <c r="F2655" s="7">
        <f t="shared" si="83"/>
        <v>7038409</v>
      </c>
      <c r="G2655" s="7"/>
    </row>
    <row r="2656" spans="1:7" x14ac:dyDescent="0.35">
      <c r="A2656" t="str">
        <f>"2015-09-15"</f>
        <v>2015-09-15</v>
      </c>
      <c r="B2656" t="str">
        <f>"74.2942"</f>
        <v>74.2942</v>
      </c>
      <c r="C2656">
        <v>2654</v>
      </c>
      <c r="D2656" s="7">
        <v>74.294200000000004</v>
      </c>
      <c r="E2656" s="7">
        <f t="shared" si="82"/>
        <v>197176.80680000002</v>
      </c>
      <c r="F2656" s="7">
        <f t="shared" si="83"/>
        <v>7043716</v>
      </c>
      <c r="G2656" s="7"/>
    </row>
    <row r="2657" spans="1:7" x14ac:dyDescent="0.35">
      <c r="A2657" t="str">
        <f>"2015-09-16"</f>
        <v>2015-09-16</v>
      </c>
      <c r="B2657" t="str">
        <f>"74.2997"</f>
        <v>74.2997</v>
      </c>
      <c r="C2657">
        <v>2655</v>
      </c>
      <c r="D2657" s="7">
        <v>74.299700000000001</v>
      </c>
      <c r="E2657" s="7">
        <f t="shared" si="82"/>
        <v>197265.7035</v>
      </c>
      <c r="F2657" s="7">
        <f t="shared" si="83"/>
        <v>7049025</v>
      </c>
      <c r="G2657" s="7"/>
    </row>
    <row r="2658" spans="1:7" x14ac:dyDescent="0.35">
      <c r="A2658" t="str">
        <f>"2015-09-17"</f>
        <v>2015-09-17</v>
      </c>
      <c r="B2658" t="str">
        <f>"75.8703"</f>
        <v>75.8703</v>
      </c>
      <c r="C2658">
        <v>2656</v>
      </c>
      <c r="D2658" s="7">
        <v>75.8703</v>
      </c>
      <c r="E2658" s="7">
        <f t="shared" si="82"/>
        <v>201511.51680000001</v>
      </c>
      <c r="F2658" s="7">
        <f t="shared" si="83"/>
        <v>7054336</v>
      </c>
      <c r="G2658" s="7"/>
    </row>
    <row r="2659" spans="1:7" x14ac:dyDescent="0.35">
      <c r="A2659" t="str">
        <f>"2015-09-18"</f>
        <v>2015-09-18</v>
      </c>
      <c r="B2659" t="str">
        <f>"74.7043"</f>
        <v>74.7043</v>
      </c>
      <c r="C2659">
        <v>2657</v>
      </c>
      <c r="D2659" s="7">
        <v>74.704300000000003</v>
      </c>
      <c r="E2659" s="7">
        <f t="shared" si="82"/>
        <v>198489.32510000002</v>
      </c>
      <c r="F2659" s="7">
        <f t="shared" si="83"/>
        <v>7059649</v>
      </c>
      <c r="G2659" s="7"/>
    </row>
    <row r="2660" spans="1:7" x14ac:dyDescent="0.35">
      <c r="A2660" t="str">
        <f>"2015-09-21"</f>
        <v>2015-09-21</v>
      </c>
      <c r="B2660" t="str">
        <f>"75.5607"</f>
        <v>75.5607</v>
      </c>
      <c r="C2660">
        <v>2658</v>
      </c>
      <c r="D2660" s="7">
        <v>75.560699999999997</v>
      </c>
      <c r="E2660" s="7">
        <f t="shared" si="82"/>
        <v>200840.3406</v>
      </c>
      <c r="F2660" s="7">
        <f t="shared" si="83"/>
        <v>7064964</v>
      </c>
      <c r="G2660" s="7"/>
    </row>
    <row r="2661" spans="1:7" x14ac:dyDescent="0.35">
      <c r="A2661" t="str">
        <f>"2015-09-22"</f>
        <v>2015-09-22</v>
      </c>
      <c r="B2661" t="str">
        <f>"75.574"</f>
        <v>75.574</v>
      </c>
      <c r="C2661">
        <v>2659</v>
      </c>
      <c r="D2661" s="7">
        <v>75.573999999999998</v>
      </c>
      <c r="E2661" s="7">
        <f t="shared" si="82"/>
        <v>200951.266</v>
      </c>
      <c r="F2661" s="7">
        <f t="shared" si="83"/>
        <v>7070281</v>
      </c>
      <c r="G2661" s="7"/>
    </row>
    <row r="2662" spans="1:7" x14ac:dyDescent="0.35">
      <c r="A2662" t="str">
        <f>"2015-09-23"</f>
        <v>2015-09-23</v>
      </c>
      <c r="B2662" t="str">
        <f>"73.6462"</f>
        <v>73.6462</v>
      </c>
      <c r="C2662">
        <v>2660</v>
      </c>
      <c r="D2662" s="7">
        <v>73.646199999999993</v>
      </c>
      <c r="E2662" s="7">
        <f t="shared" si="82"/>
        <v>195898.89199999999</v>
      </c>
      <c r="F2662" s="7">
        <f t="shared" si="83"/>
        <v>7075600</v>
      </c>
      <c r="G2662" s="7"/>
    </row>
    <row r="2663" spans="1:7" x14ac:dyDescent="0.35">
      <c r="A2663" t="str">
        <f>"2015-09-24"</f>
        <v>2015-09-24</v>
      </c>
      <c r="B2663" t="str">
        <f>"71.9845"</f>
        <v>71.9845</v>
      </c>
      <c r="C2663">
        <v>2661</v>
      </c>
      <c r="D2663" s="7">
        <v>71.984499999999997</v>
      </c>
      <c r="E2663" s="7">
        <f t="shared" si="82"/>
        <v>191550.75449999998</v>
      </c>
      <c r="F2663" s="7">
        <f t="shared" si="83"/>
        <v>7080921</v>
      </c>
      <c r="G2663" s="7"/>
    </row>
    <row r="2664" spans="1:7" x14ac:dyDescent="0.35">
      <c r="A2664" t="str">
        <f>"2015-09-25"</f>
        <v>2015-09-25</v>
      </c>
      <c r="B2664" t="str">
        <f>"72.2323"</f>
        <v>72.2323</v>
      </c>
      <c r="C2664">
        <v>2662</v>
      </c>
      <c r="D2664" s="7">
        <v>72.232299999999995</v>
      </c>
      <c r="E2664" s="7">
        <f t="shared" si="82"/>
        <v>192282.38259999998</v>
      </c>
      <c r="F2664" s="7">
        <f t="shared" si="83"/>
        <v>7086244</v>
      </c>
      <c r="G2664" s="7"/>
    </row>
    <row r="2665" spans="1:7" x14ac:dyDescent="0.35">
      <c r="A2665" t="str">
        <f>"2015-09-28"</f>
        <v>2015-09-28</v>
      </c>
      <c r="B2665" t="str">
        <f>"71.6096"</f>
        <v>71.6096</v>
      </c>
      <c r="C2665">
        <v>2663</v>
      </c>
      <c r="D2665" s="7">
        <v>71.6096</v>
      </c>
      <c r="E2665" s="7">
        <f t="shared" si="82"/>
        <v>190696.36480000001</v>
      </c>
      <c r="F2665" s="7">
        <f t="shared" si="83"/>
        <v>7091569</v>
      </c>
      <c r="G2665" s="7"/>
    </row>
    <row r="2666" spans="1:7" x14ac:dyDescent="0.35">
      <c r="A2666" t="str">
        <f>"2015-09-29"</f>
        <v>2015-09-29</v>
      </c>
      <c r="B2666" t="str">
        <f>"72.4047"</f>
        <v>72.4047</v>
      </c>
      <c r="C2666">
        <v>2664</v>
      </c>
      <c r="D2666" s="7">
        <v>72.404700000000005</v>
      </c>
      <c r="E2666" s="7">
        <f t="shared" si="82"/>
        <v>192886.1208</v>
      </c>
      <c r="F2666" s="7">
        <f t="shared" si="83"/>
        <v>7096896</v>
      </c>
      <c r="G2666" s="7"/>
    </row>
    <row r="2667" spans="1:7" x14ac:dyDescent="0.35">
      <c r="A2667" t="str">
        <f>"2015-09-30"</f>
        <v>2015-09-30</v>
      </c>
      <c r="B2667" t="str">
        <f>"73.1459"</f>
        <v>73.1459</v>
      </c>
      <c r="C2667">
        <v>2665</v>
      </c>
      <c r="D2667" s="7">
        <v>73.145899999999997</v>
      </c>
      <c r="E2667" s="7">
        <f t="shared" si="82"/>
        <v>194933.8235</v>
      </c>
      <c r="F2667" s="7">
        <f t="shared" si="83"/>
        <v>7102225</v>
      </c>
      <c r="G2667" s="7"/>
    </row>
    <row r="2668" spans="1:7" x14ac:dyDescent="0.35">
      <c r="A2668" t="str">
        <f>"2015-10-01"</f>
        <v>2015-10-01</v>
      </c>
      <c r="B2668" t="str">
        <f>"73.8673"</f>
        <v>73.8673</v>
      </c>
      <c r="C2668">
        <v>2666</v>
      </c>
      <c r="D2668" s="7">
        <v>73.8673</v>
      </c>
      <c r="E2668" s="7">
        <f t="shared" si="82"/>
        <v>196930.2218</v>
      </c>
      <c r="F2668" s="7">
        <f t="shared" si="83"/>
        <v>7107556</v>
      </c>
      <c r="G2668" s="7"/>
    </row>
    <row r="2669" spans="1:7" x14ac:dyDescent="0.35">
      <c r="A2669" t="str">
        <f>"2015-10-02"</f>
        <v>2015-10-02</v>
      </c>
      <c r="B2669" t="str">
        <f>"73.0723"</f>
        <v>73.0723</v>
      </c>
      <c r="C2669">
        <v>2667</v>
      </c>
      <c r="D2669" s="7">
        <v>73.072299999999998</v>
      </c>
      <c r="E2669" s="7">
        <f t="shared" si="82"/>
        <v>194883.8241</v>
      </c>
      <c r="F2669" s="7">
        <f t="shared" si="83"/>
        <v>7112889</v>
      </c>
      <c r="G2669" s="7"/>
    </row>
    <row r="2670" spans="1:7" x14ac:dyDescent="0.35">
      <c r="A2670" t="str">
        <f>"2015-10-05"</f>
        <v>2015-10-05</v>
      </c>
      <c r="B2670" t="str">
        <f>"75.7957"</f>
        <v>75.7957</v>
      </c>
      <c r="C2670">
        <v>2668</v>
      </c>
      <c r="D2670" s="7">
        <v>75.795699999999997</v>
      </c>
      <c r="E2670" s="7">
        <f t="shared" si="82"/>
        <v>202222.9276</v>
      </c>
      <c r="F2670" s="7">
        <f t="shared" si="83"/>
        <v>7118224</v>
      </c>
      <c r="G2670" s="7"/>
    </row>
    <row r="2671" spans="1:7" x14ac:dyDescent="0.35">
      <c r="A2671" t="str">
        <f>"2015-10-06"</f>
        <v>2015-10-06</v>
      </c>
      <c r="B2671" t="str">
        <f>"76.6749"</f>
        <v>76.6749</v>
      </c>
      <c r="C2671">
        <v>2669</v>
      </c>
      <c r="D2671" s="7">
        <v>76.674899999999994</v>
      </c>
      <c r="E2671" s="7">
        <f t="shared" si="82"/>
        <v>204645.30809999999</v>
      </c>
      <c r="F2671" s="7">
        <f t="shared" si="83"/>
        <v>7123561</v>
      </c>
      <c r="G2671" s="7"/>
    </row>
    <row r="2672" spans="1:7" x14ac:dyDescent="0.35">
      <c r="A2672" t="str">
        <f>"2015-10-07"</f>
        <v>2015-10-07</v>
      </c>
      <c r="B2672" t="str">
        <f>"77.657"</f>
        <v>77.657</v>
      </c>
      <c r="C2672">
        <v>2670</v>
      </c>
      <c r="D2672" s="7">
        <v>77.656999999999996</v>
      </c>
      <c r="E2672" s="7">
        <f t="shared" si="82"/>
        <v>207344.19</v>
      </c>
      <c r="F2672" s="7">
        <f t="shared" si="83"/>
        <v>7128900</v>
      </c>
      <c r="G2672" s="7"/>
    </row>
    <row r="2673" spans="1:7" x14ac:dyDescent="0.35">
      <c r="A2673" t="str">
        <f>"2015-10-08"</f>
        <v>2015-10-08</v>
      </c>
      <c r="B2673" t="str">
        <f>"78.9812"</f>
        <v>78.9812</v>
      </c>
      <c r="C2673">
        <v>2671</v>
      </c>
      <c r="D2673" s="7">
        <v>78.981200000000001</v>
      </c>
      <c r="E2673" s="7">
        <f t="shared" si="82"/>
        <v>210958.78520000001</v>
      </c>
      <c r="F2673" s="7">
        <f t="shared" si="83"/>
        <v>7134241</v>
      </c>
      <c r="G2673" s="7"/>
    </row>
    <row r="2674" spans="1:7" x14ac:dyDescent="0.35">
      <c r="A2674" t="str">
        <f>"2015-10-09"</f>
        <v>2015-10-09</v>
      </c>
      <c r="B2674" t="str">
        <f>"79.0367"</f>
        <v>79.0367</v>
      </c>
      <c r="C2674">
        <v>2672</v>
      </c>
      <c r="D2674" s="7">
        <v>79.036699999999996</v>
      </c>
      <c r="E2674" s="7">
        <f t="shared" si="82"/>
        <v>211186.0624</v>
      </c>
      <c r="F2674" s="7">
        <f t="shared" si="83"/>
        <v>7139584</v>
      </c>
      <c r="G2674" s="7"/>
    </row>
    <row r="2675" spans="1:7" x14ac:dyDescent="0.35">
      <c r="A2675" t="str">
        <f>"2015-10-12"</f>
        <v>2015-10-12</v>
      </c>
      <c r="B2675" t="str">
        <f>"78.016"</f>
        <v>78.016</v>
      </c>
      <c r="C2675">
        <v>2673</v>
      </c>
      <c r="D2675" s="7">
        <v>78.016000000000005</v>
      </c>
      <c r="E2675" s="7">
        <f t="shared" si="82"/>
        <v>208536.76800000001</v>
      </c>
      <c r="F2675" s="7">
        <f t="shared" si="83"/>
        <v>7144929</v>
      </c>
      <c r="G2675" s="7"/>
    </row>
    <row r="2676" spans="1:7" x14ac:dyDescent="0.35">
      <c r="A2676" t="str">
        <f>"2015-10-13"</f>
        <v>2015-10-13</v>
      </c>
      <c r="B2676" t="str">
        <f>"76.7074"</f>
        <v>76.7074</v>
      </c>
      <c r="C2676">
        <v>2674</v>
      </c>
      <c r="D2676" s="7">
        <v>76.707400000000007</v>
      </c>
      <c r="E2676" s="7">
        <f t="shared" si="82"/>
        <v>205115.58760000003</v>
      </c>
      <c r="F2676" s="7">
        <f t="shared" si="83"/>
        <v>7150276</v>
      </c>
      <c r="G2676" s="7"/>
    </row>
    <row r="2677" spans="1:7" x14ac:dyDescent="0.35">
      <c r="A2677" t="str">
        <f>"2015-10-14"</f>
        <v>2015-10-14</v>
      </c>
      <c r="B2677" t="str">
        <f>"76.4637"</f>
        <v>76.4637</v>
      </c>
      <c r="C2677">
        <v>2675</v>
      </c>
      <c r="D2677" s="7">
        <v>76.463700000000003</v>
      </c>
      <c r="E2677" s="7">
        <f t="shared" si="82"/>
        <v>204540.39750000002</v>
      </c>
      <c r="F2677" s="7">
        <f t="shared" si="83"/>
        <v>7155625</v>
      </c>
      <c r="G2677" s="7"/>
    </row>
    <row r="2678" spans="1:7" x14ac:dyDescent="0.35">
      <c r="A2678" t="str">
        <f>"2015-10-15"</f>
        <v>2015-10-15</v>
      </c>
      <c r="B2678" t="str">
        <f>"76.7067"</f>
        <v>76.7067</v>
      </c>
      <c r="C2678">
        <v>2676</v>
      </c>
      <c r="D2678" s="7">
        <v>76.706699999999998</v>
      </c>
      <c r="E2678" s="7">
        <f t="shared" si="82"/>
        <v>205267.1292</v>
      </c>
      <c r="F2678" s="7">
        <f t="shared" si="83"/>
        <v>7160976</v>
      </c>
      <c r="G2678" s="7"/>
    </row>
    <row r="2679" spans="1:7" x14ac:dyDescent="0.35">
      <c r="A2679" t="str">
        <f>"2015-10-16"</f>
        <v>2015-10-16</v>
      </c>
      <c r="B2679" t="str">
        <f>"76.6836"</f>
        <v>76.6836</v>
      </c>
      <c r="C2679">
        <v>2677</v>
      </c>
      <c r="D2679" s="7">
        <v>76.683599999999998</v>
      </c>
      <c r="E2679" s="7">
        <f t="shared" si="82"/>
        <v>205281.99719999998</v>
      </c>
      <c r="F2679" s="7">
        <f t="shared" si="83"/>
        <v>7166329</v>
      </c>
      <c r="G2679" s="7"/>
    </row>
    <row r="2680" spans="1:7" x14ac:dyDescent="0.35">
      <c r="A2680" t="str">
        <f>"2015-10-19"</f>
        <v>2015-10-19</v>
      </c>
      <c r="B2680" t="str">
        <f>"77.6776"</f>
        <v>77.6776</v>
      </c>
      <c r="C2680">
        <v>2678</v>
      </c>
      <c r="D2680" s="7">
        <v>77.677599999999998</v>
      </c>
      <c r="E2680" s="7">
        <f t="shared" si="82"/>
        <v>208020.6128</v>
      </c>
      <c r="F2680" s="7">
        <f t="shared" si="83"/>
        <v>7171684</v>
      </c>
      <c r="G2680" s="7"/>
    </row>
    <row r="2681" spans="1:7" x14ac:dyDescent="0.35">
      <c r="A2681" t="str">
        <f>"2015-10-20"</f>
        <v>2015-10-20</v>
      </c>
      <c r="B2681" t="str">
        <f>"78.7992"</f>
        <v>78.7992</v>
      </c>
      <c r="C2681">
        <v>2679</v>
      </c>
      <c r="D2681" s="7">
        <v>78.799199999999999</v>
      </c>
      <c r="E2681" s="7">
        <f t="shared" si="82"/>
        <v>211103.05679999999</v>
      </c>
      <c r="F2681" s="7">
        <f t="shared" si="83"/>
        <v>7177041</v>
      </c>
      <c r="G2681" s="7"/>
    </row>
    <row r="2682" spans="1:7" x14ac:dyDescent="0.35">
      <c r="A2682" t="str">
        <f>"2015-10-21"</f>
        <v>2015-10-21</v>
      </c>
      <c r="B2682" t="str">
        <f>"78.2639"</f>
        <v>78.2639</v>
      </c>
      <c r="C2682">
        <v>2680</v>
      </c>
      <c r="D2682" s="7">
        <v>78.263900000000007</v>
      </c>
      <c r="E2682" s="7">
        <f t="shared" si="82"/>
        <v>209747.25200000001</v>
      </c>
      <c r="F2682" s="7">
        <f t="shared" si="83"/>
        <v>7182400</v>
      </c>
      <c r="G2682" s="7"/>
    </row>
    <row r="2683" spans="1:7" x14ac:dyDescent="0.35">
      <c r="A2683" t="str">
        <f>"2015-10-22"</f>
        <v>2015-10-22</v>
      </c>
      <c r="B2683" t="str">
        <f>"78.5518"</f>
        <v>78.5518</v>
      </c>
      <c r="C2683">
        <v>2681</v>
      </c>
      <c r="D2683" s="7">
        <v>78.5518</v>
      </c>
      <c r="E2683" s="7">
        <f t="shared" si="82"/>
        <v>210597.37580000001</v>
      </c>
      <c r="F2683" s="7">
        <f t="shared" si="83"/>
        <v>7187761</v>
      </c>
      <c r="G2683" s="7"/>
    </row>
    <row r="2684" spans="1:7" x14ac:dyDescent="0.35">
      <c r="A2684" t="str">
        <f>"2015-10-23"</f>
        <v>2015-10-23</v>
      </c>
      <c r="B2684" t="str">
        <f>"79.2284"</f>
        <v>79.2284</v>
      </c>
      <c r="C2684">
        <v>2682</v>
      </c>
      <c r="D2684" s="7">
        <v>79.228399999999993</v>
      </c>
      <c r="E2684" s="7">
        <f t="shared" si="82"/>
        <v>212490.56879999998</v>
      </c>
      <c r="F2684" s="7">
        <f t="shared" si="83"/>
        <v>7193124</v>
      </c>
      <c r="G2684" s="7"/>
    </row>
    <row r="2685" spans="1:7" x14ac:dyDescent="0.35">
      <c r="A2685" t="str">
        <f>"2015-10-26"</f>
        <v>2015-10-26</v>
      </c>
      <c r="B2685" t="str">
        <f>"77.0265"</f>
        <v>77.0265</v>
      </c>
      <c r="C2685">
        <v>2683</v>
      </c>
      <c r="D2685" s="7">
        <v>77.026499999999999</v>
      </c>
      <c r="E2685" s="7">
        <f t="shared" si="82"/>
        <v>206662.09949999998</v>
      </c>
      <c r="F2685" s="7">
        <f t="shared" si="83"/>
        <v>7198489</v>
      </c>
      <c r="G2685" s="7"/>
    </row>
    <row r="2686" spans="1:7" x14ac:dyDescent="0.35">
      <c r="A2686" t="str">
        <f>"2015-10-27"</f>
        <v>2015-10-27</v>
      </c>
      <c r="B2686" t="str">
        <f>"76.608"</f>
        <v>76.608</v>
      </c>
      <c r="C2686">
        <v>2684</v>
      </c>
      <c r="D2686" s="7">
        <v>76.608000000000004</v>
      </c>
      <c r="E2686" s="7">
        <f t="shared" si="82"/>
        <v>205615.872</v>
      </c>
      <c r="F2686" s="7">
        <f t="shared" si="83"/>
        <v>7203856</v>
      </c>
      <c r="G2686" s="7"/>
    </row>
    <row r="2687" spans="1:7" x14ac:dyDescent="0.35">
      <c r="A2687" t="str">
        <f>"2015-10-28"</f>
        <v>2015-10-28</v>
      </c>
      <c r="B2687" t="str">
        <f>"75.5188"</f>
        <v>75.5188</v>
      </c>
      <c r="C2687">
        <v>2685</v>
      </c>
      <c r="D2687" s="7">
        <v>75.518799999999999</v>
      </c>
      <c r="E2687" s="7">
        <f t="shared" si="82"/>
        <v>202767.978</v>
      </c>
      <c r="F2687" s="7">
        <f t="shared" si="83"/>
        <v>7209225</v>
      </c>
      <c r="G2687" s="7"/>
    </row>
    <row r="2688" spans="1:7" x14ac:dyDescent="0.35">
      <c r="A2688" t="str">
        <f>"2015-10-29"</f>
        <v>2015-10-29</v>
      </c>
      <c r="B2688" t="str">
        <f>"77.0731"</f>
        <v>77.0731</v>
      </c>
      <c r="C2688">
        <v>2686</v>
      </c>
      <c r="D2688" s="7">
        <v>77.073099999999997</v>
      </c>
      <c r="E2688" s="7">
        <f t="shared" si="82"/>
        <v>207018.34659999999</v>
      </c>
      <c r="F2688" s="7">
        <f t="shared" si="83"/>
        <v>7214596</v>
      </c>
      <c r="G2688" s="7"/>
    </row>
    <row r="2689" spans="1:7" x14ac:dyDescent="0.35">
      <c r="A2689" t="str">
        <f>"2015-10-30"</f>
        <v>2015-10-30</v>
      </c>
      <c r="B2689" t="str">
        <f>"79.9416"</f>
        <v>79.9416</v>
      </c>
      <c r="C2689">
        <v>2687</v>
      </c>
      <c r="D2689" s="7">
        <v>79.941599999999994</v>
      </c>
      <c r="E2689" s="7">
        <f t="shared" si="82"/>
        <v>214803.07919999998</v>
      </c>
      <c r="F2689" s="7">
        <f t="shared" si="83"/>
        <v>7219969</v>
      </c>
      <c r="G2689" s="7"/>
    </row>
    <row r="2690" spans="1:7" x14ac:dyDescent="0.35">
      <c r="A2690" t="str">
        <f>"2015-11-02"</f>
        <v>2015-11-02</v>
      </c>
      <c r="B2690" t="str">
        <f>"88.4928"</f>
        <v>88.4928</v>
      </c>
      <c r="C2690">
        <v>2688</v>
      </c>
      <c r="D2690" s="7">
        <v>88.492800000000003</v>
      </c>
      <c r="E2690" s="7">
        <f t="shared" si="82"/>
        <v>237868.6464</v>
      </c>
      <c r="F2690" s="7">
        <f t="shared" si="83"/>
        <v>7225344</v>
      </c>
      <c r="G2690" s="7"/>
    </row>
    <row r="2691" spans="1:7" x14ac:dyDescent="0.35">
      <c r="A2691" t="str">
        <f>"2015-11-03"</f>
        <v>2015-11-03</v>
      </c>
      <c r="B2691" t="str">
        <f>"89.6633"</f>
        <v>89.6633</v>
      </c>
      <c r="C2691">
        <v>2689</v>
      </c>
      <c r="D2691" s="7">
        <v>89.663300000000007</v>
      </c>
      <c r="E2691" s="7">
        <f t="shared" si="82"/>
        <v>241104.61370000002</v>
      </c>
      <c r="F2691" s="7">
        <f t="shared" si="83"/>
        <v>7230721</v>
      </c>
      <c r="G2691" s="7"/>
    </row>
    <row r="2692" spans="1:7" x14ac:dyDescent="0.35">
      <c r="A2692" t="str">
        <f>"2015-11-04"</f>
        <v>2015-11-04</v>
      </c>
      <c r="B2692" t="str">
        <f>"91.4418"</f>
        <v>91.4418</v>
      </c>
      <c r="C2692">
        <v>2690</v>
      </c>
      <c r="D2692" s="7">
        <v>91.441800000000001</v>
      </c>
      <c r="E2692" s="7">
        <f t="shared" ref="E2692:E2755" si="84">C2692*D2692</f>
        <v>245978.44200000001</v>
      </c>
      <c r="F2692" s="7">
        <f t="shared" ref="F2692:F2755" si="85">C2692*C2692</f>
        <v>7236100</v>
      </c>
      <c r="G2692" s="7"/>
    </row>
    <row r="2693" spans="1:7" x14ac:dyDescent="0.35">
      <c r="A2693" t="str">
        <f>"2015-11-05"</f>
        <v>2015-11-05</v>
      </c>
      <c r="B2693" t="str">
        <f>"91.176"</f>
        <v>91.176</v>
      </c>
      <c r="C2693">
        <v>2691</v>
      </c>
      <c r="D2693" s="7">
        <v>91.176000000000002</v>
      </c>
      <c r="E2693" s="7">
        <f t="shared" si="84"/>
        <v>245354.61600000001</v>
      </c>
      <c r="F2693" s="7">
        <f t="shared" si="85"/>
        <v>7241481</v>
      </c>
      <c r="G2693" s="7"/>
    </row>
    <row r="2694" spans="1:7" x14ac:dyDescent="0.35">
      <c r="A2694" t="str">
        <f>"2015-11-06"</f>
        <v>2015-11-06</v>
      </c>
      <c r="B2694" t="str">
        <f>"92.0267"</f>
        <v>92.0267</v>
      </c>
      <c r="C2694">
        <v>2692</v>
      </c>
      <c r="D2694" s="7">
        <v>92.026700000000005</v>
      </c>
      <c r="E2694" s="7">
        <f t="shared" si="84"/>
        <v>247735.87640000001</v>
      </c>
      <c r="F2694" s="7">
        <f t="shared" si="85"/>
        <v>7246864</v>
      </c>
      <c r="G2694" s="7"/>
    </row>
    <row r="2695" spans="1:7" x14ac:dyDescent="0.35">
      <c r="A2695" t="str">
        <f>"2015-11-09"</f>
        <v>2015-11-09</v>
      </c>
      <c r="B2695" t="str">
        <f>"89.6849"</f>
        <v>89.6849</v>
      </c>
      <c r="C2695">
        <v>2693</v>
      </c>
      <c r="D2695" s="7">
        <v>89.684899999999999</v>
      </c>
      <c r="E2695" s="7">
        <f t="shared" si="84"/>
        <v>241521.4357</v>
      </c>
      <c r="F2695" s="7">
        <f t="shared" si="85"/>
        <v>7252249</v>
      </c>
      <c r="G2695" s="7"/>
    </row>
    <row r="2696" spans="1:7" x14ac:dyDescent="0.35">
      <c r="A2696" t="str">
        <f>"2015-11-10"</f>
        <v>2015-11-10</v>
      </c>
      <c r="B2696" t="str">
        <f>"88.983"</f>
        <v>88.983</v>
      </c>
      <c r="C2696">
        <v>2694</v>
      </c>
      <c r="D2696" s="7">
        <v>88.983000000000004</v>
      </c>
      <c r="E2696" s="7">
        <f t="shared" si="84"/>
        <v>239720.20200000002</v>
      </c>
      <c r="F2696" s="7">
        <f t="shared" si="85"/>
        <v>7257636</v>
      </c>
      <c r="G2696" s="7"/>
    </row>
    <row r="2697" spans="1:7" x14ac:dyDescent="0.35">
      <c r="A2697" t="str">
        <f>"2015-11-11"</f>
        <v>2015-11-11</v>
      </c>
      <c r="B2697" t="str">
        <f>"90.2341"</f>
        <v>90.2341</v>
      </c>
      <c r="C2697">
        <v>2695</v>
      </c>
      <c r="D2697" s="7">
        <v>90.234099999999998</v>
      </c>
      <c r="E2697" s="7">
        <f t="shared" si="84"/>
        <v>243180.8995</v>
      </c>
      <c r="F2697" s="7">
        <f t="shared" si="85"/>
        <v>7263025</v>
      </c>
      <c r="G2697" s="7"/>
    </row>
    <row r="2698" spans="1:7" x14ac:dyDescent="0.35">
      <c r="A2698" t="str">
        <f>"2015-11-12"</f>
        <v>2015-11-12</v>
      </c>
      <c r="B2698" t="str">
        <f>"92.9486"</f>
        <v>92.9486</v>
      </c>
      <c r="C2698">
        <v>2696</v>
      </c>
      <c r="D2698" s="7">
        <v>92.948599999999999</v>
      </c>
      <c r="E2698" s="7">
        <f t="shared" si="84"/>
        <v>250589.42559999999</v>
      </c>
      <c r="F2698" s="7">
        <f t="shared" si="85"/>
        <v>7268416</v>
      </c>
      <c r="G2698" s="7"/>
    </row>
    <row r="2699" spans="1:7" x14ac:dyDescent="0.35">
      <c r="A2699" t="str">
        <f>"2015-11-13"</f>
        <v>2015-11-13</v>
      </c>
      <c r="B2699" t="str">
        <f>"92.6799"</f>
        <v>92.6799</v>
      </c>
      <c r="C2699">
        <v>2697</v>
      </c>
      <c r="D2699" s="7">
        <v>92.679900000000004</v>
      </c>
      <c r="E2699" s="7">
        <f t="shared" si="84"/>
        <v>249957.69030000002</v>
      </c>
      <c r="F2699" s="7">
        <f t="shared" si="85"/>
        <v>7273809</v>
      </c>
      <c r="G2699" s="7"/>
    </row>
    <row r="2700" spans="1:7" x14ac:dyDescent="0.35">
      <c r="A2700" t="str">
        <f>"2015-11-16"</f>
        <v>2015-11-16</v>
      </c>
      <c r="B2700" t="str">
        <f>"89.5563"</f>
        <v>89.5563</v>
      </c>
      <c r="C2700">
        <v>2698</v>
      </c>
      <c r="D2700" s="7">
        <v>89.556299999999993</v>
      </c>
      <c r="E2700" s="7">
        <f t="shared" si="84"/>
        <v>241622.89739999999</v>
      </c>
      <c r="F2700" s="7">
        <f t="shared" si="85"/>
        <v>7279204</v>
      </c>
      <c r="G2700" s="7"/>
    </row>
    <row r="2701" spans="1:7" x14ac:dyDescent="0.35">
      <c r="A2701" t="str">
        <f>"2015-11-17"</f>
        <v>2015-11-17</v>
      </c>
      <c r="B2701" t="str">
        <f>"90.2043"</f>
        <v>90.2043</v>
      </c>
      <c r="C2701">
        <v>2699</v>
      </c>
      <c r="D2701" s="7">
        <v>90.204300000000003</v>
      </c>
      <c r="E2701" s="7">
        <f t="shared" si="84"/>
        <v>243461.4057</v>
      </c>
      <c r="F2701" s="7">
        <f t="shared" si="85"/>
        <v>7284601</v>
      </c>
      <c r="G2701" s="7"/>
    </row>
    <row r="2702" spans="1:7" x14ac:dyDescent="0.35">
      <c r="A2702" t="str">
        <f>"2015-11-18"</f>
        <v>2015-11-18</v>
      </c>
      <c r="B2702" t="str">
        <f>"88.3475"</f>
        <v>88.3475</v>
      </c>
      <c r="C2702">
        <v>2700</v>
      </c>
      <c r="D2702" s="7">
        <v>88.347499999999997</v>
      </c>
      <c r="E2702" s="7">
        <f t="shared" si="84"/>
        <v>238538.25</v>
      </c>
      <c r="F2702" s="7">
        <f t="shared" si="85"/>
        <v>7290000</v>
      </c>
      <c r="G2702" s="7"/>
    </row>
    <row r="2703" spans="1:7" x14ac:dyDescent="0.35">
      <c r="A2703" t="str">
        <f>"2015-11-19"</f>
        <v>2015-11-19</v>
      </c>
      <c r="B2703" t="str">
        <f>"88.3637"</f>
        <v>88.3637</v>
      </c>
      <c r="C2703">
        <v>2701</v>
      </c>
      <c r="D2703" s="7">
        <v>88.363699999999994</v>
      </c>
      <c r="E2703" s="7">
        <f t="shared" si="84"/>
        <v>238670.35369999998</v>
      </c>
      <c r="F2703" s="7">
        <f t="shared" si="85"/>
        <v>7295401</v>
      </c>
      <c r="G2703" s="7"/>
    </row>
    <row r="2704" spans="1:7" x14ac:dyDescent="0.35">
      <c r="A2704" t="str">
        <f>"2015-11-20"</f>
        <v>2015-11-20</v>
      </c>
      <c r="B2704" t="str">
        <f>"89.0191"</f>
        <v>89.0191</v>
      </c>
      <c r="C2704">
        <v>2702</v>
      </c>
      <c r="D2704" s="7">
        <v>89.019099999999995</v>
      </c>
      <c r="E2704" s="7">
        <f t="shared" si="84"/>
        <v>240529.60819999999</v>
      </c>
      <c r="F2704" s="7">
        <f t="shared" si="85"/>
        <v>7300804</v>
      </c>
      <c r="G2704" s="7"/>
    </row>
    <row r="2705" spans="1:7" x14ac:dyDescent="0.35">
      <c r="A2705" t="str">
        <f>"2015-11-23"</f>
        <v>2015-11-23</v>
      </c>
      <c r="B2705" t="str">
        <f>"87.8816"</f>
        <v>87.8816</v>
      </c>
      <c r="C2705">
        <v>2703</v>
      </c>
      <c r="D2705" s="7">
        <v>87.881600000000006</v>
      </c>
      <c r="E2705" s="7">
        <f t="shared" si="84"/>
        <v>237543.96480000002</v>
      </c>
      <c r="F2705" s="7">
        <f t="shared" si="85"/>
        <v>7306209</v>
      </c>
      <c r="G2705" s="7"/>
    </row>
    <row r="2706" spans="1:7" x14ac:dyDescent="0.35">
      <c r="A2706" t="str">
        <f>"2015-11-24"</f>
        <v>2015-11-24</v>
      </c>
      <c r="B2706" t="str">
        <f>"80.4697"</f>
        <v>80.4697</v>
      </c>
      <c r="C2706">
        <v>2704</v>
      </c>
      <c r="D2706" s="7">
        <v>80.469700000000003</v>
      </c>
      <c r="E2706" s="7">
        <f t="shared" si="84"/>
        <v>217590.06880000001</v>
      </c>
      <c r="F2706" s="7">
        <f t="shared" si="85"/>
        <v>7311616</v>
      </c>
      <c r="G2706" s="7"/>
    </row>
    <row r="2707" spans="1:7" x14ac:dyDescent="0.35">
      <c r="A2707" t="str">
        <f>"2015-11-25"</f>
        <v>2015-11-25</v>
      </c>
      <c r="B2707" t="str">
        <f>"80.3717"</f>
        <v>80.3717</v>
      </c>
      <c r="C2707">
        <v>2705</v>
      </c>
      <c r="D2707" s="7">
        <v>80.371700000000004</v>
      </c>
      <c r="E2707" s="7">
        <f t="shared" si="84"/>
        <v>217405.4485</v>
      </c>
      <c r="F2707" s="7">
        <f t="shared" si="85"/>
        <v>7317025</v>
      </c>
      <c r="G2707" s="7"/>
    </row>
    <row r="2708" spans="1:7" x14ac:dyDescent="0.35">
      <c r="A2708" t="str">
        <f>"2015-11-27"</f>
        <v>2015-11-27</v>
      </c>
      <c r="B2708" t="str">
        <f>"78.7482"</f>
        <v>78.7482</v>
      </c>
      <c r="C2708">
        <v>2706</v>
      </c>
      <c r="D2708" s="7">
        <v>78.748199999999997</v>
      </c>
      <c r="E2708" s="7">
        <f t="shared" si="84"/>
        <v>213092.6292</v>
      </c>
      <c r="F2708" s="7">
        <f t="shared" si="85"/>
        <v>7322436</v>
      </c>
      <c r="G2708" s="7"/>
    </row>
    <row r="2709" spans="1:7" x14ac:dyDescent="0.35">
      <c r="A2709" t="str">
        <f>"2015-11-30"</f>
        <v>2015-11-30</v>
      </c>
      <c r="B2709" t="str">
        <f>"76.4082"</f>
        <v>76.4082</v>
      </c>
      <c r="C2709">
        <v>2707</v>
      </c>
      <c r="D2709" s="7">
        <v>76.408199999999994</v>
      </c>
      <c r="E2709" s="7">
        <f t="shared" si="84"/>
        <v>206836.99739999999</v>
      </c>
      <c r="F2709" s="7">
        <f t="shared" si="85"/>
        <v>7327849</v>
      </c>
      <c r="G2709" s="7"/>
    </row>
    <row r="2710" spans="1:7" x14ac:dyDescent="0.35">
      <c r="A2710" t="str">
        <f>"2015-12-01"</f>
        <v>2015-12-01</v>
      </c>
      <c r="B2710" t="str">
        <f>"77.253"</f>
        <v>77.253</v>
      </c>
      <c r="C2710">
        <v>2708</v>
      </c>
      <c r="D2710" s="7">
        <v>77.253</v>
      </c>
      <c r="E2710" s="7">
        <f t="shared" si="84"/>
        <v>209201.12400000001</v>
      </c>
      <c r="F2710" s="7">
        <f t="shared" si="85"/>
        <v>7333264</v>
      </c>
      <c r="G2710" s="7"/>
    </row>
    <row r="2711" spans="1:7" x14ac:dyDescent="0.35">
      <c r="A2711" t="str">
        <f>"2015-12-02"</f>
        <v>2015-12-02</v>
      </c>
      <c r="B2711" t="str">
        <f>"80.7007"</f>
        <v>80.7007</v>
      </c>
      <c r="C2711">
        <v>2709</v>
      </c>
      <c r="D2711" s="7">
        <v>80.700699999999998</v>
      </c>
      <c r="E2711" s="7">
        <f t="shared" si="84"/>
        <v>218618.19629999998</v>
      </c>
      <c r="F2711" s="7">
        <f t="shared" si="85"/>
        <v>7338681</v>
      </c>
      <c r="G2711" s="7"/>
    </row>
    <row r="2712" spans="1:7" x14ac:dyDescent="0.35">
      <c r="A2712" t="str">
        <f>"2015-12-03"</f>
        <v>2015-12-03</v>
      </c>
      <c r="B2712" t="str">
        <f>"78.1063"</f>
        <v>78.1063</v>
      </c>
      <c r="C2712">
        <v>2710</v>
      </c>
      <c r="D2712" s="7">
        <v>78.106300000000005</v>
      </c>
      <c r="E2712" s="7">
        <f t="shared" si="84"/>
        <v>211668.073</v>
      </c>
      <c r="F2712" s="7">
        <f t="shared" si="85"/>
        <v>7344100</v>
      </c>
      <c r="G2712" s="7"/>
    </row>
    <row r="2713" spans="1:7" x14ac:dyDescent="0.35">
      <c r="A2713" t="str">
        <f>"2015-12-04"</f>
        <v>2015-12-04</v>
      </c>
      <c r="B2713" t="str">
        <f>"75.6207"</f>
        <v>75.6207</v>
      </c>
      <c r="C2713">
        <v>2711</v>
      </c>
      <c r="D2713" s="7">
        <v>75.620699999999999</v>
      </c>
      <c r="E2713" s="7">
        <f t="shared" si="84"/>
        <v>205007.71770000001</v>
      </c>
      <c r="F2713" s="7">
        <f t="shared" si="85"/>
        <v>7349521</v>
      </c>
      <c r="G2713" s="7"/>
    </row>
    <row r="2714" spans="1:7" x14ac:dyDescent="0.35">
      <c r="A2714" t="str">
        <f>"2015-12-07"</f>
        <v>2015-12-07</v>
      </c>
      <c r="B2714" t="str">
        <f>"76.3104"</f>
        <v>76.3104</v>
      </c>
      <c r="C2714">
        <v>2712</v>
      </c>
      <c r="D2714" s="7">
        <v>76.310400000000001</v>
      </c>
      <c r="E2714" s="7">
        <f t="shared" si="84"/>
        <v>206953.80480000001</v>
      </c>
      <c r="F2714" s="7">
        <f t="shared" si="85"/>
        <v>7354944</v>
      </c>
      <c r="G2714" s="7"/>
    </row>
    <row r="2715" spans="1:7" x14ac:dyDescent="0.35">
      <c r="A2715" t="str">
        <f>"2015-12-08"</f>
        <v>2015-12-08</v>
      </c>
      <c r="B2715" t="str">
        <f>"74.153"</f>
        <v>74.153</v>
      </c>
      <c r="C2715">
        <v>2713</v>
      </c>
      <c r="D2715" s="7">
        <v>74.153000000000006</v>
      </c>
      <c r="E2715" s="7">
        <f t="shared" si="84"/>
        <v>201177.08900000001</v>
      </c>
      <c r="F2715" s="7">
        <f t="shared" si="85"/>
        <v>7360369</v>
      </c>
      <c r="G2715" s="7"/>
    </row>
    <row r="2716" spans="1:7" x14ac:dyDescent="0.35">
      <c r="A2716" t="str">
        <f>"2015-12-09"</f>
        <v>2015-12-09</v>
      </c>
      <c r="B2716" t="str">
        <f>"75.7837"</f>
        <v>75.7837</v>
      </c>
      <c r="C2716">
        <v>2714</v>
      </c>
      <c r="D2716" s="7">
        <v>75.783699999999996</v>
      </c>
      <c r="E2716" s="7">
        <f t="shared" si="84"/>
        <v>205676.96179999999</v>
      </c>
      <c r="F2716" s="7">
        <f t="shared" si="85"/>
        <v>7365796</v>
      </c>
      <c r="G2716" s="7"/>
    </row>
    <row r="2717" spans="1:7" x14ac:dyDescent="0.35">
      <c r="A2717" t="str">
        <f>"2015-12-10"</f>
        <v>2015-12-10</v>
      </c>
      <c r="B2717" t="str">
        <f>"72.1483"</f>
        <v>72.1483</v>
      </c>
      <c r="C2717">
        <v>2715</v>
      </c>
      <c r="D2717" s="7">
        <v>72.148300000000006</v>
      </c>
      <c r="E2717" s="7">
        <f t="shared" si="84"/>
        <v>195882.63450000001</v>
      </c>
      <c r="F2717" s="7">
        <f t="shared" si="85"/>
        <v>7371225</v>
      </c>
      <c r="G2717" s="7"/>
    </row>
    <row r="2718" spans="1:7" x14ac:dyDescent="0.35">
      <c r="A2718" t="str">
        <f>"2015-12-11"</f>
        <v>2015-12-11</v>
      </c>
      <c r="B2718" t="str">
        <f>"67.951"</f>
        <v>67.951</v>
      </c>
      <c r="C2718">
        <v>2716</v>
      </c>
      <c r="D2718" s="7">
        <v>67.950999999999993</v>
      </c>
      <c r="E2718" s="7">
        <f t="shared" si="84"/>
        <v>184554.91599999997</v>
      </c>
      <c r="F2718" s="7">
        <f t="shared" si="85"/>
        <v>7376656</v>
      </c>
      <c r="G2718" s="7"/>
    </row>
    <row r="2719" spans="1:7" x14ac:dyDescent="0.35">
      <c r="A2719" t="str">
        <f>"2015-12-14"</f>
        <v>2015-12-14</v>
      </c>
      <c r="B2719" t="str">
        <f>"66.9312"</f>
        <v>66.9312</v>
      </c>
      <c r="C2719">
        <v>2717</v>
      </c>
      <c r="D2719" s="7">
        <v>66.931200000000004</v>
      </c>
      <c r="E2719" s="7">
        <f t="shared" si="84"/>
        <v>181852.0704</v>
      </c>
      <c r="F2719" s="7">
        <f t="shared" si="85"/>
        <v>7382089</v>
      </c>
      <c r="G2719" s="7"/>
    </row>
    <row r="2720" spans="1:7" x14ac:dyDescent="0.35">
      <c r="A2720" t="str">
        <f>"2015-12-15"</f>
        <v>2015-12-15</v>
      </c>
      <c r="B2720" t="str">
        <f>"70.9019"</f>
        <v>70.9019</v>
      </c>
      <c r="C2720">
        <v>2718</v>
      </c>
      <c r="D2720" s="7">
        <v>70.901899999999998</v>
      </c>
      <c r="E2720" s="7">
        <f t="shared" si="84"/>
        <v>192711.36419999998</v>
      </c>
      <c r="F2720" s="7">
        <f t="shared" si="85"/>
        <v>7387524</v>
      </c>
      <c r="G2720" s="7"/>
    </row>
    <row r="2721" spans="1:7" x14ac:dyDescent="0.35">
      <c r="A2721" t="str">
        <f>"2015-12-16"</f>
        <v>2015-12-16</v>
      </c>
      <c r="B2721" t="str">
        <f>"70.803"</f>
        <v>70.803</v>
      </c>
      <c r="C2721">
        <v>2719</v>
      </c>
      <c r="D2721" s="7">
        <v>70.802999999999997</v>
      </c>
      <c r="E2721" s="7">
        <f t="shared" si="84"/>
        <v>192513.35699999999</v>
      </c>
      <c r="F2721" s="7">
        <f t="shared" si="85"/>
        <v>7392961</v>
      </c>
      <c r="G2721" s="7"/>
    </row>
    <row r="2722" spans="1:7" x14ac:dyDescent="0.35">
      <c r="A2722" t="str">
        <f>"2015-12-17"</f>
        <v>2015-12-17</v>
      </c>
      <c r="B2722" t="str">
        <f>"73.9239"</f>
        <v>73.9239</v>
      </c>
      <c r="C2722">
        <v>2720</v>
      </c>
      <c r="D2722" s="7">
        <v>73.923900000000003</v>
      </c>
      <c r="E2722" s="7">
        <f t="shared" si="84"/>
        <v>201073.008</v>
      </c>
      <c r="F2722" s="7">
        <f t="shared" si="85"/>
        <v>7398400</v>
      </c>
      <c r="G2722" s="7"/>
    </row>
    <row r="2723" spans="1:7" x14ac:dyDescent="0.35">
      <c r="A2723" t="str">
        <f>"2015-12-18"</f>
        <v>2015-12-18</v>
      </c>
      <c r="B2723" t="str">
        <f>"72.1104"</f>
        <v>72.1104</v>
      </c>
      <c r="C2723">
        <v>2721</v>
      </c>
      <c r="D2723" s="7">
        <v>72.110399999999998</v>
      </c>
      <c r="E2723" s="7">
        <f t="shared" si="84"/>
        <v>196212.39840000001</v>
      </c>
      <c r="F2723" s="7">
        <f t="shared" si="85"/>
        <v>7403841</v>
      </c>
      <c r="G2723" s="7"/>
    </row>
    <row r="2724" spans="1:7" x14ac:dyDescent="0.35">
      <c r="A2724" t="str">
        <f>"2015-12-21"</f>
        <v>2015-12-21</v>
      </c>
      <c r="B2724" t="str">
        <f>"73.9899"</f>
        <v>73.9899</v>
      </c>
      <c r="C2724">
        <v>2722</v>
      </c>
      <c r="D2724" s="7">
        <v>73.989900000000006</v>
      </c>
      <c r="E2724" s="7">
        <f t="shared" si="84"/>
        <v>201400.50780000002</v>
      </c>
      <c r="F2724" s="7">
        <f t="shared" si="85"/>
        <v>7409284</v>
      </c>
      <c r="G2724" s="7"/>
    </row>
    <row r="2725" spans="1:7" x14ac:dyDescent="0.35">
      <c r="A2725" t="str">
        <f>"2015-12-22"</f>
        <v>2015-12-22</v>
      </c>
      <c r="B2725" t="str">
        <f>"73.9563"</f>
        <v>73.9563</v>
      </c>
      <c r="C2725">
        <v>2723</v>
      </c>
      <c r="D2725" s="7">
        <v>73.956299999999999</v>
      </c>
      <c r="E2725" s="7">
        <f t="shared" si="84"/>
        <v>201383.0049</v>
      </c>
      <c r="F2725" s="7">
        <f t="shared" si="85"/>
        <v>7414729</v>
      </c>
      <c r="G2725" s="7"/>
    </row>
    <row r="2726" spans="1:7" x14ac:dyDescent="0.35">
      <c r="A2726" t="str">
        <f>"2015-12-23"</f>
        <v>2015-12-23</v>
      </c>
      <c r="B2726" t="str">
        <f>"74.2448"</f>
        <v>74.2448</v>
      </c>
      <c r="C2726">
        <v>2724</v>
      </c>
      <c r="D2726" s="7">
        <v>74.244799999999998</v>
      </c>
      <c r="E2726" s="7">
        <f t="shared" si="84"/>
        <v>202242.8352</v>
      </c>
      <c r="F2726" s="7">
        <f t="shared" si="85"/>
        <v>7420176</v>
      </c>
      <c r="G2726" s="7"/>
    </row>
    <row r="2727" spans="1:7" x14ac:dyDescent="0.35">
      <c r="A2727" t="str">
        <f>"2015-12-24"</f>
        <v>2015-12-24</v>
      </c>
      <c r="B2727" t="str">
        <f>"73.4506"</f>
        <v>73.4506</v>
      </c>
      <c r="C2727">
        <v>2725</v>
      </c>
      <c r="D2727" s="7">
        <v>73.450599999999994</v>
      </c>
      <c r="E2727" s="7">
        <f t="shared" si="84"/>
        <v>200152.88499999998</v>
      </c>
      <c r="F2727" s="7">
        <f t="shared" si="85"/>
        <v>7425625</v>
      </c>
      <c r="G2727" s="7"/>
    </row>
    <row r="2728" spans="1:7" x14ac:dyDescent="0.35">
      <c r="A2728" t="str">
        <f>"2015-12-28"</f>
        <v>2015-12-28</v>
      </c>
      <c r="B2728" t="str">
        <f>"75.0454"</f>
        <v>75.0454</v>
      </c>
      <c r="C2728">
        <v>2726</v>
      </c>
      <c r="D2728" s="7">
        <v>75.045400000000001</v>
      </c>
      <c r="E2728" s="7">
        <f t="shared" si="84"/>
        <v>204573.7604</v>
      </c>
      <c r="F2728" s="7">
        <f t="shared" si="85"/>
        <v>7431076</v>
      </c>
      <c r="G2728" s="7"/>
    </row>
    <row r="2729" spans="1:7" x14ac:dyDescent="0.35">
      <c r="A2729" t="str">
        <f>"2015-12-29"</f>
        <v>2015-12-29</v>
      </c>
      <c r="B2729" t="str">
        <f>"74.4163"</f>
        <v>74.4163</v>
      </c>
      <c r="C2729">
        <v>2727</v>
      </c>
      <c r="D2729" s="7">
        <v>74.416300000000007</v>
      </c>
      <c r="E2729" s="7">
        <f t="shared" si="84"/>
        <v>202933.2501</v>
      </c>
      <c r="F2729" s="7">
        <f t="shared" si="85"/>
        <v>7436529</v>
      </c>
      <c r="G2729" s="7"/>
    </row>
    <row r="2730" spans="1:7" x14ac:dyDescent="0.35">
      <c r="A2730" t="str">
        <f>"2015-12-30"</f>
        <v>2015-12-30</v>
      </c>
      <c r="B2730" t="str">
        <f>"74.5423"</f>
        <v>74.5423</v>
      </c>
      <c r="C2730">
        <v>2728</v>
      </c>
      <c r="D2730" s="7">
        <v>74.542299999999997</v>
      </c>
      <c r="E2730" s="7">
        <f t="shared" si="84"/>
        <v>203351.39439999999</v>
      </c>
      <c r="F2730" s="7">
        <f t="shared" si="85"/>
        <v>7441984</v>
      </c>
      <c r="G2730" s="7"/>
    </row>
    <row r="2731" spans="1:7" x14ac:dyDescent="0.35">
      <c r="A2731" t="str">
        <f>"2015-12-31"</f>
        <v>2015-12-31</v>
      </c>
      <c r="B2731" t="str">
        <f>"74.2384"</f>
        <v>74.2384</v>
      </c>
      <c r="C2731">
        <v>2729</v>
      </c>
      <c r="D2731" s="7">
        <v>74.238399999999999</v>
      </c>
      <c r="E2731" s="7">
        <f t="shared" si="84"/>
        <v>202596.59359999999</v>
      </c>
      <c r="F2731" s="7">
        <f t="shared" si="85"/>
        <v>7447441</v>
      </c>
      <c r="G2731" s="7"/>
    </row>
    <row r="2732" spans="1:7" x14ac:dyDescent="0.35">
      <c r="A2732" t="str">
        <f>"2016-01-04"</f>
        <v>2016-01-04</v>
      </c>
      <c r="B2732" t="str">
        <f>"70.8351"</f>
        <v>70.8351</v>
      </c>
      <c r="C2732">
        <v>2730</v>
      </c>
      <c r="D2732" s="7">
        <v>70.835099999999997</v>
      </c>
      <c r="E2732" s="7">
        <f t="shared" si="84"/>
        <v>193379.823</v>
      </c>
      <c r="F2732" s="7">
        <f t="shared" si="85"/>
        <v>7452900</v>
      </c>
      <c r="G2732" s="7"/>
    </row>
    <row r="2733" spans="1:7" x14ac:dyDescent="0.35">
      <c r="A2733" t="str">
        <f>"2016-01-05"</f>
        <v>2016-01-05</v>
      </c>
      <c r="B2733" t="str">
        <f>"70.4438"</f>
        <v>70.4438</v>
      </c>
      <c r="C2733">
        <v>2731</v>
      </c>
      <c r="D2733" s="7">
        <v>70.443799999999996</v>
      </c>
      <c r="E2733" s="7">
        <f t="shared" si="84"/>
        <v>192382.0178</v>
      </c>
      <c r="F2733" s="7">
        <f t="shared" si="85"/>
        <v>7458361</v>
      </c>
      <c r="G2733" s="7"/>
    </row>
    <row r="2734" spans="1:7" x14ac:dyDescent="0.35">
      <c r="A2734" t="str">
        <f>"2016-01-06"</f>
        <v>2016-01-06</v>
      </c>
      <c r="B2734" t="str">
        <f>"68.8037"</f>
        <v>68.8037</v>
      </c>
      <c r="C2734">
        <v>2732</v>
      </c>
      <c r="D2734" s="7">
        <v>68.803700000000006</v>
      </c>
      <c r="E2734" s="7">
        <f t="shared" si="84"/>
        <v>187971.7084</v>
      </c>
      <c r="F2734" s="7">
        <f t="shared" si="85"/>
        <v>7463824</v>
      </c>
      <c r="G2734" s="7"/>
    </row>
    <row r="2735" spans="1:7" x14ac:dyDescent="0.35">
      <c r="A2735" t="str">
        <f>"2016-01-07"</f>
        <v>2016-01-07</v>
      </c>
      <c r="B2735" t="str">
        <f>"68.4908"</f>
        <v>68.4908</v>
      </c>
      <c r="C2735">
        <v>2733</v>
      </c>
      <c r="D2735" s="7">
        <v>68.490799999999993</v>
      </c>
      <c r="E2735" s="7">
        <f t="shared" si="84"/>
        <v>187185.35639999999</v>
      </c>
      <c r="F2735" s="7">
        <f t="shared" si="85"/>
        <v>7469289</v>
      </c>
      <c r="G2735" s="7"/>
    </row>
    <row r="2736" spans="1:7" x14ac:dyDescent="0.35">
      <c r="A2736" t="str">
        <f>"2016-01-08"</f>
        <v>2016-01-08</v>
      </c>
      <c r="B2736" t="str">
        <f>"68.178"</f>
        <v>68.178</v>
      </c>
      <c r="C2736">
        <v>2734</v>
      </c>
      <c r="D2736" s="7">
        <v>68.177999999999997</v>
      </c>
      <c r="E2736" s="7">
        <f t="shared" si="84"/>
        <v>186398.652</v>
      </c>
      <c r="F2736" s="7">
        <f t="shared" si="85"/>
        <v>7474756</v>
      </c>
      <c r="G2736" s="7"/>
    </row>
    <row r="2737" spans="1:7" x14ac:dyDescent="0.35">
      <c r="A2737" t="str">
        <f>"2016-01-11"</f>
        <v>2016-01-11</v>
      </c>
      <c r="B2737" t="str">
        <f>"68.1394"</f>
        <v>68.1394</v>
      </c>
      <c r="C2737">
        <v>2735</v>
      </c>
      <c r="D2737" s="7">
        <v>68.139399999999995</v>
      </c>
      <c r="E2737" s="7">
        <f t="shared" si="84"/>
        <v>186361.25899999999</v>
      </c>
      <c r="F2737" s="7">
        <f t="shared" si="85"/>
        <v>7480225</v>
      </c>
      <c r="G2737" s="7"/>
    </row>
    <row r="2738" spans="1:7" x14ac:dyDescent="0.35">
      <c r="A2738" t="str">
        <f>"2016-01-12"</f>
        <v>2016-01-12</v>
      </c>
      <c r="B2738" t="str">
        <f>"68.6462"</f>
        <v>68.6462</v>
      </c>
      <c r="C2738">
        <v>2736</v>
      </c>
      <c r="D2738" s="7">
        <v>68.646199999999993</v>
      </c>
      <c r="E2738" s="7">
        <f t="shared" si="84"/>
        <v>187816.00319999998</v>
      </c>
      <c r="F2738" s="7">
        <f t="shared" si="85"/>
        <v>7485696</v>
      </c>
      <c r="G2738" s="7"/>
    </row>
    <row r="2739" spans="1:7" x14ac:dyDescent="0.35">
      <c r="A2739" t="str">
        <f>"2016-01-13"</f>
        <v>2016-01-13</v>
      </c>
      <c r="B2739" t="str">
        <f>"69.2393"</f>
        <v>69.2393</v>
      </c>
      <c r="C2739">
        <v>2737</v>
      </c>
      <c r="D2739" s="7">
        <v>69.2393</v>
      </c>
      <c r="E2739" s="7">
        <f t="shared" si="84"/>
        <v>189507.96410000001</v>
      </c>
      <c r="F2739" s="7">
        <f t="shared" si="85"/>
        <v>7491169</v>
      </c>
      <c r="G2739" s="7"/>
    </row>
    <row r="2740" spans="1:7" x14ac:dyDescent="0.35">
      <c r="A2740" t="str">
        <f>"2016-01-14"</f>
        <v>2016-01-14</v>
      </c>
      <c r="B2740" t="str">
        <f>"68.8892"</f>
        <v>68.8892</v>
      </c>
      <c r="C2740">
        <v>2738</v>
      </c>
      <c r="D2740" s="7">
        <v>68.889200000000002</v>
      </c>
      <c r="E2740" s="7">
        <f t="shared" si="84"/>
        <v>188618.62960000001</v>
      </c>
      <c r="F2740" s="7">
        <f t="shared" si="85"/>
        <v>7496644</v>
      </c>
      <c r="G2740" s="7"/>
    </row>
    <row r="2741" spans="1:7" x14ac:dyDescent="0.35">
      <c r="A2741" t="str">
        <f>"2016-01-15"</f>
        <v>2016-01-15</v>
      </c>
      <c r="B2741" t="str">
        <f>"66.9166"</f>
        <v>66.9166</v>
      </c>
      <c r="C2741">
        <v>2739</v>
      </c>
      <c r="D2741" s="7">
        <v>66.916600000000003</v>
      </c>
      <c r="E2741" s="7">
        <f t="shared" si="84"/>
        <v>183284.5674</v>
      </c>
      <c r="F2741" s="7">
        <f t="shared" si="85"/>
        <v>7502121</v>
      </c>
      <c r="G2741" s="7"/>
    </row>
    <row r="2742" spans="1:7" x14ac:dyDescent="0.35">
      <c r="A2742" t="str">
        <f>"2016-01-19"</f>
        <v>2016-01-19</v>
      </c>
      <c r="B2742" t="str">
        <f>"67.9871"</f>
        <v>67.9871</v>
      </c>
      <c r="C2742">
        <v>2740</v>
      </c>
      <c r="D2742" s="7">
        <v>67.987099999999998</v>
      </c>
      <c r="E2742" s="7">
        <f t="shared" si="84"/>
        <v>186284.65399999998</v>
      </c>
      <c r="F2742" s="7">
        <f t="shared" si="85"/>
        <v>7507600</v>
      </c>
      <c r="G2742" s="7"/>
    </row>
    <row r="2743" spans="1:7" x14ac:dyDescent="0.35">
      <c r="A2743" t="str">
        <f>"2016-01-20"</f>
        <v>2016-01-20</v>
      </c>
      <c r="B2743" t="str">
        <f>"65.2089"</f>
        <v>65.2089</v>
      </c>
      <c r="C2743">
        <v>2741</v>
      </c>
      <c r="D2743" s="7">
        <v>65.2089</v>
      </c>
      <c r="E2743" s="7">
        <f t="shared" si="84"/>
        <v>178737.5949</v>
      </c>
      <c r="F2743" s="7">
        <f t="shared" si="85"/>
        <v>7513081</v>
      </c>
      <c r="G2743" s="7"/>
    </row>
    <row r="2744" spans="1:7" x14ac:dyDescent="0.35">
      <c r="A2744" t="str">
        <f>"2016-01-21"</f>
        <v>2016-01-21</v>
      </c>
      <c r="B2744" t="str">
        <f>"65.7046"</f>
        <v>65.7046</v>
      </c>
      <c r="C2744">
        <v>2742</v>
      </c>
      <c r="D2744" s="7">
        <v>65.704599999999999</v>
      </c>
      <c r="E2744" s="7">
        <f t="shared" si="84"/>
        <v>180162.01319999999</v>
      </c>
      <c r="F2744" s="7">
        <f t="shared" si="85"/>
        <v>7518564</v>
      </c>
      <c r="G2744" s="7"/>
    </row>
    <row r="2745" spans="1:7" x14ac:dyDescent="0.35">
      <c r="A2745" t="str">
        <f>"2016-01-22"</f>
        <v>2016-01-22</v>
      </c>
      <c r="B2745" t="str">
        <f>"66.3601"</f>
        <v>66.3601</v>
      </c>
      <c r="C2745">
        <v>2743</v>
      </c>
      <c r="D2745" s="7">
        <v>66.360100000000003</v>
      </c>
      <c r="E2745" s="7">
        <f t="shared" si="84"/>
        <v>182025.7543</v>
      </c>
      <c r="F2745" s="7">
        <f t="shared" si="85"/>
        <v>7524049</v>
      </c>
      <c r="G2745" s="7"/>
    </row>
    <row r="2746" spans="1:7" x14ac:dyDescent="0.35">
      <c r="A2746" t="str">
        <f>"2016-01-25"</f>
        <v>2016-01-25</v>
      </c>
      <c r="B2746" t="str">
        <f>"66.6798"</f>
        <v>66.6798</v>
      </c>
      <c r="C2746">
        <v>2744</v>
      </c>
      <c r="D2746" s="7">
        <v>66.6798</v>
      </c>
      <c r="E2746" s="7">
        <f t="shared" si="84"/>
        <v>182969.37119999999</v>
      </c>
      <c r="F2746" s="7">
        <f t="shared" si="85"/>
        <v>7529536</v>
      </c>
      <c r="G2746" s="7"/>
    </row>
    <row r="2747" spans="1:7" x14ac:dyDescent="0.35">
      <c r="A2747" t="str">
        <f>"2016-01-26"</f>
        <v>2016-01-26</v>
      </c>
      <c r="B2747" t="str">
        <f>"66.8949"</f>
        <v>66.8949</v>
      </c>
      <c r="C2747">
        <v>2745</v>
      </c>
      <c r="D2747" s="7">
        <v>66.894900000000007</v>
      </c>
      <c r="E2747" s="7">
        <f t="shared" si="84"/>
        <v>183626.50050000002</v>
      </c>
      <c r="F2747" s="7">
        <f t="shared" si="85"/>
        <v>7535025</v>
      </c>
      <c r="G2747" s="7"/>
    </row>
    <row r="2748" spans="1:7" x14ac:dyDescent="0.35">
      <c r="A2748" t="str">
        <f>"2016-01-27"</f>
        <v>2016-01-27</v>
      </c>
      <c r="B2748" t="str">
        <f>"67.4741"</f>
        <v>67.4741</v>
      </c>
      <c r="C2748">
        <v>2746</v>
      </c>
      <c r="D2748" s="7">
        <v>67.474100000000007</v>
      </c>
      <c r="E2748" s="7">
        <f t="shared" si="84"/>
        <v>185283.87860000003</v>
      </c>
      <c r="F2748" s="7">
        <f t="shared" si="85"/>
        <v>7540516</v>
      </c>
      <c r="G2748" s="7"/>
    </row>
    <row r="2749" spans="1:7" x14ac:dyDescent="0.35">
      <c r="A2749" t="str">
        <f>"2016-01-28"</f>
        <v>2016-01-28</v>
      </c>
      <c r="B2749" t="str">
        <f>"67.214"</f>
        <v>67.214</v>
      </c>
      <c r="C2749">
        <v>2747</v>
      </c>
      <c r="D2749" s="7">
        <v>67.213999999999999</v>
      </c>
      <c r="E2749" s="7">
        <f t="shared" si="84"/>
        <v>184636.85800000001</v>
      </c>
      <c r="F2749" s="7">
        <f t="shared" si="85"/>
        <v>7546009</v>
      </c>
      <c r="G2749" s="7"/>
    </row>
    <row r="2750" spans="1:7" x14ac:dyDescent="0.35">
      <c r="A2750" t="str">
        <f>"2016-01-29"</f>
        <v>2016-01-29</v>
      </c>
      <c r="B2750" t="str">
        <f>"68.5839"</f>
        <v>68.5839</v>
      </c>
      <c r="C2750">
        <v>2748</v>
      </c>
      <c r="D2750" s="7">
        <v>68.5839</v>
      </c>
      <c r="E2750" s="7">
        <f t="shared" si="84"/>
        <v>188468.55720000001</v>
      </c>
      <c r="F2750" s="7">
        <f t="shared" si="85"/>
        <v>7551504</v>
      </c>
      <c r="G2750" s="7"/>
    </row>
    <row r="2751" spans="1:7" x14ac:dyDescent="0.35">
      <c r="A2751" t="str">
        <f>"2016-02-01"</f>
        <v>2016-02-01</v>
      </c>
      <c r="B2751" t="str">
        <f>"68.0428"</f>
        <v>68.0428</v>
      </c>
      <c r="C2751">
        <v>2749</v>
      </c>
      <c r="D2751" s="7">
        <v>68.0428</v>
      </c>
      <c r="E2751" s="7">
        <f t="shared" si="84"/>
        <v>187049.65719999999</v>
      </c>
      <c r="F2751" s="7">
        <f t="shared" si="85"/>
        <v>7557001</v>
      </c>
      <c r="G2751" s="7"/>
    </row>
    <row r="2752" spans="1:7" x14ac:dyDescent="0.35">
      <c r="A2752" t="str">
        <f>"2016-02-02"</f>
        <v>2016-02-02</v>
      </c>
      <c r="B2752" t="str">
        <f>"67.6348"</f>
        <v>67.6348</v>
      </c>
      <c r="C2752">
        <v>2750</v>
      </c>
      <c r="D2752" s="7">
        <v>67.634799999999998</v>
      </c>
      <c r="E2752" s="7">
        <f t="shared" si="84"/>
        <v>185995.69999999998</v>
      </c>
      <c r="F2752" s="7">
        <f t="shared" si="85"/>
        <v>7562500</v>
      </c>
      <c r="G2752" s="7"/>
    </row>
    <row r="2753" spans="1:7" x14ac:dyDescent="0.35">
      <c r="A2753" t="str">
        <f>"2016-02-03"</f>
        <v>2016-02-03</v>
      </c>
      <c r="B2753" t="str">
        <f>"66.6397"</f>
        <v>66.6397</v>
      </c>
      <c r="C2753">
        <v>2751</v>
      </c>
      <c r="D2753" s="7">
        <v>66.639700000000005</v>
      </c>
      <c r="E2753" s="7">
        <f t="shared" si="84"/>
        <v>183325.81470000002</v>
      </c>
      <c r="F2753" s="7">
        <f t="shared" si="85"/>
        <v>7568001</v>
      </c>
      <c r="G2753" s="7"/>
    </row>
    <row r="2754" spans="1:7" x14ac:dyDescent="0.35">
      <c r="A2754" t="str">
        <f>"2016-02-04"</f>
        <v>2016-02-04</v>
      </c>
      <c r="B2754" t="str">
        <f>"67.2023"</f>
        <v>67.2023</v>
      </c>
      <c r="C2754">
        <v>2752</v>
      </c>
      <c r="D2754" s="7">
        <v>67.202299999999994</v>
      </c>
      <c r="E2754" s="7">
        <f t="shared" si="84"/>
        <v>184940.72959999999</v>
      </c>
      <c r="F2754" s="7">
        <f t="shared" si="85"/>
        <v>7573504</v>
      </c>
      <c r="G2754" s="7"/>
    </row>
    <row r="2755" spans="1:7" x14ac:dyDescent="0.35">
      <c r="A2755" t="str">
        <f>"2016-02-05"</f>
        <v>2016-02-05</v>
      </c>
      <c r="B2755" t="str">
        <f>"66.7084"</f>
        <v>66.7084</v>
      </c>
      <c r="C2755">
        <v>2753</v>
      </c>
      <c r="D2755" s="7">
        <v>66.708399999999997</v>
      </c>
      <c r="E2755" s="7">
        <f t="shared" si="84"/>
        <v>183648.22519999999</v>
      </c>
      <c r="F2755" s="7">
        <f t="shared" si="85"/>
        <v>7579009</v>
      </c>
      <c r="G2755" s="7"/>
    </row>
    <row r="2756" spans="1:7" x14ac:dyDescent="0.35">
      <c r="A2756" t="str">
        <f>"2016-02-08"</f>
        <v>2016-02-08</v>
      </c>
      <c r="B2756" t="str">
        <f>"61.3849"</f>
        <v>61.3849</v>
      </c>
      <c r="C2756">
        <v>2754</v>
      </c>
      <c r="D2756" s="7">
        <v>61.384900000000002</v>
      </c>
      <c r="E2756" s="7">
        <f t="shared" ref="E2756:E2819" si="86">C2756*D2756</f>
        <v>169054.01459999999</v>
      </c>
      <c r="F2756" s="7">
        <f t="shared" ref="F2756:F2819" si="87">C2756*C2756</f>
        <v>7584516</v>
      </c>
      <c r="G2756" s="7"/>
    </row>
    <row r="2757" spans="1:7" x14ac:dyDescent="0.35">
      <c r="A2757" t="str">
        <f>"2016-02-09"</f>
        <v>2016-02-09</v>
      </c>
      <c r="B2757" t="str">
        <f>"60.1589"</f>
        <v>60.1589</v>
      </c>
      <c r="C2757">
        <v>2755</v>
      </c>
      <c r="D2757" s="7">
        <v>60.158900000000003</v>
      </c>
      <c r="E2757" s="7">
        <f t="shared" si="86"/>
        <v>165737.76949999999</v>
      </c>
      <c r="F2757" s="7">
        <f t="shared" si="87"/>
        <v>7590025</v>
      </c>
      <c r="G2757" s="7"/>
    </row>
    <row r="2758" spans="1:7" x14ac:dyDescent="0.35">
      <c r="A2758" t="str">
        <f>"2016-02-10"</f>
        <v>2016-02-10</v>
      </c>
      <c r="B2758" t="str">
        <f>"60.9649"</f>
        <v>60.9649</v>
      </c>
      <c r="C2758">
        <v>2756</v>
      </c>
      <c r="D2758" s="7">
        <v>60.9649</v>
      </c>
      <c r="E2758" s="7">
        <f t="shared" si="86"/>
        <v>168019.26440000001</v>
      </c>
      <c r="F2758" s="7">
        <f t="shared" si="87"/>
        <v>7595536</v>
      </c>
      <c r="G2758" s="7"/>
    </row>
    <row r="2759" spans="1:7" x14ac:dyDescent="0.35">
      <c r="A2759" t="str">
        <f>"2016-02-11"</f>
        <v>2016-02-11</v>
      </c>
      <c r="B2759" t="str">
        <f>"57.9763"</f>
        <v>57.9763</v>
      </c>
      <c r="C2759">
        <v>2757</v>
      </c>
      <c r="D2759" s="7">
        <v>57.976300000000002</v>
      </c>
      <c r="E2759" s="7">
        <f t="shared" si="86"/>
        <v>159840.65910000002</v>
      </c>
      <c r="F2759" s="7">
        <f t="shared" si="87"/>
        <v>7601049</v>
      </c>
      <c r="G2759" s="7"/>
    </row>
    <row r="2760" spans="1:7" x14ac:dyDescent="0.35">
      <c r="A2760" t="str">
        <f>"2016-02-12"</f>
        <v>2016-02-12</v>
      </c>
      <c r="B2760" t="str">
        <f>"57.0438"</f>
        <v>57.0438</v>
      </c>
      <c r="C2760">
        <v>2758</v>
      </c>
      <c r="D2760" s="7">
        <v>57.043799999999997</v>
      </c>
      <c r="E2760" s="7">
        <f t="shared" si="86"/>
        <v>157326.80040000001</v>
      </c>
      <c r="F2760" s="7">
        <f t="shared" si="87"/>
        <v>7606564</v>
      </c>
      <c r="G2760" s="7"/>
    </row>
    <row r="2761" spans="1:7" x14ac:dyDescent="0.35">
      <c r="A2761" t="str">
        <f>"2016-02-16"</f>
        <v>2016-02-16</v>
      </c>
      <c r="B2761" t="str">
        <f>"57.8688"</f>
        <v>57.8688</v>
      </c>
      <c r="C2761">
        <v>2759</v>
      </c>
      <c r="D2761" s="7">
        <v>57.8688</v>
      </c>
      <c r="E2761" s="7">
        <f t="shared" si="86"/>
        <v>159660.01920000001</v>
      </c>
      <c r="F2761" s="7">
        <f t="shared" si="87"/>
        <v>7612081</v>
      </c>
      <c r="G2761" s="7"/>
    </row>
    <row r="2762" spans="1:7" x14ac:dyDescent="0.35">
      <c r="A2762" t="str">
        <f>"2016-02-17"</f>
        <v>2016-02-17</v>
      </c>
      <c r="B2762" t="str">
        <f>"58.9346"</f>
        <v>58.9346</v>
      </c>
      <c r="C2762">
        <v>2760</v>
      </c>
      <c r="D2762" s="7">
        <v>58.934600000000003</v>
      </c>
      <c r="E2762" s="7">
        <f t="shared" si="86"/>
        <v>162659.49600000001</v>
      </c>
      <c r="F2762" s="7">
        <f t="shared" si="87"/>
        <v>7617600</v>
      </c>
      <c r="G2762" s="7"/>
    </row>
    <row r="2763" spans="1:7" x14ac:dyDescent="0.35">
      <c r="A2763" t="str">
        <f>"2016-02-18"</f>
        <v>2016-02-18</v>
      </c>
      <c r="B2763" t="str">
        <f>"59.4941"</f>
        <v>59.4941</v>
      </c>
      <c r="C2763">
        <v>2761</v>
      </c>
      <c r="D2763" s="7">
        <v>59.494100000000003</v>
      </c>
      <c r="E2763" s="7">
        <f t="shared" si="86"/>
        <v>164263.2101</v>
      </c>
      <c r="F2763" s="7">
        <f t="shared" si="87"/>
        <v>7623121</v>
      </c>
      <c r="G2763" s="7"/>
    </row>
    <row r="2764" spans="1:7" x14ac:dyDescent="0.35">
      <c r="A2764" t="str">
        <f>"2016-02-19"</f>
        <v>2016-02-19</v>
      </c>
      <c r="B2764" t="str">
        <f>"58.347"</f>
        <v>58.347</v>
      </c>
      <c r="C2764">
        <v>2762</v>
      </c>
      <c r="D2764" s="7">
        <v>58.347000000000001</v>
      </c>
      <c r="E2764" s="7">
        <f t="shared" si="86"/>
        <v>161154.41399999999</v>
      </c>
      <c r="F2764" s="7">
        <f t="shared" si="87"/>
        <v>7628644</v>
      </c>
      <c r="G2764" s="7"/>
    </row>
    <row r="2765" spans="1:7" x14ac:dyDescent="0.35">
      <c r="A2765" t="str">
        <f>"2016-02-22"</f>
        <v>2016-02-22</v>
      </c>
      <c r="B2765" t="str">
        <f>"61.7855"</f>
        <v>61.7855</v>
      </c>
      <c r="C2765">
        <v>2763</v>
      </c>
      <c r="D2765" s="7">
        <v>61.785499999999999</v>
      </c>
      <c r="E2765" s="7">
        <f t="shared" si="86"/>
        <v>170713.3365</v>
      </c>
      <c r="F2765" s="7">
        <f t="shared" si="87"/>
        <v>7634169</v>
      </c>
      <c r="G2765" s="7"/>
    </row>
    <row r="2766" spans="1:7" x14ac:dyDescent="0.35">
      <c r="A2766" t="str">
        <f>"2016-02-23"</f>
        <v>2016-02-23</v>
      </c>
      <c r="B2766" t="str">
        <f>"62.0841"</f>
        <v>62.0841</v>
      </c>
      <c r="C2766">
        <v>2764</v>
      </c>
      <c r="D2766" s="7">
        <v>62.084099999999999</v>
      </c>
      <c r="E2766" s="7">
        <f t="shared" si="86"/>
        <v>171600.45240000001</v>
      </c>
      <c r="F2766" s="7">
        <f t="shared" si="87"/>
        <v>7639696</v>
      </c>
      <c r="G2766" s="7"/>
    </row>
    <row r="2767" spans="1:7" x14ac:dyDescent="0.35">
      <c r="A2767" t="str">
        <f>"2016-02-24"</f>
        <v>2016-02-24</v>
      </c>
      <c r="B2767" t="str">
        <f>"59.252"</f>
        <v>59.252</v>
      </c>
      <c r="C2767">
        <v>2765</v>
      </c>
      <c r="D2767" s="7">
        <v>59.252000000000002</v>
      </c>
      <c r="E2767" s="7">
        <f t="shared" si="86"/>
        <v>163831.78</v>
      </c>
      <c r="F2767" s="7">
        <f t="shared" si="87"/>
        <v>7645225</v>
      </c>
      <c r="G2767" s="7"/>
    </row>
    <row r="2768" spans="1:7" x14ac:dyDescent="0.35">
      <c r="A2768" t="str">
        <f>"2016-02-25"</f>
        <v>2016-02-25</v>
      </c>
      <c r="B2768" t="str">
        <f>"60.7483"</f>
        <v>60.7483</v>
      </c>
      <c r="C2768">
        <v>2766</v>
      </c>
      <c r="D2768" s="7">
        <v>60.7483</v>
      </c>
      <c r="E2768" s="7">
        <f t="shared" si="86"/>
        <v>168029.7978</v>
      </c>
      <c r="F2768" s="7">
        <f t="shared" si="87"/>
        <v>7650756</v>
      </c>
      <c r="G2768" s="7"/>
    </row>
    <row r="2769" spans="1:7" x14ac:dyDescent="0.35">
      <c r="A2769" t="str">
        <f>"2016-02-26"</f>
        <v>2016-02-26</v>
      </c>
      <c r="B2769" t="str">
        <f>"62.1175"</f>
        <v>62.1175</v>
      </c>
      <c r="C2769">
        <v>2767</v>
      </c>
      <c r="D2769" s="7">
        <v>62.1175</v>
      </c>
      <c r="E2769" s="7">
        <f t="shared" si="86"/>
        <v>171879.1225</v>
      </c>
      <c r="F2769" s="7">
        <f t="shared" si="87"/>
        <v>7656289</v>
      </c>
      <c r="G2769" s="7"/>
    </row>
    <row r="2770" spans="1:7" x14ac:dyDescent="0.35">
      <c r="A2770" t="str">
        <f>"2016-02-29"</f>
        <v>2016-02-29</v>
      </c>
      <c r="B2770" t="str">
        <f>"61.7543"</f>
        <v>61.7543</v>
      </c>
      <c r="C2770">
        <v>2768</v>
      </c>
      <c r="D2770" s="7">
        <v>61.754300000000001</v>
      </c>
      <c r="E2770" s="7">
        <f t="shared" si="86"/>
        <v>170935.90239999999</v>
      </c>
      <c r="F2770" s="7">
        <f t="shared" si="87"/>
        <v>7661824</v>
      </c>
      <c r="G2770" s="7"/>
    </row>
    <row r="2771" spans="1:7" x14ac:dyDescent="0.35">
      <c r="A2771" t="str">
        <f>"2016-03-01"</f>
        <v>2016-03-01</v>
      </c>
      <c r="B2771" t="str">
        <f>"63.5668"</f>
        <v>63.5668</v>
      </c>
      <c r="C2771">
        <v>2769</v>
      </c>
      <c r="D2771" s="7">
        <v>63.566800000000001</v>
      </c>
      <c r="E2771" s="7">
        <f t="shared" si="86"/>
        <v>176016.46919999999</v>
      </c>
      <c r="F2771" s="7">
        <f t="shared" si="87"/>
        <v>7667361</v>
      </c>
      <c r="G2771" s="7"/>
    </row>
    <row r="2772" spans="1:7" x14ac:dyDescent="0.35">
      <c r="A2772" t="str">
        <f>"2016-03-02"</f>
        <v>2016-03-02</v>
      </c>
      <c r="B2772" t="str">
        <f>"63.7956"</f>
        <v>63.7956</v>
      </c>
      <c r="C2772">
        <v>2770</v>
      </c>
      <c r="D2772" s="7">
        <v>63.7956</v>
      </c>
      <c r="E2772" s="7">
        <f t="shared" si="86"/>
        <v>176713.81200000001</v>
      </c>
      <c r="F2772" s="7">
        <f t="shared" si="87"/>
        <v>7672900</v>
      </c>
      <c r="G2772" s="7"/>
    </row>
    <row r="2773" spans="1:7" x14ac:dyDescent="0.35">
      <c r="A2773" t="str">
        <f>"2016-03-03"</f>
        <v>2016-03-03</v>
      </c>
      <c r="B2773" t="str">
        <f>"62.7464"</f>
        <v>62.7464</v>
      </c>
      <c r="C2773">
        <v>2771</v>
      </c>
      <c r="D2773" s="7">
        <v>62.746400000000001</v>
      </c>
      <c r="E2773" s="7">
        <f t="shared" si="86"/>
        <v>173870.27439999999</v>
      </c>
      <c r="F2773" s="7">
        <f t="shared" si="87"/>
        <v>7678441</v>
      </c>
      <c r="G2773" s="7"/>
    </row>
    <row r="2774" spans="1:7" x14ac:dyDescent="0.35">
      <c r="A2774" t="str">
        <f>"2016-03-04"</f>
        <v>2016-03-04</v>
      </c>
      <c r="B2774" t="str">
        <f>"64.2208"</f>
        <v>64.2208</v>
      </c>
      <c r="C2774">
        <v>2772</v>
      </c>
      <c r="D2774" s="7">
        <v>64.220799999999997</v>
      </c>
      <c r="E2774" s="7">
        <f t="shared" si="86"/>
        <v>178020.0576</v>
      </c>
      <c r="F2774" s="7">
        <f t="shared" si="87"/>
        <v>7683984</v>
      </c>
      <c r="G2774" s="7"/>
    </row>
    <row r="2775" spans="1:7" x14ac:dyDescent="0.35">
      <c r="A2775" t="str">
        <f>"2016-03-07"</f>
        <v>2016-03-07</v>
      </c>
      <c r="B2775" t="str">
        <f>"64.505"</f>
        <v>64.505</v>
      </c>
      <c r="C2775">
        <v>2773</v>
      </c>
      <c r="D2775" s="7">
        <v>64.504999999999995</v>
      </c>
      <c r="E2775" s="7">
        <f t="shared" si="86"/>
        <v>178872.36499999999</v>
      </c>
      <c r="F2775" s="7">
        <f t="shared" si="87"/>
        <v>7689529</v>
      </c>
      <c r="G2775" s="7"/>
    </row>
    <row r="2776" spans="1:7" x14ac:dyDescent="0.35">
      <c r="A2776" t="str">
        <f>"2016-03-08"</f>
        <v>2016-03-08</v>
      </c>
      <c r="B2776" t="str">
        <f>"63.9902"</f>
        <v>63.9902</v>
      </c>
      <c r="C2776">
        <v>2774</v>
      </c>
      <c r="D2776" s="7">
        <v>63.990200000000002</v>
      </c>
      <c r="E2776" s="7">
        <f t="shared" si="86"/>
        <v>177508.81479999999</v>
      </c>
      <c r="F2776" s="7">
        <f t="shared" si="87"/>
        <v>7695076</v>
      </c>
      <c r="G2776" s="7"/>
    </row>
    <row r="2777" spans="1:7" x14ac:dyDescent="0.35">
      <c r="A2777" t="str">
        <f>"2016-03-09"</f>
        <v>2016-03-09</v>
      </c>
      <c r="B2777" t="str">
        <f>"65.3705"</f>
        <v>65.3705</v>
      </c>
      <c r="C2777">
        <v>2775</v>
      </c>
      <c r="D2777" s="7">
        <v>65.370500000000007</v>
      </c>
      <c r="E2777" s="7">
        <f t="shared" si="86"/>
        <v>181403.13750000001</v>
      </c>
      <c r="F2777" s="7">
        <f t="shared" si="87"/>
        <v>7700625</v>
      </c>
      <c r="G2777" s="7"/>
    </row>
    <row r="2778" spans="1:7" x14ac:dyDescent="0.35">
      <c r="A2778" t="str">
        <f>"2016-03-10"</f>
        <v>2016-03-10</v>
      </c>
      <c r="B2778" t="str">
        <f>"64.236"</f>
        <v>64.236</v>
      </c>
      <c r="C2778">
        <v>2776</v>
      </c>
      <c r="D2778" s="7">
        <v>64.236000000000004</v>
      </c>
      <c r="E2778" s="7">
        <f t="shared" si="86"/>
        <v>178319.136</v>
      </c>
      <c r="F2778" s="7">
        <f t="shared" si="87"/>
        <v>7706176</v>
      </c>
      <c r="G2778" s="7"/>
    </row>
    <row r="2779" spans="1:7" x14ac:dyDescent="0.35">
      <c r="A2779" t="str">
        <f>"2016-03-11"</f>
        <v>2016-03-11</v>
      </c>
      <c r="B2779" t="str">
        <f>"66.5838"</f>
        <v>66.5838</v>
      </c>
      <c r="C2779">
        <v>2777</v>
      </c>
      <c r="D2779" s="7">
        <v>66.583799999999997</v>
      </c>
      <c r="E2779" s="7">
        <f t="shared" si="86"/>
        <v>184903.2126</v>
      </c>
      <c r="F2779" s="7">
        <f t="shared" si="87"/>
        <v>7711729</v>
      </c>
      <c r="G2779" s="7"/>
    </row>
    <row r="2780" spans="1:7" x14ac:dyDescent="0.35">
      <c r="A2780" t="str">
        <f>"2016-03-14"</f>
        <v>2016-03-14</v>
      </c>
      <c r="B2780" t="str">
        <f>"68.8446"</f>
        <v>68.8446</v>
      </c>
      <c r="C2780">
        <v>2778</v>
      </c>
      <c r="D2780" s="7">
        <v>68.8446</v>
      </c>
      <c r="E2780" s="7">
        <f t="shared" si="86"/>
        <v>191250.29879999999</v>
      </c>
      <c r="F2780" s="7">
        <f t="shared" si="87"/>
        <v>7717284</v>
      </c>
      <c r="G2780" s="7"/>
    </row>
    <row r="2781" spans="1:7" x14ac:dyDescent="0.35">
      <c r="A2781" t="str">
        <f>"2016-03-15"</f>
        <v>2016-03-15</v>
      </c>
      <c r="B2781" t="str">
        <f>"67.4506"</f>
        <v>67.4506</v>
      </c>
      <c r="C2781">
        <v>2779</v>
      </c>
      <c r="D2781" s="7">
        <v>67.450599999999994</v>
      </c>
      <c r="E2781" s="7">
        <f t="shared" si="86"/>
        <v>187445.21739999999</v>
      </c>
      <c r="F2781" s="7">
        <f t="shared" si="87"/>
        <v>7722841</v>
      </c>
      <c r="G2781" s="7"/>
    </row>
    <row r="2782" spans="1:7" x14ac:dyDescent="0.35">
      <c r="A2782" t="str">
        <f>"2016-03-16"</f>
        <v>2016-03-16</v>
      </c>
      <c r="B2782" t="str">
        <f>"67.6899"</f>
        <v>67.6899</v>
      </c>
      <c r="C2782">
        <v>2780</v>
      </c>
      <c r="D2782" s="7">
        <v>67.689899999999994</v>
      </c>
      <c r="E2782" s="7">
        <f t="shared" si="86"/>
        <v>188177.92199999999</v>
      </c>
      <c r="F2782" s="7">
        <f t="shared" si="87"/>
        <v>7728400</v>
      </c>
      <c r="G2782" s="7"/>
    </row>
    <row r="2783" spans="1:7" x14ac:dyDescent="0.35">
      <c r="A2783" t="str">
        <f>"2016-03-17"</f>
        <v>2016-03-17</v>
      </c>
      <c r="B2783" t="str">
        <f>"67.2132"</f>
        <v>67.2132</v>
      </c>
      <c r="C2783">
        <v>2781</v>
      </c>
      <c r="D2783" s="7">
        <v>67.213200000000001</v>
      </c>
      <c r="E2783" s="7">
        <f t="shared" si="86"/>
        <v>186919.90919999999</v>
      </c>
      <c r="F2783" s="7">
        <f t="shared" si="87"/>
        <v>7733961</v>
      </c>
      <c r="G2783" s="7"/>
    </row>
    <row r="2784" spans="1:7" x14ac:dyDescent="0.35">
      <c r="A2784" t="str">
        <f>"2016-03-18"</f>
        <v>2016-03-18</v>
      </c>
      <c r="B2784" t="str">
        <f>"69.0386"</f>
        <v>69.0386</v>
      </c>
      <c r="C2784">
        <v>2782</v>
      </c>
      <c r="D2784" s="7">
        <v>69.038600000000002</v>
      </c>
      <c r="E2784" s="7">
        <f t="shared" si="86"/>
        <v>192065.38520000002</v>
      </c>
      <c r="F2784" s="7">
        <f t="shared" si="87"/>
        <v>7739524</v>
      </c>
      <c r="G2784" s="7"/>
    </row>
    <row r="2785" spans="1:7" x14ac:dyDescent="0.35">
      <c r="A2785" t="str">
        <f>"2016-03-21"</f>
        <v>2016-03-21</v>
      </c>
      <c r="B2785" t="str">
        <f>"69.3535"</f>
        <v>69.3535</v>
      </c>
      <c r="C2785">
        <v>2783</v>
      </c>
      <c r="D2785" s="7">
        <v>69.353499999999997</v>
      </c>
      <c r="E2785" s="7">
        <f t="shared" si="86"/>
        <v>193010.7905</v>
      </c>
      <c r="F2785" s="7">
        <f t="shared" si="87"/>
        <v>7745089</v>
      </c>
      <c r="G2785" s="7"/>
    </row>
    <row r="2786" spans="1:7" x14ac:dyDescent="0.35">
      <c r="A2786" t="str">
        <f>"2016-03-22"</f>
        <v>2016-03-22</v>
      </c>
      <c r="B2786" t="str">
        <f>"65.9722"</f>
        <v>65.9722</v>
      </c>
      <c r="C2786">
        <v>2784</v>
      </c>
      <c r="D2786" s="7">
        <v>65.972200000000001</v>
      </c>
      <c r="E2786" s="7">
        <f t="shared" si="86"/>
        <v>183666.6048</v>
      </c>
      <c r="F2786" s="7">
        <f t="shared" si="87"/>
        <v>7750656</v>
      </c>
      <c r="G2786" s="7"/>
    </row>
    <row r="2787" spans="1:7" x14ac:dyDescent="0.35">
      <c r="A2787" t="str">
        <f>"2016-03-23"</f>
        <v>2016-03-23</v>
      </c>
      <c r="B2787" t="str">
        <f>"66.563"</f>
        <v>66.563</v>
      </c>
      <c r="C2787">
        <v>2785</v>
      </c>
      <c r="D2787" s="7">
        <v>66.563000000000002</v>
      </c>
      <c r="E2787" s="7">
        <f t="shared" si="86"/>
        <v>185377.95500000002</v>
      </c>
      <c r="F2787" s="7">
        <f t="shared" si="87"/>
        <v>7756225</v>
      </c>
      <c r="G2787" s="7"/>
    </row>
    <row r="2788" spans="1:7" x14ac:dyDescent="0.35">
      <c r="A2788" t="str">
        <f>"2016-03-24"</f>
        <v>2016-03-24</v>
      </c>
      <c r="B2788" t="str">
        <f>"67.3952"</f>
        <v>67.3952</v>
      </c>
      <c r="C2788">
        <v>2786</v>
      </c>
      <c r="D2788" s="7">
        <v>67.395200000000003</v>
      </c>
      <c r="E2788" s="7">
        <f t="shared" si="86"/>
        <v>187763.02720000001</v>
      </c>
      <c r="F2788" s="7">
        <f t="shared" si="87"/>
        <v>7761796</v>
      </c>
      <c r="G2788" s="7"/>
    </row>
    <row r="2789" spans="1:7" x14ac:dyDescent="0.35">
      <c r="A2789" t="str">
        <f>"2016-03-28"</f>
        <v>2016-03-28</v>
      </c>
      <c r="B2789" t="str">
        <f>"67.5947"</f>
        <v>67.5947</v>
      </c>
      <c r="C2789">
        <v>2787</v>
      </c>
      <c r="D2789" s="7">
        <v>67.594700000000003</v>
      </c>
      <c r="E2789" s="7">
        <f t="shared" si="86"/>
        <v>188386.4289</v>
      </c>
      <c r="F2789" s="7">
        <f t="shared" si="87"/>
        <v>7767369</v>
      </c>
      <c r="G2789" s="7"/>
    </row>
    <row r="2790" spans="1:7" x14ac:dyDescent="0.35">
      <c r="A2790" t="str">
        <f>"2016-03-29"</f>
        <v>2016-03-29</v>
      </c>
      <c r="B2790" t="str">
        <f>"66.9615"</f>
        <v>66.9615</v>
      </c>
      <c r="C2790">
        <v>2788</v>
      </c>
      <c r="D2790" s="7">
        <v>66.961500000000001</v>
      </c>
      <c r="E2790" s="7">
        <f t="shared" si="86"/>
        <v>186688.66200000001</v>
      </c>
      <c r="F2790" s="7">
        <f t="shared" si="87"/>
        <v>7772944</v>
      </c>
      <c r="G2790" s="7"/>
    </row>
    <row r="2791" spans="1:7" x14ac:dyDescent="0.35">
      <c r="A2791" t="str">
        <f>"2016-03-30"</f>
        <v>2016-03-30</v>
      </c>
      <c r="B2791" t="str">
        <f>"69.3487"</f>
        <v>69.3487</v>
      </c>
      <c r="C2791">
        <v>2789</v>
      </c>
      <c r="D2791" s="7">
        <v>69.348699999999994</v>
      </c>
      <c r="E2791" s="7">
        <f t="shared" si="86"/>
        <v>193413.52429999999</v>
      </c>
      <c r="F2791" s="7">
        <f t="shared" si="87"/>
        <v>7778521</v>
      </c>
      <c r="G2791" s="7"/>
    </row>
    <row r="2792" spans="1:7" x14ac:dyDescent="0.35">
      <c r="A2792" t="str">
        <f>"2016-03-31"</f>
        <v>2016-03-31</v>
      </c>
      <c r="B2792" t="str">
        <f>"69.2968"</f>
        <v>69.2968</v>
      </c>
      <c r="C2792">
        <v>2790</v>
      </c>
      <c r="D2792" s="7">
        <v>69.296800000000005</v>
      </c>
      <c r="E2792" s="7">
        <f t="shared" si="86"/>
        <v>193338.07200000001</v>
      </c>
      <c r="F2792" s="7">
        <f t="shared" si="87"/>
        <v>7784100</v>
      </c>
      <c r="G2792" s="7"/>
    </row>
    <row r="2793" spans="1:7" x14ac:dyDescent="0.35">
      <c r="A2793" t="str">
        <f>"2016-04-01"</f>
        <v>2016-04-01</v>
      </c>
      <c r="B2793" t="str">
        <f>"69.745"</f>
        <v>69.745</v>
      </c>
      <c r="C2793">
        <v>2791</v>
      </c>
      <c r="D2793" s="7">
        <v>69.745000000000005</v>
      </c>
      <c r="E2793" s="7">
        <f t="shared" si="86"/>
        <v>194658.29500000001</v>
      </c>
      <c r="F2793" s="7">
        <f t="shared" si="87"/>
        <v>7789681</v>
      </c>
      <c r="G2793" s="7"/>
    </row>
    <row r="2794" spans="1:7" x14ac:dyDescent="0.35">
      <c r="A2794" t="str">
        <f>"2016-04-04"</f>
        <v>2016-04-04</v>
      </c>
      <c r="B2794" t="str">
        <f>"70.9197"</f>
        <v>70.9197</v>
      </c>
      <c r="C2794">
        <v>2792</v>
      </c>
      <c r="D2794" s="7">
        <v>70.919700000000006</v>
      </c>
      <c r="E2794" s="7">
        <f t="shared" si="86"/>
        <v>198007.80240000002</v>
      </c>
      <c r="F2794" s="7">
        <f t="shared" si="87"/>
        <v>7795264</v>
      </c>
      <c r="G2794" s="7"/>
    </row>
    <row r="2795" spans="1:7" x14ac:dyDescent="0.35">
      <c r="A2795" t="str">
        <f>"2016-04-05"</f>
        <v>2016-04-05</v>
      </c>
      <c r="B2795" t="str">
        <f>"70.3433"</f>
        <v>70.3433</v>
      </c>
      <c r="C2795">
        <v>2793</v>
      </c>
      <c r="D2795" s="7">
        <v>70.343299999999999</v>
      </c>
      <c r="E2795" s="7">
        <f t="shared" si="86"/>
        <v>196468.83689999999</v>
      </c>
      <c r="F2795" s="7">
        <f t="shared" si="87"/>
        <v>7800849</v>
      </c>
      <c r="G2795" s="7"/>
    </row>
    <row r="2796" spans="1:7" x14ac:dyDescent="0.35">
      <c r="A2796" t="str">
        <f>"2016-04-06"</f>
        <v>2016-04-06</v>
      </c>
      <c r="B2796" t="str">
        <f>"68.5087"</f>
        <v>68.5087</v>
      </c>
      <c r="C2796">
        <v>2794</v>
      </c>
      <c r="D2796" s="7">
        <v>68.508700000000005</v>
      </c>
      <c r="E2796" s="7">
        <f t="shared" si="86"/>
        <v>191413.30780000001</v>
      </c>
      <c r="F2796" s="7">
        <f t="shared" si="87"/>
        <v>7806436</v>
      </c>
      <c r="G2796" s="7"/>
    </row>
    <row r="2797" spans="1:7" x14ac:dyDescent="0.35">
      <c r="A2797" t="str">
        <f>"2016-04-07"</f>
        <v>2016-04-07</v>
      </c>
      <c r="B2797" t="str">
        <f>"66.6444"</f>
        <v>66.6444</v>
      </c>
      <c r="C2797">
        <v>2795</v>
      </c>
      <c r="D2797" s="7">
        <v>66.644400000000005</v>
      </c>
      <c r="E2797" s="7">
        <f t="shared" si="86"/>
        <v>186271.098</v>
      </c>
      <c r="F2797" s="7">
        <f t="shared" si="87"/>
        <v>7812025</v>
      </c>
      <c r="G2797" s="7"/>
    </row>
    <row r="2798" spans="1:7" x14ac:dyDescent="0.35">
      <c r="A2798" t="str">
        <f>"2016-04-08"</f>
        <v>2016-04-08</v>
      </c>
      <c r="B2798" t="str">
        <f>"65.9959"</f>
        <v>65.9959</v>
      </c>
      <c r="C2798">
        <v>2796</v>
      </c>
      <c r="D2798" s="7">
        <v>65.995900000000006</v>
      </c>
      <c r="E2798" s="7">
        <f t="shared" si="86"/>
        <v>184524.53640000001</v>
      </c>
      <c r="F2798" s="7">
        <f t="shared" si="87"/>
        <v>7817616</v>
      </c>
      <c r="G2798" s="7"/>
    </row>
    <row r="2799" spans="1:7" x14ac:dyDescent="0.35">
      <c r="A2799" t="str">
        <f>"2016-04-11"</f>
        <v>2016-04-11</v>
      </c>
      <c r="B2799" t="str">
        <f>"67.0514"</f>
        <v>67.0514</v>
      </c>
      <c r="C2799">
        <v>2797</v>
      </c>
      <c r="D2799" s="7">
        <v>67.051400000000001</v>
      </c>
      <c r="E2799" s="7">
        <f t="shared" si="86"/>
        <v>187542.76579999999</v>
      </c>
      <c r="F2799" s="7">
        <f t="shared" si="87"/>
        <v>7823209</v>
      </c>
      <c r="G2799" s="7"/>
    </row>
    <row r="2800" spans="1:7" x14ac:dyDescent="0.35">
      <c r="A2800" t="str">
        <f>"2016-04-12"</f>
        <v>2016-04-12</v>
      </c>
      <c r="B2800" t="str">
        <f>"66.6384"</f>
        <v>66.6384</v>
      </c>
      <c r="C2800">
        <v>2798</v>
      </c>
      <c r="D2800" s="7">
        <v>66.638400000000004</v>
      </c>
      <c r="E2800" s="7">
        <f t="shared" si="86"/>
        <v>186454.24320000003</v>
      </c>
      <c r="F2800" s="7">
        <f t="shared" si="87"/>
        <v>7828804</v>
      </c>
      <c r="G2800" s="7"/>
    </row>
    <row r="2801" spans="1:7" x14ac:dyDescent="0.35">
      <c r="A2801" t="str">
        <f>"2016-04-13"</f>
        <v>2016-04-13</v>
      </c>
      <c r="B2801" t="str">
        <f>"68.1588"</f>
        <v>68.1588</v>
      </c>
      <c r="C2801">
        <v>2799</v>
      </c>
      <c r="D2801" s="7">
        <v>68.158799999999999</v>
      </c>
      <c r="E2801" s="7">
        <f t="shared" si="86"/>
        <v>190776.48120000001</v>
      </c>
      <c r="F2801" s="7">
        <f t="shared" si="87"/>
        <v>7834401</v>
      </c>
      <c r="G2801" s="7"/>
    </row>
    <row r="2802" spans="1:7" x14ac:dyDescent="0.35">
      <c r="A2802" t="str">
        <f>"2016-04-14"</f>
        <v>2016-04-14</v>
      </c>
      <c r="B2802" t="str">
        <f>"68.8284"</f>
        <v>68.8284</v>
      </c>
      <c r="C2802">
        <v>2800</v>
      </c>
      <c r="D2802" s="7">
        <v>68.828400000000002</v>
      </c>
      <c r="E2802" s="7">
        <f t="shared" si="86"/>
        <v>192719.52000000002</v>
      </c>
      <c r="F2802" s="7">
        <f t="shared" si="87"/>
        <v>7840000</v>
      </c>
      <c r="G2802" s="7"/>
    </row>
    <row r="2803" spans="1:7" x14ac:dyDescent="0.35">
      <c r="A2803" t="str">
        <f>"2016-04-15"</f>
        <v>2016-04-15</v>
      </c>
      <c r="B2803" t="str">
        <f>"67.0016"</f>
        <v>67.0016</v>
      </c>
      <c r="C2803">
        <v>2801</v>
      </c>
      <c r="D2803" s="7">
        <v>67.001599999999996</v>
      </c>
      <c r="E2803" s="7">
        <f t="shared" si="86"/>
        <v>187671.4816</v>
      </c>
      <c r="F2803" s="7">
        <f t="shared" si="87"/>
        <v>7845601</v>
      </c>
      <c r="G2803" s="7"/>
    </row>
    <row r="2804" spans="1:7" x14ac:dyDescent="0.35">
      <c r="A2804" t="str">
        <f>"2016-04-18"</f>
        <v>2016-04-18</v>
      </c>
      <c r="B2804" t="str">
        <f>"66.8238"</f>
        <v>66.8238</v>
      </c>
      <c r="C2804">
        <v>2802</v>
      </c>
      <c r="D2804" s="7">
        <v>66.823800000000006</v>
      </c>
      <c r="E2804" s="7">
        <f t="shared" si="86"/>
        <v>187240.28760000001</v>
      </c>
      <c r="F2804" s="7">
        <f t="shared" si="87"/>
        <v>7851204</v>
      </c>
      <c r="G2804" s="7"/>
    </row>
    <row r="2805" spans="1:7" x14ac:dyDescent="0.35">
      <c r="A2805" t="str">
        <f>"2016-04-19"</f>
        <v>2016-04-19</v>
      </c>
      <c r="B2805" t="str">
        <f>"65.5977"</f>
        <v>65.5977</v>
      </c>
      <c r="C2805">
        <v>2803</v>
      </c>
      <c r="D2805" s="7">
        <v>65.597700000000003</v>
      </c>
      <c r="E2805" s="7">
        <f t="shared" si="86"/>
        <v>183870.35310000001</v>
      </c>
      <c r="F2805" s="7">
        <f t="shared" si="87"/>
        <v>7856809</v>
      </c>
      <c r="G2805" s="7"/>
    </row>
    <row r="2806" spans="1:7" x14ac:dyDescent="0.35">
      <c r="A2806" t="str">
        <f>"2016-04-20"</f>
        <v>2016-04-20</v>
      </c>
      <c r="B2806" t="str">
        <f>"61.3027"</f>
        <v>61.3027</v>
      </c>
      <c r="C2806">
        <v>2804</v>
      </c>
      <c r="D2806" s="7">
        <v>61.302700000000002</v>
      </c>
      <c r="E2806" s="7">
        <f t="shared" si="86"/>
        <v>171892.7708</v>
      </c>
      <c r="F2806" s="7">
        <f t="shared" si="87"/>
        <v>7862416</v>
      </c>
      <c r="G2806" s="7"/>
    </row>
    <row r="2807" spans="1:7" x14ac:dyDescent="0.35">
      <c r="A2807" t="str">
        <f>"2016-04-21"</f>
        <v>2016-04-21</v>
      </c>
      <c r="B2807" t="str">
        <f>"61.2283"</f>
        <v>61.2283</v>
      </c>
      <c r="C2807">
        <v>2805</v>
      </c>
      <c r="D2807" s="7">
        <v>61.228299999999997</v>
      </c>
      <c r="E2807" s="7">
        <f t="shared" si="86"/>
        <v>171745.38149999999</v>
      </c>
      <c r="F2807" s="7">
        <f t="shared" si="87"/>
        <v>7868025</v>
      </c>
      <c r="G2807" s="7"/>
    </row>
    <row r="2808" spans="1:7" x14ac:dyDescent="0.35">
      <c r="A2808" t="str">
        <f>"2016-04-22"</f>
        <v>2016-04-22</v>
      </c>
      <c r="B2808" t="str">
        <f>"62.9478"</f>
        <v>62.9478</v>
      </c>
      <c r="C2808">
        <v>2806</v>
      </c>
      <c r="D2808" s="7">
        <v>62.947800000000001</v>
      </c>
      <c r="E2808" s="7">
        <f t="shared" si="86"/>
        <v>176631.52679999999</v>
      </c>
      <c r="F2808" s="7">
        <f t="shared" si="87"/>
        <v>7873636</v>
      </c>
      <c r="G2808" s="7"/>
    </row>
    <row r="2809" spans="1:7" x14ac:dyDescent="0.35">
      <c r="A2809" t="str">
        <f>"2016-04-25"</f>
        <v>2016-04-25</v>
      </c>
      <c r="B2809" t="str">
        <f>"61.1446"</f>
        <v>61.1446</v>
      </c>
      <c r="C2809">
        <v>2807</v>
      </c>
      <c r="D2809" s="7">
        <v>61.144599999999997</v>
      </c>
      <c r="E2809" s="7">
        <f t="shared" si="86"/>
        <v>171632.8922</v>
      </c>
      <c r="F2809" s="7">
        <f t="shared" si="87"/>
        <v>7879249</v>
      </c>
      <c r="G2809" s="7"/>
    </row>
    <row r="2810" spans="1:7" x14ac:dyDescent="0.35">
      <c r="A2810" t="str">
        <f>"2016-04-26"</f>
        <v>2016-04-26</v>
      </c>
      <c r="B2810" t="str">
        <f>"61.3819"</f>
        <v>61.3819</v>
      </c>
      <c r="C2810">
        <v>2808</v>
      </c>
      <c r="D2810" s="7">
        <v>61.381900000000002</v>
      </c>
      <c r="E2810" s="7">
        <f t="shared" si="86"/>
        <v>172360.37520000001</v>
      </c>
      <c r="F2810" s="7">
        <f t="shared" si="87"/>
        <v>7884864</v>
      </c>
      <c r="G2810" s="7"/>
    </row>
    <row r="2811" spans="1:7" x14ac:dyDescent="0.35">
      <c r="A2811" t="str">
        <f>"2016-04-27"</f>
        <v>2016-04-27</v>
      </c>
      <c r="B2811" t="str">
        <f>"61.9934"</f>
        <v>61.9934</v>
      </c>
      <c r="C2811">
        <v>2809</v>
      </c>
      <c r="D2811" s="7">
        <v>61.993400000000001</v>
      </c>
      <c r="E2811" s="7">
        <f t="shared" si="86"/>
        <v>174139.46059999999</v>
      </c>
      <c r="F2811" s="7">
        <f t="shared" si="87"/>
        <v>7890481</v>
      </c>
      <c r="G2811" s="7"/>
    </row>
    <row r="2812" spans="1:7" x14ac:dyDescent="0.35">
      <c r="A2812" t="str">
        <f>"2016-04-28"</f>
        <v>2016-04-28</v>
      </c>
      <c r="B2812" t="str">
        <f>"60.9833"</f>
        <v>60.9833</v>
      </c>
      <c r="C2812">
        <v>2810</v>
      </c>
      <c r="D2812" s="7">
        <v>60.9833</v>
      </c>
      <c r="E2812" s="7">
        <f t="shared" si="86"/>
        <v>171363.073</v>
      </c>
      <c r="F2812" s="7">
        <f t="shared" si="87"/>
        <v>7896100</v>
      </c>
      <c r="G2812" s="7"/>
    </row>
    <row r="2813" spans="1:7" x14ac:dyDescent="0.35">
      <c r="A2813" t="str">
        <f>"2016-04-29"</f>
        <v>2016-04-29</v>
      </c>
      <c r="B2813" t="str">
        <f>"59.2189"</f>
        <v>59.2189</v>
      </c>
      <c r="C2813">
        <v>2811</v>
      </c>
      <c r="D2813" s="7">
        <v>59.218899999999998</v>
      </c>
      <c r="E2813" s="7">
        <f t="shared" si="86"/>
        <v>166464.3279</v>
      </c>
      <c r="F2813" s="7">
        <f t="shared" si="87"/>
        <v>7901721</v>
      </c>
      <c r="G2813" s="7"/>
    </row>
    <row r="2814" spans="1:7" x14ac:dyDescent="0.35">
      <c r="A2814" t="str">
        <f>"2016-05-02"</f>
        <v>2016-05-02</v>
      </c>
      <c r="B2814" t="str">
        <f>"58.846"</f>
        <v>58.846</v>
      </c>
      <c r="C2814">
        <v>2812</v>
      </c>
      <c r="D2814" s="7">
        <v>58.845999999999997</v>
      </c>
      <c r="E2814" s="7">
        <f t="shared" si="86"/>
        <v>165474.95199999999</v>
      </c>
      <c r="F2814" s="7">
        <f t="shared" si="87"/>
        <v>7907344</v>
      </c>
      <c r="G2814" s="7"/>
    </row>
    <row r="2815" spans="1:7" x14ac:dyDescent="0.35">
      <c r="A2815" t="str">
        <f>"2016-05-03"</f>
        <v>2016-05-03</v>
      </c>
      <c r="B2815" t="str">
        <f>"56.8179"</f>
        <v>56.8179</v>
      </c>
      <c r="C2815">
        <v>2813</v>
      </c>
      <c r="D2815" s="7">
        <v>56.817900000000002</v>
      </c>
      <c r="E2815" s="7">
        <f t="shared" si="86"/>
        <v>159828.75270000001</v>
      </c>
      <c r="F2815" s="7">
        <f t="shared" si="87"/>
        <v>7912969</v>
      </c>
      <c r="G2815" s="7"/>
    </row>
    <row r="2816" spans="1:7" x14ac:dyDescent="0.35">
      <c r="A2816" t="str">
        <f>"2016-05-04"</f>
        <v>2016-05-04</v>
      </c>
      <c r="B2816" t="str">
        <f>"57.5279"</f>
        <v>57.5279</v>
      </c>
      <c r="C2816">
        <v>2814</v>
      </c>
      <c r="D2816" s="7">
        <v>57.527900000000002</v>
      </c>
      <c r="E2816" s="7">
        <f t="shared" si="86"/>
        <v>161883.51060000001</v>
      </c>
      <c r="F2816" s="7">
        <f t="shared" si="87"/>
        <v>7918596</v>
      </c>
      <c r="G2816" s="7"/>
    </row>
    <row r="2817" spans="1:7" x14ac:dyDescent="0.35">
      <c r="A2817" t="str">
        <f>"2016-05-05"</f>
        <v>2016-05-05</v>
      </c>
      <c r="B2817" t="str">
        <f>"55.0664"</f>
        <v>55.0664</v>
      </c>
      <c r="C2817">
        <v>2815</v>
      </c>
      <c r="D2817" s="7">
        <v>55.066400000000002</v>
      </c>
      <c r="E2817" s="7">
        <f t="shared" si="86"/>
        <v>155011.916</v>
      </c>
      <c r="F2817" s="7">
        <f t="shared" si="87"/>
        <v>7924225</v>
      </c>
      <c r="G2817" s="7"/>
    </row>
    <row r="2818" spans="1:7" x14ac:dyDescent="0.35">
      <c r="A2818" t="str">
        <f>"2016-05-06"</f>
        <v>2016-05-06</v>
      </c>
      <c r="B2818" t="str">
        <f>"54.6367"</f>
        <v>54.6367</v>
      </c>
      <c r="C2818">
        <v>2816</v>
      </c>
      <c r="D2818" s="7">
        <v>54.636699999999998</v>
      </c>
      <c r="E2818" s="7">
        <f t="shared" si="86"/>
        <v>153856.9472</v>
      </c>
      <c r="F2818" s="7">
        <f t="shared" si="87"/>
        <v>7929856</v>
      </c>
      <c r="G2818" s="7"/>
    </row>
    <row r="2819" spans="1:7" x14ac:dyDescent="0.35">
      <c r="A2819" t="str">
        <f>"2016-05-09"</f>
        <v>2016-05-09</v>
      </c>
      <c r="B2819" t="str">
        <f>"56.4968"</f>
        <v>56.4968</v>
      </c>
      <c r="C2819">
        <v>2817</v>
      </c>
      <c r="D2819" s="7">
        <v>56.4968</v>
      </c>
      <c r="E2819" s="7">
        <f t="shared" si="86"/>
        <v>159151.48560000001</v>
      </c>
      <c r="F2819" s="7">
        <f t="shared" si="87"/>
        <v>7935489</v>
      </c>
      <c r="G2819" s="7"/>
    </row>
    <row r="2820" spans="1:7" x14ac:dyDescent="0.35">
      <c r="A2820" t="str">
        <f>"2016-05-10"</f>
        <v>2016-05-10</v>
      </c>
      <c r="B2820" t="str">
        <f>"55.6285"</f>
        <v>55.6285</v>
      </c>
      <c r="C2820">
        <v>2818</v>
      </c>
      <c r="D2820" s="7">
        <v>55.628500000000003</v>
      </c>
      <c r="E2820" s="7">
        <f t="shared" ref="E2820:E2883" si="88">C2820*D2820</f>
        <v>156761.11300000001</v>
      </c>
      <c r="F2820" s="7">
        <f t="shared" ref="F2820:F2883" si="89">C2820*C2820</f>
        <v>7941124</v>
      </c>
      <c r="G2820" s="7"/>
    </row>
    <row r="2821" spans="1:7" x14ac:dyDescent="0.35">
      <c r="A2821" t="str">
        <f>"2016-05-11"</f>
        <v>2016-05-11</v>
      </c>
      <c r="B2821" t="str">
        <f>"54.7777"</f>
        <v>54.7777</v>
      </c>
      <c r="C2821">
        <v>2819</v>
      </c>
      <c r="D2821" s="7">
        <v>54.777700000000003</v>
      </c>
      <c r="E2821" s="7">
        <f t="shared" si="88"/>
        <v>154418.3363</v>
      </c>
      <c r="F2821" s="7">
        <f t="shared" si="89"/>
        <v>7946761</v>
      </c>
      <c r="G2821" s="7"/>
    </row>
    <row r="2822" spans="1:7" x14ac:dyDescent="0.35">
      <c r="A2822" t="str">
        <f>"2016-05-12"</f>
        <v>2016-05-12</v>
      </c>
      <c r="B2822" t="str">
        <f>"53.1682"</f>
        <v>53.1682</v>
      </c>
      <c r="C2822">
        <v>2820</v>
      </c>
      <c r="D2822" s="7">
        <v>53.168199999999999</v>
      </c>
      <c r="E2822" s="7">
        <f t="shared" si="88"/>
        <v>149934.32399999999</v>
      </c>
      <c r="F2822" s="7">
        <f t="shared" si="89"/>
        <v>7952400</v>
      </c>
      <c r="G2822" s="7"/>
    </row>
    <row r="2823" spans="1:7" x14ac:dyDescent="0.35">
      <c r="A2823" t="str">
        <f>"2016-05-13"</f>
        <v>2016-05-13</v>
      </c>
      <c r="B2823" t="str">
        <f>"51.2767"</f>
        <v>51.2767</v>
      </c>
      <c r="C2823">
        <v>2821</v>
      </c>
      <c r="D2823" s="7">
        <v>51.276699999999998</v>
      </c>
      <c r="E2823" s="7">
        <f t="shared" si="88"/>
        <v>144651.57069999998</v>
      </c>
      <c r="F2823" s="7">
        <f t="shared" si="89"/>
        <v>7958041</v>
      </c>
      <c r="G2823" s="7"/>
    </row>
    <row r="2824" spans="1:7" x14ac:dyDescent="0.35">
      <c r="A2824" t="str">
        <f>"2016-05-16"</f>
        <v>2016-05-16</v>
      </c>
      <c r="B2824" t="str">
        <f>"50.3894"</f>
        <v>50.3894</v>
      </c>
      <c r="C2824">
        <v>2822</v>
      </c>
      <c r="D2824" s="7">
        <v>50.389400000000002</v>
      </c>
      <c r="E2824" s="7">
        <f t="shared" si="88"/>
        <v>142198.88680000001</v>
      </c>
      <c r="F2824" s="7">
        <f t="shared" si="89"/>
        <v>7963684</v>
      </c>
      <c r="G2824" s="7"/>
    </row>
    <row r="2825" spans="1:7" x14ac:dyDescent="0.35">
      <c r="A2825" t="str">
        <f>"2016-05-17"</f>
        <v>2016-05-17</v>
      </c>
      <c r="B2825" t="str">
        <f>"51.1386"</f>
        <v>51.1386</v>
      </c>
      <c r="C2825">
        <v>2823</v>
      </c>
      <c r="D2825" s="7">
        <v>51.138599999999997</v>
      </c>
      <c r="E2825" s="7">
        <f t="shared" si="88"/>
        <v>144364.2678</v>
      </c>
      <c r="F2825" s="7">
        <f t="shared" si="89"/>
        <v>7969329</v>
      </c>
      <c r="G2825" s="7"/>
    </row>
    <row r="2826" spans="1:7" x14ac:dyDescent="0.35">
      <c r="A2826" t="str">
        <f>"2016-05-18"</f>
        <v>2016-05-18</v>
      </c>
      <c r="B2826" t="str">
        <f>"50.2814"</f>
        <v>50.2814</v>
      </c>
      <c r="C2826">
        <v>2824</v>
      </c>
      <c r="D2826" s="7">
        <v>50.281399999999998</v>
      </c>
      <c r="E2826" s="7">
        <f t="shared" si="88"/>
        <v>141994.67359999998</v>
      </c>
      <c r="F2826" s="7">
        <f t="shared" si="89"/>
        <v>7974976</v>
      </c>
      <c r="G2826" s="7"/>
    </row>
    <row r="2827" spans="1:7" x14ac:dyDescent="0.35">
      <c r="A2827" t="str">
        <f>"2016-05-19"</f>
        <v>2016-05-19</v>
      </c>
      <c r="B2827" t="str">
        <f>"50.7395"</f>
        <v>50.7395</v>
      </c>
      <c r="C2827">
        <v>2825</v>
      </c>
      <c r="D2827" s="7">
        <v>50.7395</v>
      </c>
      <c r="E2827" s="7">
        <f t="shared" si="88"/>
        <v>143339.08749999999</v>
      </c>
      <c r="F2827" s="7">
        <f t="shared" si="89"/>
        <v>7980625</v>
      </c>
      <c r="G2827" s="7"/>
    </row>
    <row r="2828" spans="1:7" x14ac:dyDescent="0.35">
      <c r="A2828" t="str">
        <f>"2016-05-20"</f>
        <v>2016-05-20</v>
      </c>
      <c r="B2828" t="str">
        <f>"50.2003"</f>
        <v>50.2003</v>
      </c>
      <c r="C2828">
        <v>2826</v>
      </c>
      <c r="D2828" s="7">
        <v>50.200299999999999</v>
      </c>
      <c r="E2828" s="7">
        <f t="shared" si="88"/>
        <v>141866.0478</v>
      </c>
      <c r="F2828" s="7">
        <f t="shared" si="89"/>
        <v>7986276</v>
      </c>
      <c r="G2828" s="7"/>
    </row>
    <row r="2829" spans="1:7" x14ac:dyDescent="0.35">
      <c r="A2829" t="str">
        <f>"2016-05-23"</f>
        <v>2016-05-23</v>
      </c>
      <c r="B2829" t="str">
        <f>"51.4018"</f>
        <v>51.4018</v>
      </c>
      <c r="C2829">
        <v>2827</v>
      </c>
      <c r="D2829" s="7">
        <v>51.401800000000001</v>
      </c>
      <c r="E2829" s="7">
        <f t="shared" si="88"/>
        <v>145312.88860000001</v>
      </c>
      <c r="F2829" s="7">
        <f t="shared" si="89"/>
        <v>7991929</v>
      </c>
      <c r="G2829" s="7"/>
    </row>
    <row r="2830" spans="1:7" x14ac:dyDescent="0.35">
      <c r="A2830" t="str">
        <f>"2016-05-24"</f>
        <v>2016-05-24</v>
      </c>
      <c r="B2830" t="str">
        <f>"52.897"</f>
        <v>52.897</v>
      </c>
      <c r="C2830">
        <v>2828</v>
      </c>
      <c r="D2830" s="7">
        <v>52.896999999999998</v>
      </c>
      <c r="E2830" s="7">
        <f t="shared" si="88"/>
        <v>149592.71599999999</v>
      </c>
      <c r="F2830" s="7">
        <f t="shared" si="89"/>
        <v>7997584</v>
      </c>
      <c r="G2830" s="7"/>
    </row>
    <row r="2831" spans="1:7" x14ac:dyDescent="0.35">
      <c r="A2831" t="str">
        <f>"2016-05-25"</f>
        <v>2016-05-25</v>
      </c>
      <c r="B2831" t="str">
        <f>"53.7179"</f>
        <v>53.7179</v>
      </c>
      <c r="C2831">
        <v>2829</v>
      </c>
      <c r="D2831" s="7">
        <v>53.7179</v>
      </c>
      <c r="E2831" s="7">
        <f t="shared" si="88"/>
        <v>151967.93909999999</v>
      </c>
      <c r="F2831" s="7">
        <f t="shared" si="89"/>
        <v>8003241</v>
      </c>
      <c r="G2831" s="7"/>
    </row>
    <row r="2832" spans="1:7" x14ac:dyDescent="0.35">
      <c r="A2832" t="str">
        <f>"2016-05-26"</f>
        <v>2016-05-26</v>
      </c>
      <c r="B2832" t="str">
        <f>"53.8627"</f>
        <v>53.8627</v>
      </c>
      <c r="C2832">
        <v>2830</v>
      </c>
      <c r="D2832" s="7">
        <v>53.862699999999997</v>
      </c>
      <c r="E2832" s="7">
        <f t="shared" si="88"/>
        <v>152431.44099999999</v>
      </c>
      <c r="F2832" s="7">
        <f t="shared" si="89"/>
        <v>8008900</v>
      </c>
      <c r="G2832" s="7"/>
    </row>
    <row r="2833" spans="1:7" x14ac:dyDescent="0.35">
      <c r="A2833" t="str">
        <f>"2016-05-27"</f>
        <v>2016-05-27</v>
      </c>
      <c r="B2833" t="str">
        <f>"53.8204"</f>
        <v>53.8204</v>
      </c>
      <c r="C2833">
        <v>2831</v>
      </c>
      <c r="D2833" s="7">
        <v>53.820399999999999</v>
      </c>
      <c r="E2833" s="7">
        <f t="shared" si="88"/>
        <v>152365.55239999999</v>
      </c>
      <c r="F2833" s="7">
        <f t="shared" si="89"/>
        <v>8014561</v>
      </c>
      <c r="G2833" s="7"/>
    </row>
    <row r="2834" spans="1:7" x14ac:dyDescent="0.35">
      <c r="A2834" t="str">
        <f>"2016-05-31"</f>
        <v>2016-05-31</v>
      </c>
      <c r="B2834" t="str">
        <f>"53.9252"</f>
        <v>53.9252</v>
      </c>
      <c r="C2834">
        <v>2832</v>
      </c>
      <c r="D2834" s="7">
        <v>53.925199999999997</v>
      </c>
      <c r="E2834" s="7">
        <f t="shared" si="88"/>
        <v>152716.16639999999</v>
      </c>
      <c r="F2834" s="7">
        <f t="shared" si="89"/>
        <v>8020224</v>
      </c>
      <c r="G2834" s="7"/>
    </row>
    <row r="2835" spans="1:7" x14ac:dyDescent="0.35">
      <c r="A2835" t="str">
        <f>"2016-06-01"</f>
        <v>2016-06-01</v>
      </c>
      <c r="B2835" t="str">
        <f>"53.3909"</f>
        <v>53.3909</v>
      </c>
      <c r="C2835">
        <v>2833</v>
      </c>
      <c r="D2835" s="7">
        <v>53.390900000000002</v>
      </c>
      <c r="E2835" s="7">
        <f t="shared" si="88"/>
        <v>151256.4197</v>
      </c>
      <c r="F2835" s="7">
        <f t="shared" si="89"/>
        <v>8025889</v>
      </c>
      <c r="G2835" s="7"/>
    </row>
    <row r="2836" spans="1:7" x14ac:dyDescent="0.35">
      <c r="A2836" t="str">
        <f>"2016-06-02"</f>
        <v>2016-06-02</v>
      </c>
      <c r="B2836" t="str">
        <f>"53.4732"</f>
        <v>53.4732</v>
      </c>
      <c r="C2836">
        <v>2834</v>
      </c>
      <c r="D2836" s="7">
        <v>53.473199999999999</v>
      </c>
      <c r="E2836" s="7">
        <f t="shared" si="88"/>
        <v>151543.04879999999</v>
      </c>
      <c r="F2836" s="7">
        <f t="shared" si="89"/>
        <v>8031556</v>
      </c>
      <c r="G2836" s="7"/>
    </row>
    <row r="2837" spans="1:7" x14ac:dyDescent="0.35">
      <c r="A2837" t="str">
        <f>"2016-06-03"</f>
        <v>2016-06-03</v>
      </c>
      <c r="B2837" t="str">
        <f>"52.9162"</f>
        <v>52.9162</v>
      </c>
      <c r="C2837">
        <v>2835</v>
      </c>
      <c r="D2837" s="7">
        <v>52.916200000000003</v>
      </c>
      <c r="E2837" s="7">
        <f t="shared" si="88"/>
        <v>150017.427</v>
      </c>
      <c r="F2837" s="7">
        <f t="shared" si="89"/>
        <v>8037225</v>
      </c>
      <c r="G2837" s="7"/>
    </row>
    <row r="2838" spans="1:7" x14ac:dyDescent="0.35">
      <c r="A2838" t="str">
        <f>"2016-06-06"</f>
        <v>2016-06-06</v>
      </c>
      <c r="B2838" t="str">
        <f>"53.4735"</f>
        <v>53.4735</v>
      </c>
      <c r="C2838">
        <v>2836</v>
      </c>
      <c r="D2838" s="7">
        <v>53.473500000000001</v>
      </c>
      <c r="E2838" s="7">
        <f t="shared" si="88"/>
        <v>151650.84599999999</v>
      </c>
      <c r="F2838" s="7">
        <f t="shared" si="89"/>
        <v>8042896</v>
      </c>
      <c r="G2838" s="7"/>
    </row>
    <row r="2839" spans="1:7" x14ac:dyDescent="0.35">
      <c r="A2839" t="str">
        <f>"2016-06-07"</f>
        <v>2016-06-07</v>
      </c>
      <c r="B2839" t="str">
        <f>"52.4789"</f>
        <v>52.4789</v>
      </c>
      <c r="C2839">
        <v>2837</v>
      </c>
      <c r="D2839" s="7">
        <v>52.478900000000003</v>
      </c>
      <c r="E2839" s="7">
        <f t="shared" si="88"/>
        <v>148882.63930000001</v>
      </c>
      <c r="F2839" s="7">
        <f t="shared" si="89"/>
        <v>8048569</v>
      </c>
      <c r="G2839" s="7"/>
    </row>
    <row r="2840" spans="1:7" x14ac:dyDescent="0.35">
      <c r="A2840" t="str">
        <f>"2016-06-08"</f>
        <v>2016-06-08</v>
      </c>
      <c r="B2840" t="str">
        <f>"51.9161"</f>
        <v>51.9161</v>
      </c>
      <c r="C2840">
        <v>2838</v>
      </c>
      <c r="D2840" s="7">
        <v>51.9161</v>
      </c>
      <c r="E2840" s="7">
        <f t="shared" si="88"/>
        <v>147337.89180000001</v>
      </c>
      <c r="F2840" s="7">
        <f t="shared" si="89"/>
        <v>8054244</v>
      </c>
      <c r="G2840" s="7"/>
    </row>
    <row r="2841" spans="1:7" x14ac:dyDescent="0.35">
      <c r="A2841" t="str">
        <f>"2016-06-09"</f>
        <v>2016-06-09</v>
      </c>
      <c r="B2841" t="str">
        <f>"51.3239"</f>
        <v>51.3239</v>
      </c>
      <c r="C2841">
        <v>2839</v>
      </c>
      <c r="D2841" s="7">
        <v>51.323900000000002</v>
      </c>
      <c r="E2841" s="7">
        <f t="shared" si="88"/>
        <v>145708.5521</v>
      </c>
      <c r="F2841" s="7">
        <f t="shared" si="89"/>
        <v>8059921</v>
      </c>
      <c r="G2841" s="7"/>
    </row>
    <row r="2842" spans="1:7" x14ac:dyDescent="0.35">
      <c r="A2842" t="str">
        <f>"2016-06-10"</f>
        <v>2016-06-10</v>
      </c>
      <c r="B2842" t="str">
        <f>"49.7856"</f>
        <v>49.7856</v>
      </c>
      <c r="C2842">
        <v>2840</v>
      </c>
      <c r="D2842" s="7">
        <v>49.785600000000002</v>
      </c>
      <c r="E2842" s="7">
        <f t="shared" si="88"/>
        <v>141391.10399999999</v>
      </c>
      <c r="F2842" s="7">
        <f t="shared" si="89"/>
        <v>8065600</v>
      </c>
      <c r="G2842" s="7"/>
    </row>
    <row r="2843" spans="1:7" x14ac:dyDescent="0.35">
      <c r="A2843" t="str">
        <f>"2016-06-13"</f>
        <v>2016-06-13</v>
      </c>
      <c r="B2843" t="str">
        <f>"47.6985"</f>
        <v>47.6985</v>
      </c>
      <c r="C2843">
        <v>2841</v>
      </c>
      <c r="D2843" s="7">
        <v>47.698500000000003</v>
      </c>
      <c r="E2843" s="7">
        <f t="shared" si="88"/>
        <v>135511.43850000002</v>
      </c>
      <c r="F2843" s="7">
        <f t="shared" si="89"/>
        <v>8071281</v>
      </c>
      <c r="G2843" s="7"/>
    </row>
    <row r="2844" spans="1:7" x14ac:dyDescent="0.35">
      <c r="A2844" t="str">
        <f>"2016-06-14"</f>
        <v>2016-06-14</v>
      </c>
      <c r="B2844" t="str">
        <f>"48.4375"</f>
        <v>48.4375</v>
      </c>
      <c r="C2844">
        <v>2842</v>
      </c>
      <c r="D2844" s="7">
        <v>48.4375</v>
      </c>
      <c r="E2844" s="7">
        <f t="shared" si="88"/>
        <v>137659.375</v>
      </c>
      <c r="F2844" s="7">
        <f t="shared" si="89"/>
        <v>8076964</v>
      </c>
      <c r="G2844" s="7"/>
    </row>
    <row r="2845" spans="1:7" x14ac:dyDescent="0.35">
      <c r="A2845" t="str">
        <f>"2016-06-15"</f>
        <v>2016-06-15</v>
      </c>
      <c r="B2845" t="str">
        <f>"47.9764"</f>
        <v>47.9764</v>
      </c>
      <c r="C2845">
        <v>2843</v>
      </c>
      <c r="D2845" s="7">
        <v>47.976399999999998</v>
      </c>
      <c r="E2845" s="7">
        <f t="shared" si="88"/>
        <v>136396.90520000001</v>
      </c>
      <c r="F2845" s="7">
        <f t="shared" si="89"/>
        <v>8082649</v>
      </c>
      <c r="G2845" s="7"/>
    </row>
    <row r="2846" spans="1:7" x14ac:dyDescent="0.35">
      <c r="A2846" t="str">
        <f>"2016-06-16"</f>
        <v>2016-06-16</v>
      </c>
      <c r="B2846" t="str">
        <f>"47.1283"</f>
        <v>47.1283</v>
      </c>
      <c r="C2846">
        <v>2844</v>
      </c>
      <c r="D2846" s="7">
        <v>47.128300000000003</v>
      </c>
      <c r="E2846" s="7">
        <f t="shared" si="88"/>
        <v>134032.88520000002</v>
      </c>
      <c r="F2846" s="7">
        <f t="shared" si="89"/>
        <v>8088336</v>
      </c>
      <c r="G2846" s="7"/>
    </row>
    <row r="2847" spans="1:7" x14ac:dyDescent="0.35">
      <c r="A2847" t="str">
        <f>"2016-06-17"</f>
        <v>2016-06-17</v>
      </c>
      <c r="B2847" t="str">
        <f>"46.9855"</f>
        <v>46.9855</v>
      </c>
      <c r="C2847">
        <v>2845</v>
      </c>
      <c r="D2847" s="7">
        <v>46.985500000000002</v>
      </c>
      <c r="E2847" s="7">
        <f t="shared" si="88"/>
        <v>133673.7475</v>
      </c>
      <c r="F2847" s="7">
        <f t="shared" si="89"/>
        <v>8094025</v>
      </c>
      <c r="G2847" s="7"/>
    </row>
    <row r="2848" spans="1:7" x14ac:dyDescent="0.35">
      <c r="A2848" t="str">
        <f>"2016-06-20"</f>
        <v>2016-06-20</v>
      </c>
      <c r="B2848" t="str">
        <f>"47.7869"</f>
        <v>47.7869</v>
      </c>
      <c r="C2848">
        <v>2846</v>
      </c>
      <c r="D2848" s="7">
        <v>47.786900000000003</v>
      </c>
      <c r="E2848" s="7">
        <f t="shared" si="88"/>
        <v>136001.51740000001</v>
      </c>
      <c r="F2848" s="7">
        <f t="shared" si="89"/>
        <v>8099716</v>
      </c>
      <c r="G2848" s="7"/>
    </row>
    <row r="2849" spans="1:7" x14ac:dyDescent="0.35">
      <c r="A2849" t="str">
        <f>"2016-06-21"</f>
        <v>2016-06-21</v>
      </c>
      <c r="B2849" t="str">
        <f>"49.9529"</f>
        <v>49.9529</v>
      </c>
      <c r="C2849">
        <v>2847</v>
      </c>
      <c r="D2849" s="7">
        <v>49.9529</v>
      </c>
      <c r="E2849" s="7">
        <f t="shared" si="88"/>
        <v>142215.9063</v>
      </c>
      <c r="F2849" s="7">
        <f t="shared" si="89"/>
        <v>8105409</v>
      </c>
      <c r="G2849" s="7"/>
    </row>
    <row r="2850" spans="1:7" x14ac:dyDescent="0.35">
      <c r="A2850" t="str">
        <f>"2016-06-22"</f>
        <v>2016-06-22</v>
      </c>
      <c r="B2850" t="str">
        <f>"48.9496"</f>
        <v>48.9496</v>
      </c>
      <c r="C2850">
        <v>2848</v>
      </c>
      <c r="D2850" s="7">
        <v>48.949599999999997</v>
      </c>
      <c r="E2850" s="7">
        <f t="shared" si="88"/>
        <v>139408.4608</v>
      </c>
      <c r="F2850" s="7">
        <f t="shared" si="89"/>
        <v>8111104</v>
      </c>
      <c r="G2850" s="7"/>
    </row>
    <row r="2851" spans="1:7" x14ac:dyDescent="0.35">
      <c r="A2851" t="str">
        <f>"2016-06-23"</f>
        <v>2016-06-23</v>
      </c>
      <c r="B2851" t="str">
        <f>"49.7624"</f>
        <v>49.7624</v>
      </c>
      <c r="C2851">
        <v>2849</v>
      </c>
      <c r="D2851" s="7">
        <v>49.7624</v>
      </c>
      <c r="E2851" s="7">
        <f t="shared" si="88"/>
        <v>141773.07759999999</v>
      </c>
      <c r="F2851" s="7">
        <f t="shared" si="89"/>
        <v>8116801</v>
      </c>
      <c r="G2851" s="7"/>
    </row>
    <row r="2852" spans="1:7" x14ac:dyDescent="0.35">
      <c r="A2852" t="str">
        <f>"2016-06-24"</f>
        <v>2016-06-24</v>
      </c>
      <c r="B2852" t="str">
        <f>"46.6466"</f>
        <v>46.6466</v>
      </c>
      <c r="C2852">
        <v>2850</v>
      </c>
      <c r="D2852" s="7">
        <v>46.646599999999999</v>
      </c>
      <c r="E2852" s="7">
        <f t="shared" si="88"/>
        <v>132942.81</v>
      </c>
      <c r="F2852" s="7">
        <f t="shared" si="89"/>
        <v>8122500</v>
      </c>
      <c r="G2852" s="7"/>
    </row>
    <row r="2853" spans="1:7" x14ac:dyDescent="0.35">
      <c r="A2853" t="str">
        <f>"2016-06-27"</f>
        <v>2016-06-27</v>
      </c>
      <c r="B2853" t="str">
        <f>"47.0993"</f>
        <v>47.0993</v>
      </c>
      <c r="C2853">
        <v>2851</v>
      </c>
      <c r="D2853" s="7">
        <v>47.099299999999999</v>
      </c>
      <c r="E2853" s="7">
        <f t="shared" si="88"/>
        <v>134280.10430000001</v>
      </c>
      <c r="F2853" s="7">
        <f t="shared" si="89"/>
        <v>8128201</v>
      </c>
      <c r="G2853" s="7"/>
    </row>
    <row r="2854" spans="1:7" x14ac:dyDescent="0.35">
      <c r="A2854" t="str">
        <f>"2016-06-28"</f>
        <v>2016-06-28</v>
      </c>
      <c r="B2854" t="str">
        <f>"48.0769"</f>
        <v>48.0769</v>
      </c>
      <c r="C2854">
        <v>2852</v>
      </c>
      <c r="D2854" s="7">
        <v>48.076900000000002</v>
      </c>
      <c r="E2854" s="7">
        <f t="shared" si="88"/>
        <v>137115.31880000001</v>
      </c>
      <c r="F2854" s="7">
        <f t="shared" si="89"/>
        <v>8133904</v>
      </c>
      <c r="G2854" s="7"/>
    </row>
    <row r="2855" spans="1:7" x14ac:dyDescent="0.35">
      <c r="A2855" t="str">
        <f>"2016-06-29"</f>
        <v>2016-06-29</v>
      </c>
      <c r="B2855" t="str">
        <f>"46.9697"</f>
        <v>46.9697</v>
      </c>
      <c r="C2855">
        <v>2853</v>
      </c>
      <c r="D2855" s="7">
        <v>46.969700000000003</v>
      </c>
      <c r="E2855" s="7">
        <f t="shared" si="88"/>
        <v>134004.55410000001</v>
      </c>
      <c r="F2855" s="7">
        <f t="shared" si="89"/>
        <v>8139609</v>
      </c>
      <c r="G2855" s="7"/>
    </row>
    <row r="2856" spans="1:7" x14ac:dyDescent="0.35">
      <c r="A2856" t="str">
        <f>"2016-06-30"</f>
        <v>2016-06-30</v>
      </c>
      <c r="B2856" t="str">
        <f>"46.7285"</f>
        <v>46.7285</v>
      </c>
      <c r="C2856">
        <v>2854</v>
      </c>
      <c r="D2856" s="7">
        <v>46.728499999999997</v>
      </c>
      <c r="E2856" s="7">
        <f t="shared" si="88"/>
        <v>133363.139</v>
      </c>
      <c r="F2856" s="7">
        <f t="shared" si="89"/>
        <v>8145316</v>
      </c>
      <c r="G2856" s="7"/>
    </row>
    <row r="2857" spans="1:7" x14ac:dyDescent="0.35">
      <c r="A2857" t="str">
        <f>"2016-07-01"</f>
        <v>2016-07-01</v>
      </c>
      <c r="B2857" t="str">
        <f>"46.2668"</f>
        <v>46.2668</v>
      </c>
      <c r="C2857">
        <v>2855</v>
      </c>
      <c r="D2857" s="7">
        <v>46.266800000000003</v>
      </c>
      <c r="E2857" s="7">
        <f t="shared" si="88"/>
        <v>132091.71400000001</v>
      </c>
      <c r="F2857" s="7">
        <f t="shared" si="89"/>
        <v>8151025</v>
      </c>
      <c r="G2857" s="7"/>
    </row>
    <row r="2858" spans="1:7" x14ac:dyDescent="0.35">
      <c r="A2858" t="str">
        <f>"2016-07-05"</f>
        <v>2016-07-05</v>
      </c>
      <c r="B2858" t="str">
        <f>"45.2324"</f>
        <v>45.2324</v>
      </c>
      <c r="C2858">
        <v>2856</v>
      </c>
      <c r="D2858" s="7">
        <v>45.232399999999998</v>
      </c>
      <c r="E2858" s="7">
        <f t="shared" si="88"/>
        <v>129183.7344</v>
      </c>
      <c r="F2858" s="7">
        <f t="shared" si="89"/>
        <v>8156736</v>
      </c>
      <c r="G2858" s="7"/>
    </row>
    <row r="2859" spans="1:7" x14ac:dyDescent="0.35">
      <c r="A2859" t="str">
        <f>"2016-07-06"</f>
        <v>2016-07-06</v>
      </c>
      <c r="B2859" t="str">
        <f>"44.6433"</f>
        <v>44.6433</v>
      </c>
      <c r="C2859">
        <v>2857</v>
      </c>
      <c r="D2859" s="7">
        <v>44.643300000000004</v>
      </c>
      <c r="E2859" s="7">
        <f t="shared" si="88"/>
        <v>127545.90810000002</v>
      </c>
      <c r="F2859" s="7">
        <f t="shared" si="89"/>
        <v>8162449</v>
      </c>
      <c r="G2859" s="7"/>
    </row>
    <row r="2860" spans="1:7" x14ac:dyDescent="0.35">
      <c r="A2860" t="str">
        <f>"2016-07-07"</f>
        <v>2016-07-07</v>
      </c>
      <c r="B2860" t="str">
        <f>"44.6131"</f>
        <v>44.6131</v>
      </c>
      <c r="C2860">
        <v>2858</v>
      </c>
      <c r="D2860" s="7">
        <v>44.613100000000003</v>
      </c>
      <c r="E2860" s="7">
        <f t="shared" si="88"/>
        <v>127504.23980000001</v>
      </c>
      <c r="F2860" s="7">
        <f t="shared" si="89"/>
        <v>8168164</v>
      </c>
      <c r="G2860" s="7"/>
    </row>
    <row r="2861" spans="1:7" x14ac:dyDescent="0.35">
      <c r="A2861" t="str">
        <f>"2016-07-08"</f>
        <v>2016-07-08</v>
      </c>
      <c r="B2861" t="str">
        <f>"43.9333"</f>
        <v>43.9333</v>
      </c>
      <c r="C2861">
        <v>2859</v>
      </c>
      <c r="D2861" s="7">
        <v>43.933300000000003</v>
      </c>
      <c r="E2861" s="7">
        <f t="shared" si="88"/>
        <v>125605.30470000001</v>
      </c>
      <c r="F2861" s="7">
        <f t="shared" si="89"/>
        <v>8173881</v>
      </c>
      <c r="G2861" s="7"/>
    </row>
    <row r="2862" spans="1:7" x14ac:dyDescent="0.35">
      <c r="A2862" t="str">
        <f>"2016-07-11"</f>
        <v>2016-07-11</v>
      </c>
      <c r="B2862" t="str">
        <f>"46.1217"</f>
        <v>46.1217</v>
      </c>
      <c r="C2862">
        <v>2860</v>
      </c>
      <c r="D2862" s="7">
        <v>46.121699999999997</v>
      </c>
      <c r="E2862" s="7">
        <f t="shared" si="88"/>
        <v>131908.06200000001</v>
      </c>
      <c r="F2862" s="7">
        <f t="shared" si="89"/>
        <v>8179600</v>
      </c>
      <c r="G2862" s="7"/>
    </row>
    <row r="2863" spans="1:7" x14ac:dyDescent="0.35">
      <c r="A2863" t="str">
        <f>"2016-07-12"</f>
        <v>2016-07-12</v>
      </c>
      <c r="B2863" t="str">
        <f>"47.6176"</f>
        <v>47.6176</v>
      </c>
      <c r="C2863">
        <v>2861</v>
      </c>
      <c r="D2863" s="7">
        <v>47.617600000000003</v>
      </c>
      <c r="E2863" s="7">
        <f t="shared" si="88"/>
        <v>136233.95360000001</v>
      </c>
      <c r="F2863" s="7">
        <f t="shared" si="89"/>
        <v>8185321</v>
      </c>
      <c r="G2863" s="7"/>
    </row>
    <row r="2864" spans="1:7" x14ac:dyDescent="0.35">
      <c r="A2864" t="str">
        <f>"2016-07-13"</f>
        <v>2016-07-13</v>
      </c>
      <c r="B2864" t="str">
        <f>"48.1559"</f>
        <v>48.1559</v>
      </c>
      <c r="C2864">
        <v>2862</v>
      </c>
      <c r="D2864" s="7">
        <v>48.155900000000003</v>
      </c>
      <c r="E2864" s="7">
        <f t="shared" si="88"/>
        <v>137822.18580000001</v>
      </c>
      <c r="F2864" s="7">
        <f t="shared" si="89"/>
        <v>8191044</v>
      </c>
      <c r="G2864" s="7"/>
    </row>
    <row r="2865" spans="1:7" x14ac:dyDescent="0.35">
      <c r="A2865" t="str">
        <f>"2016-07-14"</f>
        <v>2016-07-14</v>
      </c>
      <c r="B2865" t="str">
        <f>"48.5979"</f>
        <v>48.5979</v>
      </c>
      <c r="C2865">
        <v>2863</v>
      </c>
      <c r="D2865" s="7">
        <v>48.597900000000003</v>
      </c>
      <c r="E2865" s="7">
        <f t="shared" si="88"/>
        <v>139135.78770000002</v>
      </c>
      <c r="F2865" s="7">
        <f t="shared" si="89"/>
        <v>8196769</v>
      </c>
      <c r="G2865" s="7"/>
    </row>
    <row r="2866" spans="1:7" x14ac:dyDescent="0.35">
      <c r="A2866" t="str">
        <f>"2016-07-15"</f>
        <v>2016-07-15</v>
      </c>
      <c r="B2866" t="str">
        <f>"48.4606"</f>
        <v>48.4606</v>
      </c>
      <c r="C2866">
        <v>2864</v>
      </c>
      <c r="D2866" s="7">
        <v>48.460599999999999</v>
      </c>
      <c r="E2866" s="7">
        <f t="shared" si="88"/>
        <v>138791.15839999999</v>
      </c>
      <c r="F2866" s="7">
        <f t="shared" si="89"/>
        <v>8202496</v>
      </c>
      <c r="G2866" s="7"/>
    </row>
    <row r="2867" spans="1:7" x14ac:dyDescent="0.35">
      <c r="A2867" t="str">
        <f>"2016-07-18"</f>
        <v>2016-07-18</v>
      </c>
      <c r="B2867" t="str">
        <f>"41.1253"</f>
        <v>41.1253</v>
      </c>
      <c r="C2867">
        <v>2865</v>
      </c>
      <c r="D2867" s="7">
        <v>41.125300000000003</v>
      </c>
      <c r="E2867" s="7">
        <f t="shared" si="88"/>
        <v>117823.98450000001</v>
      </c>
      <c r="F2867" s="7">
        <f t="shared" si="89"/>
        <v>8208225</v>
      </c>
      <c r="G2867" s="7"/>
    </row>
    <row r="2868" spans="1:7" x14ac:dyDescent="0.35">
      <c r="A2868" t="str">
        <f>"2016-07-19"</f>
        <v>2016-07-19</v>
      </c>
      <c r="B2868" t="str">
        <f>"40.1307"</f>
        <v>40.1307</v>
      </c>
      <c r="C2868">
        <v>2866</v>
      </c>
      <c r="D2868" s="7">
        <v>40.130699999999997</v>
      </c>
      <c r="E2868" s="7">
        <f t="shared" si="88"/>
        <v>115014.58619999999</v>
      </c>
      <c r="F2868" s="7">
        <f t="shared" si="89"/>
        <v>8213956</v>
      </c>
      <c r="G2868" s="7"/>
    </row>
    <row r="2869" spans="1:7" x14ac:dyDescent="0.35">
      <c r="A2869" t="str">
        <f>"2016-07-20"</f>
        <v>2016-07-20</v>
      </c>
      <c r="B2869" t="str">
        <f>"39.1285"</f>
        <v>39.1285</v>
      </c>
      <c r="C2869">
        <v>2867</v>
      </c>
      <c r="D2869" s="7">
        <v>39.128500000000003</v>
      </c>
      <c r="E2869" s="7">
        <f t="shared" si="88"/>
        <v>112181.40950000001</v>
      </c>
      <c r="F2869" s="7">
        <f t="shared" si="89"/>
        <v>8219689</v>
      </c>
      <c r="G2869" s="7"/>
    </row>
    <row r="2870" spans="1:7" x14ac:dyDescent="0.35">
      <c r="A2870" t="str">
        <f>"2016-07-21"</f>
        <v>2016-07-21</v>
      </c>
      <c r="B2870" t="str">
        <f>"36.9406"</f>
        <v>36.9406</v>
      </c>
      <c r="C2870">
        <v>2868</v>
      </c>
      <c r="D2870" s="7">
        <v>36.940600000000003</v>
      </c>
      <c r="E2870" s="7">
        <f t="shared" si="88"/>
        <v>105945.64080000001</v>
      </c>
      <c r="F2870" s="7">
        <f t="shared" si="89"/>
        <v>8225424</v>
      </c>
      <c r="G2870" s="7"/>
    </row>
    <row r="2871" spans="1:7" x14ac:dyDescent="0.35">
      <c r="A2871" t="str">
        <f>"2016-07-22"</f>
        <v>2016-07-22</v>
      </c>
      <c r="B2871" t="str">
        <f>"37.976"</f>
        <v>37.976</v>
      </c>
      <c r="C2871">
        <v>2869</v>
      </c>
      <c r="D2871" s="7">
        <v>37.975999999999999</v>
      </c>
      <c r="E2871" s="7">
        <f t="shared" si="88"/>
        <v>108953.144</v>
      </c>
      <c r="F2871" s="7">
        <f t="shared" si="89"/>
        <v>8231161</v>
      </c>
      <c r="G2871" s="7"/>
    </row>
    <row r="2872" spans="1:7" x14ac:dyDescent="0.35">
      <c r="A2872" t="str">
        <f>"2016-07-25"</f>
        <v>2016-07-25</v>
      </c>
      <c r="B2872" t="str">
        <f>"39.7164"</f>
        <v>39.7164</v>
      </c>
      <c r="C2872">
        <v>2870</v>
      </c>
      <c r="D2872" s="7">
        <v>39.7164</v>
      </c>
      <c r="E2872" s="7">
        <f t="shared" si="88"/>
        <v>113986.068</v>
      </c>
      <c r="F2872" s="7">
        <f t="shared" si="89"/>
        <v>8236900</v>
      </c>
      <c r="G2872" s="7"/>
    </row>
    <row r="2873" spans="1:7" x14ac:dyDescent="0.35">
      <c r="A2873" t="str">
        <f>"2016-07-26"</f>
        <v>2016-07-26</v>
      </c>
      <c r="B2873" t="str">
        <f>"39.4163"</f>
        <v>39.4163</v>
      </c>
      <c r="C2873">
        <v>2871</v>
      </c>
      <c r="D2873" s="7">
        <v>39.4163</v>
      </c>
      <c r="E2873" s="7">
        <f t="shared" si="88"/>
        <v>113164.1973</v>
      </c>
      <c r="F2873" s="7">
        <f t="shared" si="89"/>
        <v>8242641</v>
      </c>
      <c r="G2873" s="7"/>
    </row>
    <row r="2874" spans="1:7" x14ac:dyDescent="0.35">
      <c r="A2874" t="str">
        <f>"2016-07-27"</f>
        <v>2016-07-27</v>
      </c>
      <c r="B2874" t="str">
        <f>"39.7186"</f>
        <v>39.7186</v>
      </c>
      <c r="C2874">
        <v>2872</v>
      </c>
      <c r="D2874" s="7">
        <v>39.718600000000002</v>
      </c>
      <c r="E2874" s="7">
        <f t="shared" si="88"/>
        <v>114071.81920000001</v>
      </c>
      <c r="F2874" s="7">
        <f t="shared" si="89"/>
        <v>8248384</v>
      </c>
      <c r="G2874" s="7"/>
    </row>
    <row r="2875" spans="1:7" x14ac:dyDescent="0.35">
      <c r="A2875" t="str">
        <f>"2016-07-28"</f>
        <v>2016-07-28</v>
      </c>
      <c r="B2875" t="str">
        <f>"39.8942"</f>
        <v>39.8942</v>
      </c>
      <c r="C2875">
        <v>2873</v>
      </c>
      <c r="D2875" s="7">
        <v>39.894199999999998</v>
      </c>
      <c r="E2875" s="7">
        <f t="shared" si="88"/>
        <v>114616.03659999999</v>
      </c>
      <c r="F2875" s="7">
        <f t="shared" si="89"/>
        <v>8254129</v>
      </c>
      <c r="G2875" s="7"/>
    </row>
    <row r="2876" spans="1:7" x14ac:dyDescent="0.35">
      <c r="A2876" t="str">
        <f>"2016-07-29"</f>
        <v>2016-07-29</v>
      </c>
      <c r="B2876" t="str">
        <f>"39.5977"</f>
        <v>39.5977</v>
      </c>
      <c r="C2876">
        <v>2874</v>
      </c>
      <c r="D2876" s="7">
        <v>39.597700000000003</v>
      </c>
      <c r="E2876" s="7">
        <f t="shared" si="88"/>
        <v>113803.78980000001</v>
      </c>
      <c r="F2876" s="7">
        <f t="shared" si="89"/>
        <v>8259876</v>
      </c>
      <c r="G2876" s="7"/>
    </row>
    <row r="2877" spans="1:7" x14ac:dyDescent="0.35">
      <c r="A2877" t="str">
        <f>"2016-08-01"</f>
        <v>2016-08-01</v>
      </c>
      <c r="B2877" t="str">
        <f>"40.2299"</f>
        <v>40.2299</v>
      </c>
      <c r="C2877">
        <v>2875</v>
      </c>
      <c r="D2877" s="7">
        <v>40.229900000000001</v>
      </c>
      <c r="E2877" s="7">
        <f t="shared" si="88"/>
        <v>115660.96250000001</v>
      </c>
      <c r="F2877" s="7">
        <f t="shared" si="89"/>
        <v>8265625</v>
      </c>
      <c r="G2877" s="7"/>
    </row>
    <row r="2878" spans="1:7" x14ac:dyDescent="0.35">
      <c r="A2878" t="str">
        <f>"2016-08-02"</f>
        <v>2016-08-02</v>
      </c>
      <c r="B2878" t="str">
        <f>"39.6626"</f>
        <v>39.6626</v>
      </c>
      <c r="C2878">
        <v>2876</v>
      </c>
      <c r="D2878" s="7">
        <v>39.662599999999998</v>
      </c>
      <c r="E2878" s="7">
        <f t="shared" si="88"/>
        <v>114069.63759999999</v>
      </c>
      <c r="F2878" s="7">
        <f t="shared" si="89"/>
        <v>8271376</v>
      </c>
      <c r="G2878" s="7"/>
    </row>
    <row r="2879" spans="1:7" x14ac:dyDescent="0.35">
      <c r="A2879" t="str">
        <f>"2016-08-03"</f>
        <v>2016-08-03</v>
      </c>
      <c r="B2879" t="str">
        <f>"39.1043"</f>
        <v>39.1043</v>
      </c>
      <c r="C2879">
        <v>2877</v>
      </c>
      <c r="D2879" s="7">
        <v>39.104300000000002</v>
      </c>
      <c r="E2879" s="7">
        <f t="shared" si="88"/>
        <v>112503.0711</v>
      </c>
      <c r="F2879" s="7">
        <f t="shared" si="89"/>
        <v>8277129</v>
      </c>
      <c r="G2879" s="7"/>
    </row>
    <row r="2880" spans="1:7" x14ac:dyDescent="0.35">
      <c r="A2880" t="str">
        <f>"2016-08-04"</f>
        <v>2016-08-04</v>
      </c>
      <c r="B2880" t="str">
        <f>"39.1371"</f>
        <v>39.1371</v>
      </c>
      <c r="C2880">
        <v>2878</v>
      </c>
      <c r="D2880" s="7">
        <v>39.137099999999997</v>
      </c>
      <c r="E2880" s="7">
        <f t="shared" si="88"/>
        <v>112636.57379999998</v>
      </c>
      <c r="F2880" s="7">
        <f t="shared" si="89"/>
        <v>8282884</v>
      </c>
      <c r="G2880" s="7"/>
    </row>
    <row r="2881" spans="1:7" x14ac:dyDescent="0.35">
      <c r="A2881" t="str">
        <f>"2016-08-05"</f>
        <v>2016-08-05</v>
      </c>
      <c r="B2881" t="str">
        <f>"39.8256"</f>
        <v>39.8256</v>
      </c>
      <c r="C2881">
        <v>2879</v>
      </c>
      <c r="D2881" s="7">
        <v>39.825600000000001</v>
      </c>
      <c r="E2881" s="7">
        <f t="shared" si="88"/>
        <v>114657.90240000001</v>
      </c>
      <c r="F2881" s="7">
        <f t="shared" si="89"/>
        <v>8288641</v>
      </c>
      <c r="G2881" s="7"/>
    </row>
    <row r="2882" spans="1:7" x14ac:dyDescent="0.35">
      <c r="A2882" t="str">
        <f>"2016-08-08"</f>
        <v>2016-08-08</v>
      </c>
      <c r="B2882" t="str">
        <f>"42.5189"</f>
        <v>42.5189</v>
      </c>
      <c r="C2882">
        <v>2880</v>
      </c>
      <c r="D2882" s="7">
        <v>42.518900000000002</v>
      </c>
      <c r="E2882" s="7">
        <f t="shared" si="88"/>
        <v>122454.432</v>
      </c>
      <c r="F2882" s="7">
        <f t="shared" si="89"/>
        <v>8294400</v>
      </c>
      <c r="G2882" s="7"/>
    </row>
    <row r="2883" spans="1:7" x14ac:dyDescent="0.35">
      <c r="A2883" t="str">
        <f>"2016-08-09"</f>
        <v>2016-08-09</v>
      </c>
      <c r="B2883" t="str">
        <f>"44.6582"</f>
        <v>44.6582</v>
      </c>
      <c r="C2883">
        <v>2881</v>
      </c>
      <c r="D2883" s="7">
        <v>44.658200000000001</v>
      </c>
      <c r="E2883" s="7">
        <f t="shared" si="88"/>
        <v>128660.2742</v>
      </c>
      <c r="F2883" s="7">
        <f t="shared" si="89"/>
        <v>8300161</v>
      </c>
      <c r="G2883" s="7"/>
    </row>
    <row r="2884" spans="1:7" x14ac:dyDescent="0.35">
      <c r="A2884" t="str">
        <f>"2016-08-10"</f>
        <v>2016-08-10</v>
      </c>
      <c r="B2884" t="str">
        <f>"43.7328"</f>
        <v>43.7328</v>
      </c>
      <c r="C2884">
        <v>2882</v>
      </c>
      <c r="D2884" s="7">
        <v>43.732799999999997</v>
      </c>
      <c r="E2884" s="7">
        <f t="shared" ref="E2884:E2947" si="90">C2884*D2884</f>
        <v>126037.92959999999</v>
      </c>
      <c r="F2884" s="7">
        <f t="shared" ref="F2884:F2947" si="91">C2884*C2884</f>
        <v>8305924</v>
      </c>
      <c r="G2884" s="7"/>
    </row>
    <row r="2885" spans="1:7" x14ac:dyDescent="0.35">
      <c r="A2885" t="str">
        <f>"2016-08-11"</f>
        <v>2016-08-11</v>
      </c>
      <c r="B2885" t="str">
        <f>"44.763"</f>
        <v>44.763</v>
      </c>
      <c r="C2885">
        <v>2883</v>
      </c>
      <c r="D2885" s="7">
        <v>44.762999999999998</v>
      </c>
      <c r="E2885" s="7">
        <f t="shared" si="90"/>
        <v>129051.72899999999</v>
      </c>
      <c r="F2885" s="7">
        <f t="shared" si="91"/>
        <v>8311689</v>
      </c>
      <c r="G2885" s="7"/>
    </row>
    <row r="2886" spans="1:7" x14ac:dyDescent="0.35">
      <c r="A2886" t="str">
        <f>"2016-08-12"</f>
        <v>2016-08-12</v>
      </c>
      <c r="B2886" t="str">
        <f>"44.2166"</f>
        <v>44.2166</v>
      </c>
      <c r="C2886">
        <v>2884</v>
      </c>
      <c r="D2886" s="7">
        <v>44.2166</v>
      </c>
      <c r="E2886" s="7">
        <f t="shared" si="90"/>
        <v>127520.6744</v>
      </c>
      <c r="F2886" s="7">
        <f t="shared" si="91"/>
        <v>8317456</v>
      </c>
      <c r="G2886" s="7"/>
    </row>
    <row r="2887" spans="1:7" x14ac:dyDescent="0.35">
      <c r="A2887" t="str">
        <f>"2016-08-15"</f>
        <v>2016-08-15</v>
      </c>
      <c r="B2887" t="str">
        <f>"43.83"</f>
        <v>43.83</v>
      </c>
      <c r="C2887">
        <v>2885</v>
      </c>
      <c r="D2887" s="7">
        <v>43.83</v>
      </c>
      <c r="E2887" s="7">
        <f t="shared" si="90"/>
        <v>126449.54999999999</v>
      </c>
      <c r="F2887" s="7">
        <f t="shared" si="91"/>
        <v>8323225</v>
      </c>
      <c r="G2887" s="7"/>
    </row>
    <row r="2888" spans="1:7" x14ac:dyDescent="0.35">
      <c r="A2888" t="str">
        <f>"2016-08-16"</f>
        <v>2016-08-16</v>
      </c>
      <c r="B2888" t="str">
        <f>"41.6518"</f>
        <v>41.6518</v>
      </c>
      <c r="C2888">
        <v>2886</v>
      </c>
      <c r="D2888" s="7">
        <v>41.651800000000001</v>
      </c>
      <c r="E2888" s="7">
        <f t="shared" si="90"/>
        <v>120207.09480000001</v>
      </c>
      <c r="F2888" s="7">
        <f t="shared" si="91"/>
        <v>8328996</v>
      </c>
      <c r="G2888" s="7"/>
    </row>
    <row r="2889" spans="1:7" x14ac:dyDescent="0.35">
      <c r="A2889" t="str">
        <f>"2016-08-17"</f>
        <v>2016-08-17</v>
      </c>
      <c r="B2889" t="str">
        <f>"42.4129"</f>
        <v>42.4129</v>
      </c>
      <c r="C2889">
        <v>2887</v>
      </c>
      <c r="D2889" s="7">
        <v>42.4129</v>
      </c>
      <c r="E2889" s="7">
        <f t="shared" si="90"/>
        <v>122446.0423</v>
      </c>
      <c r="F2889" s="7">
        <f t="shared" si="91"/>
        <v>8334769</v>
      </c>
      <c r="G2889" s="7"/>
    </row>
    <row r="2890" spans="1:7" x14ac:dyDescent="0.35">
      <c r="A2890" t="str">
        <f>"2016-08-18"</f>
        <v>2016-08-18</v>
      </c>
      <c r="B2890" t="str">
        <f>"41.9721"</f>
        <v>41.9721</v>
      </c>
      <c r="C2890">
        <v>2888</v>
      </c>
      <c r="D2890" s="7">
        <v>41.972099999999998</v>
      </c>
      <c r="E2890" s="7">
        <f t="shared" si="90"/>
        <v>121215.42479999999</v>
      </c>
      <c r="F2890" s="7">
        <f t="shared" si="91"/>
        <v>8340544</v>
      </c>
      <c r="G2890" s="7"/>
    </row>
    <row r="2891" spans="1:7" x14ac:dyDescent="0.35">
      <c r="A2891" t="str">
        <f>"2016-08-19"</f>
        <v>2016-08-19</v>
      </c>
      <c r="B2891" t="str">
        <f>"42.8937"</f>
        <v>42.8937</v>
      </c>
      <c r="C2891">
        <v>2889</v>
      </c>
      <c r="D2891" s="7">
        <v>42.893700000000003</v>
      </c>
      <c r="E2891" s="7">
        <f t="shared" si="90"/>
        <v>123919.8993</v>
      </c>
      <c r="F2891" s="7">
        <f t="shared" si="91"/>
        <v>8346321</v>
      </c>
      <c r="G2891" s="7"/>
    </row>
    <row r="2892" spans="1:7" x14ac:dyDescent="0.35">
      <c r="A2892" t="str">
        <f>"2016-08-22"</f>
        <v>2016-08-22</v>
      </c>
      <c r="B2892" t="str">
        <f>"41.8703"</f>
        <v>41.8703</v>
      </c>
      <c r="C2892">
        <v>2890</v>
      </c>
      <c r="D2892" s="7">
        <v>41.8703</v>
      </c>
      <c r="E2892" s="7">
        <f t="shared" si="90"/>
        <v>121005.167</v>
      </c>
      <c r="F2892" s="7">
        <f t="shared" si="91"/>
        <v>8352100</v>
      </c>
      <c r="G2892" s="7"/>
    </row>
    <row r="2893" spans="1:7" x14ac:dyDescent="0.35">
      <c r="A2893" t="str">
        <f>"2016-08-23"</f>
        <v>2016-08-23</v>
      </c>
      <c r="B2893" t="str">
        <f>"41.5065"</f>
        <v>41.5065</v>
      </c>
      <c r="C2893">
        <v>2891</v>
      </c>
      <c r="D2893" s="7">
        <v>41.506500000000003</v>
      </c>
      <c r="E2893" s="7">
        <f t="shared" si="90"/>
        <v>119995.29150000001</v>
      </c>
      <c r="F2893" s="7">
        <f t="shared" si="91"/>
        <v>8357881</v>
      </c>
      <c r="G2893" s="7"/>
    </row>
    <row r="2894" spans="1:7" x14ac:dyDescent="0.35">
      <c r="A2894" t="str">
        <f>"2016-08-24"</f>
        <v>2016-08-24</v>
      </c>
      <c r="B2894" t="str">
        <f>"40.9362"</f>
        <v>40.9362</v>
      </c>
      <c r="C2894">
        <v>2892</v>
      </c>
      <c r="D2894" s="7">
        <v>40.936199999999999</v>
      </c>
      <c r="E2894" s="7">
        <f t="shared" si="90"/>
        <v>118387.4904</v>
      </c>
      <c r="F2894" s="7">
        <f t="shared" si="91"/>
        <v>8363664</v>
      </c>
      <c r="G2894" s="7"/>
    </row>
    <row r="2895" spans="1:7" x14ac:dyDescent="0.35">
      <c r="A2895" t="str">
        <f>"2016-08-25"</f>
        <v>2016-08-25</v>
      </c>
      <c r="B2895" t="str">
        <f>"40.9633"</f>
        <v>40.9633</v>
      </c>
      <c r="C2895">
        <v>2893</v>
      </c>
      <c r="D2895" s="7">
        <v>40.963299999999997</v>
      </c>
      <c r="E2895" s="7">
        <f t="shared" si="90"/>
        <v>118506.82689999999</v>
      </c>
      <c r="F2895" s="7">
        <f t="shared" si="91"/>
        <v>8369449</v>
      </c>
      <c r="G2895" s="7"/>
    </row>
    <row r="2896" spans="1:7" x14ac:dyDescent="0.35">
      <c r="A2896" t="str">
        <f>"2016-08-26"</f>
        <v>2016-08-26</v>
      </c>
      <c r="B2896" t="str">
        <f>"41.3225"</f>
        <v>41.3225</v>
      </c>
      <c r="C2896">
        <v>2894</v>
      </c>
      <c r="D2896" s="7">
        <v>41.322499999999998</v>
      </c>
      <c r="E2896" s="7">
        <f t="shared" si="90"/>
        <v>119587.31499999999</v>
      </c>
      <c r="F2896" s="7">
        <f t="shared" si="91"/>
        <v>8375236</v>
      </c>
      <c r="G2896" s="7"/>
    </row>
    <row r="2897" spans="1:7" x14ac:dyDescent="0.35">
      <c r="A2897" t="str">
        <f>"2016-08-29"</f>
        <v>2016-08-29</v>
      </c>
      <c r="B2897" t="str">
        <f>"41.0772"</f>
        <v>41.0772</v>
      </c>
      <c r="C2897">
        <v>2895</v>
      </c>
      <c r="D2897" s="7">
        <v>41.077199999999998</v>
      </c>
      <c r="E2897" s="7">
        <f t="shared" si="90"/>
        <v>118918.49399999999</v>
      </c>
      <c r="F2897" s="7">
        <f t="shared" si="91"/>
        <v>8381025</v>
      </c>
      <c r="G2897" s="7"/>
    </row>
    <row r="2898" spans="1:7" x14ac:dyDescent="0.35">
      <c r="A2898" t="str">
        <f>"2016-08-30"</f>
        <v>2016-08-30</v>
      </c>
      <c r="B2898" t="str">
        <f>"41.466"</f>
        <v>41.466</v>
      </c>
      <c r="C2898">
        <v>2896</v>
      </c>
      <c r="D2898" s="7">
        <v>41.466000000000001</v>
      </c>
      <c r="E2898" s="7">
        <f t="shared" si="90"/>
        <v>120085.53600000001</v>
      </c>
      <c r="F2898" s="7">
        <f t="shared" si="91"/>
        <v>8386816</v>
      </c>
      <c r="G2898" s="7"/>
    </row>
    <row r="2899" spans="1:7" x14ac:dyDescent="0.35">
      <c r="A2899" t="str">
        <f>"2016-08-31"</f>
        <v>2016-08-31</v>
      </c>
      <c r="B2899" t="str">
        <f>"41.442"</f>
        <v>41.442</v>
      </c>
      <c r="C2899">
        <v>2897</v>
      </c>
      <c r="D2899" s="7">
        <v>41.442</v>
      </c>
      <c r="E2899" s="7">
        <f t="shared" si="90"/>
        <v>120057.474</v>
      </c>
      <c r="F2899" s="7">
        <f t="shared" si="91"/>
        <v>8392609</v>
      </c>
      <c r="G2899" s="7"/>
    </row>
    <row r="2900" spans="1:7" x14ac:dyDescent="0.35">
      <c r="A2900" t="str">
        <f>"2016-09-01"</f>
        <v>2016-09-01</v>
      </c>
      <c r="B2900" t="str">
        <f>"41.2814"</f>
        <v>41.2814</v>
      </c>
      <c r="C2900">
        <v>2898</v>
      </c>
      <c r="D2900" s="7">
        <v>41.281399999999998</v>
      </c>
      <c r="E2900" s="7">
        <f t="shared" si="90"/>
        <v>119633.4972</v>
      </c>
      <c r="F2900" s="7">
        <f t="shared" si="91"/>
        <v>8398404</v>
      </c>
      <c r="G2900" s="7"/>
    </row>
    <row r="2901" spans="1:7" x14ac:dyDescent="0.35">
      <c r="A2901" t="str">
        <f>"2016-09-02"</f>
        <v>2016-09-02</v>
      </c>
      <c r="B2901" t="str">
        <f>"41.1559"</f>
        <v>41.1559</v>
      </c>
      <c r="C2901">
        <v>2899</v>
      </c>
      <c r="D2901" s="7">
        <v>41.155900000000003</v>
      </c>
      <c r="E2901" s="7">
        <f t="shared" si="90"/>
        <v>119310.9541</v>
      </c>
      <c r="F2901" s="7">
        <f t="shared" si="91"/>
        <v>8404201</v>
      </c>
      <c r="G2901" s="7"/>
    </row>
    <row r="2902" spans="1:7" x14ac:dyDescent="0.35">
      <c r="A2902" t="str">
        <f>"2016-09-06"</f>
        <v>2016-09-06</v>
      </c>
      <c r="B2902" t="str">
        <f>"40.5358"</f>
        <v>40.5358</v>
      </c>
      <c r="C2902">
        <v>2900</v>
      </c>
      <c r="D2902" s="7">
        <v>40.535800000000002</v>
      </c>
      <c r="E2902" s="7">
        <f t="shared" si="90"/>
        <v>117553.82</v>
      </c>
      <c r="F2902" s="7">
        <f t="shared" si="91"/>
        <v>8410000</v>
      </c>
      <c r="G2902" s="7"/>
    </row>
    <row r="2903" spans="1:7" x14ac:dyDescent="0.35">
      <c r="A2903" t="str">
        <f>"2016-09-07"</f>
        <v>2016-09-07</v>
      </c>
      <c r="B2903" t="str">
        <f>"40.7015"</f>
        <v>40.7015</v>
      </c>
      <c r="C2903">
        <v>2901</v>
      </c>
      <c r="D2903" s="7">
        <v>40.701500000000003</v>
      </c>
      <c r="E2903" s="7">
        <f t="shared" si="90"/>
        <v>118075.0515</v>
      </c>
      <c r="F2903" s="7">
        <f t="shared" si="91"/>
        <v>8415801</v>
      </c>
      <c r="G2903" s="7"/>
    </row>
    <row r="2904" spans="1:7" x14ac:dyDescent="0.35">
      <c r="A2904" t="str">
        <f>"2016-09-08"</f>
        <v>2016-09-08</v>
      </c>
      <c r="B2904" t="str">
        <f>"41.0018"</f>
        <v>41.0018</v>
      </c>
      <c r="C2904">
        <v>2902</v>
      </c>
      <c r="D2904" s="7">
        <v>41.001800000000003</v>
      </c>
      <c r="E2904" s="7">
        <f t="shared" si="90"/>
        <v>118987.22360000001</v>
      </c>
      <c r="F2904" s="7">
        <f t="shared" si="91"/>
        <v>8421604</v>
      </c>
      <c r="G2904" s="7"/>
    </row>
    <row r="2905" spans="1:7" x14ac:dyDescent="0.35">
      <c r="A2905" t="str">
        <f>"2016-09-09"</f>
        <v>2016-09-09</v>
      </c>
      <c r="B2905" t="str">
        <f>"41.8101"</f>
        <v>41.8101</v>
      </c>
      <c r="C2905">
        <v>2903</v>
      </c>
      <c r="D2905" s="7">
        <v>41.810099999999998</v>
      </c>
      <c r="E2905" s="7">
        <f t="shared" si="90"/>
        <v>121374.7203</v>
      </c>
      <c r="F2905" s="7">
        <f t="shared" si="91"/>
        <v>8427409</v>
      </c>
      <c r="G2905" s="7"/>
    </row>
    <row r="2906" spans="1:7" x14ac:dyDescent="0.35">
      <c r="A2906" t="str">
        <f>"2016-09-12"</f>
        <v>2016-09-12</v>
      </c>
      <c r="B2906" t="str">
        <f>"41.8825"</f>
        <v>41.8825</v>
      </c>
      <c r="C2906">
        <v>2904</v>
      </c>
      <c r="D2906" s="7">
        <v>41.8825</v>
      </c>
      <c r="E2906" s="7">
        <f t="shared" si="90"/>
        <v>121626.78</v>
      </c>
      <c r="F2906" s="7">
        <f t="shared" si="91"/>
        <v>8433216</v>
      </c>
      <c r="G2906" s="7"/>
    </row>
    <row r="2907" spans="1:7" x14ac:dyDescent="0.35">
      <c r="A2907" t="str">
        <f>"2016-09-13"</f>
        <v>2016-09-13</v>
      </c>
      <c r="B2907" t="str">
        <f>"41.9291"</f>
        <v>41.9291</v>
      </c>
      <c r="C2907">
        <v>2905</v>
      </c>
      <c r="D2907" s="7">
        <v>41.929099999999998</v>
      </c>
      <c r="E2907" s="7">
        <f t="shared" si="90"/>
        <v>121804.0355</v>
      </c>
      <c r="F2907" s="7">
        <f t="shared" si="91"/>
        <v>8439025</v>
      </c>
      <c r="G2907" s="7"/>
    </row>
    <row r="2908" spans="1:7" x14ac:dyDescent="0.35">
      <c r="A2908" t="str">
        <f>"2016-09-14"</f>
        <v>2016-09-14</v>
      </c>
      <c r="B2908" t="str">
        <f>"41.6806"</f>
        <v>41.6806</v>
      </c>
      <c r="C2908">
        <v>2906</v>
      </c>
      <c r="D2908" s="7">
        <v>41.680599999999998</v>
      </c>
      <c r="E2908" s="7">
        <f t="shared" si="90"/>
        <v>121123.82359999999</v>
      </c>
      <c r="F2908" s="7">
        <f t="shared" si="91"/>
        <v>8444836</v>
      </c>
      <c r="G2908" s="7"/>
    </row>
    <row r="2909" spans="1:7" x14ac:dyDescent="0.35">
      <c r="A2909" t="str">
        <f>"2016-09-15"</f>
        <v>2016-09-15</v>
      </c>
      <c r="B2909" t="str">
        <f>"41.9661"</f>
        <v>41.9661</v>
      </c>
      <c r="C2909">
        <v>2907</v>
      </c>
      <c r="D2909" s="7">
        <v>41.966099999999997</v>
      </c>
      <c r="E2909" s="7">
        <f t="shared" si="90"/>
        <v>121995.45269999999</v>
      </c>
      <c r="F2909" s="7">
        <f t="shared" si="91"/>
        <v>8450649</v>
      </c>
      <c r="G2909" s="7"/>
    </row>
    <row r="2910" spans="1:7" x14ac:dyDescent="0.35">
      <c r="A2910" t="str">
        <f>"2016-09-16"</f>
        <v>2016-09-16</v>
      </c>
      <c r="B2910" t="str">
        <f>"41.1967"</f>
        <v>41.1967</v>
      </c>
      <c r="C2910">
        <v>2908</v>
      </c>
      <c r="D2910" s="7">
        <v>41.1967</v>
      </c>
      <c r="E2910" s="7">
        <f t="shared" si="90"/>
        <v>119800.0036</v>
      </c>
      <c r="F2910" s="7">
        <f t="shared" si="91"/>
        <v>8456464</v>
      </c>
      <c r="G2910" s="7"/>
    </row>
    <row r="2911" spans="1:7" x14ac:dyDescent="0.35">
      <c r="A2911" t="str">
        <f>"2016-09-19"</f>
        <v>2016-09-19</v>
      </c>
      <c r="B2911" t="str">
        <f>"41.1125"</f>
        <v>41.1125</v>
      </c>
      <c r="C2911">
        <v>2909</v>
      </c>
      <c r="D2911" s="7">
        <v>41.112499999999997</v>
      </c>
      <c r="E2911" s="7">
        <f t="shared" si="90"/>
        <v>119596.2625</v>
      </c>
      <c r="F2911" s="7">
        <f t="shared" si="91"/>
        <v>8462281</v>
      </c>
      <c r="G2911" s="7"/>
    </row>
    <row r="2912" spans="1:7" x14ac:dyDescent="0.35">
      <c r="A2912" t="str">
        <f>"2016-09-20"</f>
        <v>2016-09-20</v>
      </c>
      <c r="B2912" t="str">
        <f>"41.219"</f>
        <v>41.219</v>
      </c>
      <c r="C2912">
        <v>2910</v>
      </c>
      <c r="D2912" s="7">
        <v>41.219000000000001</v>
      </c>
      <c r="E2912" s="7">
        <f t="shared" si="90"/>
        <v>119947.29000000001</v>
      </c>
      <c r="F2912" s="7">
        <f t="shared" si="91"/>
        <v>8468100</v>
      </c>
      <c r="G2912" s="7"/>
    </row>
    <row r="2913" spans="1:7" x14ac:dyDescent="0.35">
      <c r="A2913" t="str">
        <f>"2016-09-21"</f>
        <v>2016-09-21</v>
      </c>
      <c r="B2913" t="str">
        <f>"40.9533"</f>
        <v>40.9533</v>
      </c>
      <c r="C2913">
        <v>2911</v>
      </c>
      <c r="D2913" s="7">
        <v>40.953299999999999</v>
      </c>
      <c r="E2913" s="7">
        <f t="shared" si="90"/>
        <v>119215.0563</v>
      </c>
      <c r="F2913" s="7">
        <f t="shared" si="91"/>
        <v>8473921</v>
      </c>
      <c r="G2913" s="7"/>
    </row>
    <row r="2914" spans="1:7" x14ac:dyDescent="0.35">
      <c r="A2914" t="str">
        <f>"2016-09-22"</f>
        <v>2016-09-22</v>
      </c>
      <c r="B2914" t="str">
        <f>"41.7889"</f>
        <v>41.7889</v>
      </c>
      <c r="C2914">
        <v>2912</v>
      </c>
      <c r="D2914" s="7">
        <v>41.788899999999998</v>
      </c>
      <c r="E2914" s="7">
        <f t="shared" si="90"/>
        <v>121689.27679999999</v>
      </c>
      <c r="F2914" s="7">
        <f t="shared" si="91"/>
        <v>8479744</v>
      </c>
      <c r="G2914" s="7"/>
    </row>
    <row r="2915" spans="1:7" x14ac:dyDescent="0.35">
      <c r="A2915" t="str">
        <f>"2016-09-23"</f>
        <v>2016-09-23</v>
      </c>
      <c r="B2915" t="str">
        <f>"42.2219"</f>
        <v>42.2219</v>
      </c>
      <c r="C2915">
        <v>2913</v>
      </c>
      <c r="D2915" s="7">
        <v>42.221899999999998</v>
      </c>
      <c r="E2915" s="7">
        <f t="shared" si="90"/>
        <v>122992.39469999999</v>
      </c>
      <c r="F2915" s="7">
        <f t="shared" si="91"/>
        <v>8485569</v>
      </c>
      <c r="G2915" s="7"/>
    </row>
    <row r="2916" spans="1:7" x14ac:dyDescent="0.35">
      <c r="A2916" t="str">
        <f>"2016-09-26"</f>
        <v>2016-09-26</v>
      </c>
      <c r="B2916" t="str">
        <f>"39.7771"</f>
        <v>39.7771</v>
      </c>
      <c r="C2916">
        <v>2914</v>
      </c>
      <c r="D2916" s="7">
        <v>39.777099999999997</v>
      </c>
      <c r="E2916" s="7">
        <f t="shared" si="90"/>
        <v>115910.46939999999</v>
      </c>
      <c r="F2916" s="7">
        <f t="shared" si="91"/>
        <v>8491396</v>
      </c>
      <c r="G2916" s="7"/>
    </row>
    <row r="2917" spans="1:7" x14ac:dyDescent="0.35">
      <c r="A2917" t="str">
        <f>"2016-09-27"</f>
        <v>2016-09-27</v>
      </c>
      <c r="B2917" t="str">
        <f>"40.3796"</f>
        <v>40.3796</v>
      </c>
      <c r="C2917">
        <v>2915</v>
      </c>
      <c r="D2917" s="7">
        <v>40.379600000000003</v>
      </c>
      <c r="E2917" s="7">
        <f t="shared" si="90"/>
        <v>117706.53400000001</v>
      </c>
      <c r="F2917" s="7">
        <f t="shared" si="91"/>
        <v>8497225</v>
      </c>
      <c r="G2917" s="7"/>
    </row>
    <row r="2918" spans="1:7" x14ac:dyDescent="0.35">
      <c r="A2918" t="str">
        <f>"2016-09-28"</f>
        <v>2016-09-28</v>
      </c>
      <c r="B2918" t="str">
        <f>"40.9123"</f>
        <v>40.9123</v>
      </c>
      <c r="C2918">
        <v>2916</v>
      </c>
      <c r="D2918" s="7">
        <v>40.912300000000002</v>
      </c>
      <c r="E2918" s="7">
        <f t="shared" si="90"/>
        <v>119300.26680000001</v>
      </c>
      <c r="F2918" s="7">
        <f t="shared" si="91"/>
        <v>8503056</v>
      </c>
      <c r="G2918" s="7"/>
    </row>
    <row r="2919" spans="1:7" x14ac:dyDescent="0.35">
      <c r="A2919" t="str">
        <f>"2016-09-29"</f>
        <v>2016-09-29</v>
      </c>
      <c r="B2919" t="str">
        <f>"40.7757"</f>
        <v>40.7757</v>
      </c>
      <c r="C2919">
        <v>2917</v>
      </c>
      <c r="D2919" s="7">
        <v>40.775700000000001</v>
      </c>
      <c r="E2919" s="7">
        <f t="shared" si="90"/>
        <v>118942.7169</v>
      </c>
      <c r="F2919" s="7">
        <f t="shared" si="91"/>
        <v>8508889</v>
      </c>
      <c r="G2919" s="7"/>
    </row>
    <row r="2920" spans="1:7" x14ac:dyDescent="0.35">
      <c r="A2920" t="str">
        <f>"2016-09-30"</f>
        <v>2016-09-30</v>
      </c>
      <c r="B2920" t="str">
        <f>"40.6172"</f>
        <v>40.6172</v>
      </c>
      <c r="C2920">
        <v>2918</v>
      </c>
      <c r="D2920" s="7">
        <v>40.617199999999997</v>
      </c>
      <c r="E2920" s="7">
        <f t="shared" si="90"/>
        <v>118520.98959999999</v>
      </c>
      <c r="F2920" s="7">
        <f t="shared" si="91"/>
        <v>8514724</v>
      </c>
      <c r="G2920" s="7"/>
    </row>
    <row r="2921" spans="1:7" x14ac:dyDescent="0.35">
      <c r="A2921" t="str">
        <f>"2016-10-03"</f>
        <v>2016-10-03</v>
      </c>
      <c r="B2921" t="str">
        <f>"40.7688"</f>
        <v>40.7688</v>
      </c>
      <c r="C2921">
        <v>2919</v>
      </c>
      <c r="D2921" s="7">
        <v>40.768799999999999</v>
      </c>
      <c r="E2921" s="7">
        <f t="shared" si="90"/>
        <v>119004.1272</v>
      </c>
      <c r="F2921" s="7">
        <f t="shared" si="91"/>
        <v>8520561</v>
      </c>
      <c r="G2921" s="7"/>
    </row>
    <row r="2922" spans="1:7" x14ac:dyDescent="0.35">
      <c r="A2922" t="str">
        <f>"2016-10-04"</f>
        <v>2016-10-04</v>
      </c>
      <c r="B2922" t="str">
        <f>"41.8106"</f>
        <v>41.8106</v>
      </c>
      <c r="C2922">
        <v>2920</v>
      </c>
      <c r="D2922" s="7">
        <v>41.810600000000001</v>
      </c>
      <c r="E2922" s="7">
        <f t="shared" si="90"/>
        <v>122086.952</v>
      </c>
      <c r="F2922" s="7">
        <f t="shared" si="91"/>
        <v>8526400</v>
      </c>
      <c r="G2922" s="7"/>
    </row>
    <row r="2923" spans="1:7" x14ac:dyDescent="0.35">
      <c r="A2923" t="str">
        <f>"2016-10-05"</f>
        <v>2016-10-05</v>
      </c>
      <c r="B2923" t="str">
        <f>"43.0087"</f>
        <v>43.0087</v>
      </c>
      <c r="C2923">
        <v>2921</v>
      </c>
      <c r="D2923" s="7">
        <v>43.008699999999997</v>
      </c>
      <c r="E2923" s="7">
        <f t="shared" si="90"/>
        <v>125628.41269999999</v>
      </c>
      <c r="F2923" s="7">
        <f t="shared" si="91"/>
        <v>8532241</v>
      </c>
      <c r="G2923" s="7"/>
    </row>
    <row r="2924" spans="1:7" x14ac:dyDescent="0.35">
      <c r="A2924" t="str">
        <f>"2016-10-06"</f>
        <v>2016-10-06</v>
      </c>
      <c r="B2924" t="str">
        <f>"43.3045"</f>
        <v>43.3045</v>
      </c>
      <c r="C2924">
        <v>2922</v>
      </c>
      <c r="D2924" s="7">
        <v>43.304499999999997</v>
      </c>
      <c r="E2924" s="7">
        <f t="shared" si="90"/>
        <v>126535.749</v>
      </c>
      <c r="F2924" s="7">
        <f t="shared" si="91"/>
        <v>8538084</v>
      </c>
      <c r="G2924" s="7"/>
    </row>
    <row r="2925" spans="1:7" x14ac:dyDescent="0.35">
      <c r="A2925" t="str">
        <f>"2016-10-07"</f>
        <v>2016-10-07</v>
      </c>
      <c r="B2925" t="str">
        <f>"43.1426"</f>
        <v>43.1426</v>
      </c>
      <c r="C2925">
        <v>2923</v>
      </c>
      <c r="D2925" s="7">
        <v>43.142600000000002</v>
      </c>
      <c r="E2925" s="7">
        <f t="shared" si="90"/>
        <v>126105.8198</v>
      </c>
      <c r="F2925" s="7">
        <f t="shared" si="91"/>
        <v>8543929</v>
      </c>
      <c r="G2925" s="7"/>
    </row>
    <row r="2926" spans="1:7" x14ac:dyDescent="0.35">
      <c r="A2926" t="str">
        <f>"2016-10-11"</f>
        <v>2016-10-11</v>
      </c>
      <c r="B2926" t="str">
        <f>"43.3483"</f>
        <v>43.3483</v>
      </c>
      <c r="C2926">
        <v>2924</v>
      </c>
      <c r="D2926" s="7">
        <v>43.348300000000002</v>
      </c>
      <c r="E2926" s="7">
        <f t="shared" si="90"/>
        <v>126750.4292</v>
      </c>
      <c r="F2926" s="7">
        <f t="shared" si="91"/>
        <v>8549776</v>
      </c>
      <c r="G2926" s="7"/>
    </row>
    <row r="2927" spans="1:7" x14ac:dyDescent="0.35">
      <c r="A2927" t="str">
        <f>"2016-10-12"</f>
        <v>2016-10-12</v>
      </c>
      <c r="B2927" t="str">
        <f>"43.8918"</f>
        <v>43.8918</v>
      </c>
      <c r="C2927">
        <v>2925</v>
      </c>
      <c r="D2927" s="7">
        <v>43.891800000000003</v>
      </c>
      <c r="E2927" s="7">
        <f t="shared" si="90"/>
        <v>128383.51500000001</v>
      </c>
      <c r="F2927" s="7">
        <f t="shared" si="91"/>
        <v>8555625</v>
      </c>
      <c r="G2927" s="7"/>
    </row>
    <row r="2928" spans="1:7" x14ac:dyDescent="0.35">
      <c r="A2928" t="str">
        <f>"2016-10-13"</f>
        <v>2016-10-13</v>
      </c>
      <c r="B2928" t="str">
        <f>"43.6168"</f>
        <v>43.6168</v>
      </c>
      <c r="C2928">
        <v>2926</v>
      </c>
      <c r="D2928" s="7">
        <v>43.616799999999998</v>
      </c>
      <c r="E2928" s="7">
        <f t="shared" si="90"/>
        <v>127622.75679999999</v>
      </c>
      <c r="F2928" s="7">
        <f t="shared" si="91"/>
        <v>8561476</v>
      </c>
      <c r="G2928" s="7"/>
    </row>
    <row r="2929" spans="1:7" x14ac:dyDescent="0.35">
      <c r="A2929" t="str">
        <f>"2016-10-14"</f>
        <v>2016-10-14</v>
      </c>
      <c r="B2929" t="str">
        <f>"43.6516"</f>
        <v>43.6516</v>
      </c>
      <c r="C2929">
        <v>2927</v>
      </c>
      <c r="D2929" s="7">
        <v>43.651600000000002</v>
      </c>
      <c r="E2929" s="7">
        <f t="shared" si="90"/>
        <v>127768.2332</v>
      </c>
      <c r="F2929" s="7">
        <f t="shared" si="91"/>
        <v>8567329</v>
      </c>
      <c r="G2929" s="7"/>
    </row>
    <row r="2930" spans="1:7" x14ac:dyDescent="0.35">
      <c r="A2930" t="str">
        <f>"2016-10-17"</f>
        <v>2016-10-17</v>
      </c>
      <c r="B2930" t="str">
        <f>"44.1846"</f>
        <v>44.1846</v>
      </c>
      <c r="C2930">
        <v>2928</v>
      </c>
      <c r="D2930" s="7">
        <v>44.184600000000003</v>
      </c>
      <c r="E2930" s="7">
        <f t="shared" si="90"/>
        <v>129372.50880000001</v>
      </c>
      <c r="F2930" s="7">
        <f t="shared" si="91"/>
        <v>8573184</v>
      </c>
      <c r="G2930" s="7"/>
    </row>
    <row r="2931" spans="1:7" x14ac:dyDescent="0.35">
      <c r="A2931" t="str">
        <f>"2016-10-18"</f>
        <v>2016-10-18</v>
      </c>
      <c r="B2931" t="str">
        <f>"44.2337"</f>
        <v>44.2337</v>
      </c>
      <c r="C2931">
        <v>2929</v>
      </c>
      <c r="D2931" s="7">
        <v>44.233699999999999</v>
      </c>
      <c r="E2931" s="7">
        <f t="shared" si="90"/>
        <v>129560.5073</v>
      </c>
      <c r="F2931" s="7">
        <f t="shared" si="91"/>
        <v>8579041</v>
      </c>
      <c r="G2931" s="7"/>
    </row>
    <row r="2932" spans="1:7" x14ac:dyDescent="0.35">
      <c r="A2932" t="str">
        <f>"2016-10-19"</f>
        <v>2016-10-19</v>
      </c>
      <c r="B2932" t="str">
        <f>"44.3145"</f>
        <v>44.3145</v>
      </c>
      <c r="C2932">
        <v>2930</v>
      </c>
      <c r="D2932" s="7">
        <v>44.314500000000002</v>
      </c>
      <c r="E2932" s="7">
        <f t="shared" si="90"/>
        <v>129841.485</v>
      </c>
      <c r="F2932" s="7">
        <f t="shared" si="91"/>
        <v>8584900</v>
      </c>
      <c r="G2932" s="7"/>
    </row>
    <row r="2933" spans="1:7" x14ac:dyDescent="0.35">
      <c r="A2933" t="str">
        <f>"2016-10-20"</f>
        <v>2016-10-20</v>
      </c>
      <c r="B2933" t="str">
        <f>"45.3045"</f>
        <v>45.3045</v>
      </c>
      <c r="C2933">
        <v>2931</v>
      </c>
      <c r="D2933" s="7">
        <v>45.304499999999997</v>
      </c>
      <c r="E2933" s="7">
        <f t="shared" si="90"/>
        <v>132787.4895</v>
      </c>
      <c r="F2933" s="7">
        <f t="shared" si="91"/>
        <v>8590761</v>
      </c>
      <c r="G2933" s="7"/>
    </row>
    <row r="2934" spans="1:7" x14ac:dyDescent="0.35">
      <c r="A2934" t="str">
        <f>"2016-10-21"</f>
        <v>2016-10-21</v>
      </c>
      <c r="B2934" t="str">
        <f>"44.809"</f>
        <v>44.809</v>
      </c>
      <c r="C2934">
        <v>2932</v>
      </c>
      <c r="D2934" s="7">
        <v>44.808999999999997</v>
      </c>
      <c r="E2934" s="7">
        <f t="shared" si="90"/>
        <v>131379.98799999998</v>
      </c>
      <c r="F2934" s="7">
        <f t="shared" si="91"/>
        <v>8596624</v>
      </c>
      <c r="G2934" s="7"/>
    </row>
    <row r="2935" spans="1:7" x14ac:dyDescent="0.35">
      <c r="A2935" t="str">
        <f>"2016-10-24"</f>
        <v>2016-10-24</v>
      </c>
      <c r="B2935" t="str">
        <f>"45.6919"</f>
        <v>45.6919</v>
      </c>
      <c r="C2935">
        <v>2933</v>
      </c>
      <c r="D2935" s="7">
        <v>45.691899999999997</v>
      </c>
      <c r="E2935" s="7">
        <f t="shared" si="90"/>
        <v>134014.34269999998</v>
      </c>
      <c r="F2935" s="7">
        <f t="shared" si="91"/>
        <v>8602489</v>
      </c>
      <c r="G2935" s="7"/>
    </row>
    <row r="2936" spans="1:7" x14ac:dyDescent="0.35">
      <c r="A2936" t="str">
        <f>"2016-10-25"</f>
        <v>2016-10-25</v>
      </c>
      <c r="B2936" t="str">
        <f>"44.5955"</f>
        <v>44.5955</v>
      </c>
      <c r="C2936">
        <v>2934</v>
      </c>
      <c r="D2936" s="7">
        <v>44.595500000000001</v>
      </c>
      <c r="E2936" s="7">
        <f t="shared" si="90"/>
        <v>130843.197</v>
      </c>
      <c r="F2936" s="7">
        <f t="shared" si="91"/>
        <v>8608356</v>
      </c>
      <c r="G2936" s="7"/>
    </row>
    <row r="2937" spans="1:7" x14ac:dyDescent="0.35">
      <c r="A2937" t="str">
        <f>"2016-10-26"</f>
        <v>2016-10-26</v>
      </c>
      <c r="B2937" t="str">
        <f>"44.7747"</f>
        <v>44.7747</v>
      </c>
      <c r="C2937">
        <v>2935</v>
      </c>
      <c r="D2937" s="7">
        <v>44.774700000000003</v>
      </c>
      <c r="E2937" s="7">
        <f t="shared" si="90"/>
        <v>131413.7445</v>
      </c>
      <c r="F2937" s="7">
        <f t="shared" si="91"/>
        <v>8614225</v>
      </c>
      <c r="G2937" s="7"/>
    </row>
    <row r="2938" spans="1:7" x14ac:dyDescent="0.35">
      <c r="A2938" t="str">
        <f>"2016-10-27"</f>
        <v>2016-10-27</v>
      </c>
      <c r="B2938" t="str">
        <f>"43.8816"</f>
        <v>43.8816</v>
      </c>
      <c r="C2938">
        <v>2936</v>
      </c>
      <c r="D2938" s="7">
        <v>43.881599999999999</v>
      </c>
      <c r="E2938" s="7">
        <f t="shared" si="90"/>
        <v>128836.37759999999</v>
      </c>
      <c r="F2938" s="7">
        <f t="shared" si="91"/>
        <v>8620096</v>
      </c>
      <c r="G2938" s="7"/>
    </row>
    <row r="2939" spans="1:7" x14ac:dyDescent="0.35">
      <c r="A2939" t="str">
        <f>"2016-10-28"</f>
        <v>2016-10-28</v>
      </c>
      <c r="B2939" t="str">
        <f>"42.872"</f>
        <v>42.872</v>
      </c>
      <c r="C2939">
        <v>2937</v>
      </c>
      <c r="D2939" s="7">
        <v>42.872</v>
      </c>
      <c r="E2939" s="7">
        <f t="shared" si="90"/>
        <v>125915.064</v>
      </c>
      <c r="F2939" s="7">
        <f t="shared" si="91"/>
        <v>8625969</v>
      </c>
      <c r="G2939" s="7"/>
    </row>
    <row r="2940" spans="1:7" x14ac:dyDescent="0.35">
      <c r="A2940" t="str">
        <f>"2016-10-31"</f>
        <v>2016-10-31</v>
      </c>
      <c r="B2940" t="str">
        <f>"42.8398"</f>
        <v>42.8398</v>
      </c>
      <c r="C2940">
        <v>2938</v>
      </c>
      <c r="D2940" s="7">
        <v>42.839799999999997</v>
      </c>
      <c r="E2940" s="7">
        <f t="shared" si="90"/>
        <v>125863.33239999998</v>
      </c>
      <c r="F2940" s="7">
        <f t="shared" si="91"/>
        <v>8631844</v>
      </c>
      <c r="G2940" s="7"/>
    </row>
    <row r="2941" spans="1:7" x14ac:dyDescent="0.35">
      <c r="A2941" t="str">
        <f>"2016-11-01"</f>
        <v>2016-11-01</v>
      </c>
      <c r="B2941" t="str">
        <f>"41.9707"</f>
        <v>41.9707</v>
      </c>
      <c r="C2941">
        <v>2939</v>
      </c>
      <c r="D2941" s="7">
        <v>41.970700000000001</v>
      </c>
      <c r="E2941" s="7">
        <f t="shared" si="90"/>
        <v>123351.8873</v>
      </c>
      <c r="F2941" s="7">
        <f t="shared" si="91"/>
        <v>8637721</v>
      </c>
      <c r="G2941" s="7"/>
    </row>
    <row r="2942" spans="1:7" x14ac:dyDescent="0.35">
      <c r="A2942" t="str">
        <f>"2016-11-02"</f>
        <v>2016-11-02</v>
      </c>
      <c r="B2942" t="str">
        <f>"41.2832"</f>
        <v>41.2832</v>
      </c>
      <c r="C2942">
        <v>2940</v>
      </c>
      <c r="D2942" s="7">
        <v>41.283200000000001</v>
      </c>
      <c r="E2942" s="7">
        <f t="shared" si="90"/>
        <v>121372.60800000001</v>
      </c>
      <c r="F2942" s="7">
        <f t="shared" si="91"/>
        <v>8643600</v>
      </c>
      <c r="G2942" s="7"/>
    </row>
    <row r="2943" spans="1:7" x14ac:dyDescent="0.35">
      <c r="A2943" t="str">
        <f>"2016-11-03"</f>
        <v>2016-11-03</v>
      </c>
      <c r="B2943" t="str">
        <f>"40.9742"</f>
        <v>40.9742</v>
      </c>
      <c r="C2943">
        <v>2941</v>
      </c>
      <c r="D2943" s="7">
        <v>40.974200000000003</v>
      </c>
      <c r="E2943" s="7">
        <f t="shared" si="90"/>
        <v>120505.12220000001</v>
      </c>
      <c r="F2943" s="7">
        <f t="shared" si="91"/>
        <v>8649481</v>
      </c>
      <c r="G2943" s="7"/>
    </row>
    <row r="2944" spans="1:7" x14ac:dyDescent="0.35">
      <c r="A2944" t="str">
        <f>"2016-11-04"</f>
        <v>2016-11-04</v>
      </c>
      <c r="B2944" t="str">
        <f>"38.9185"</f>
        <v>38.9185</v>
      </c>
      <c r="C2944">
        <v>2942</v>
      </c>
      <c r="D2944" s="7">
        <v>38.918500000000002</v>
      </c>
      <c r="E2944" s="7">
        <f t="shared" si="90"/>
        <v>114498.227</v>
      </c>
      <c r="F2944" s="7">
        <f t="shared" si="91"/>
        <v>8655364</v>
      </c>
      <c r="G2944" s="7"/>
    </row>
    <row r="2945" spans="1:7" x14ac:dyDescent="0.35">
      <c r="A2945" t="str">
        <f>"2016-11-07"</f>
        <v>2016-11-07</v>
      </c>
      <c r="B2945" t="str">
        <f>"40.9296"</f>
        <v>40.9296</v>
      </c>
      <c r="C2945">
        <v>2943</v>
      </c>
      <c r="D2945" s="7">
        <v>40.929600000000001</v>
      </c>
      <c r="E2945" s="7">
        <f t="shared" si="90"/>
        <v>120455.8128</v>
      </c>
      <c r="F2945" s="7">
        <f t="shared" si="91"/>
        <v>8661249</v>
      </c>
      <c r="G2945" s="7"/>
    </row>
    <row r="2946" spans="1:7" x14ac:dyDescent="0.35">
      <c r="A2946" t="str">
        <f>"2016-11-08"</f>
        <v>2016-11-08</v>
      </c>
      <c r="B2946" t="str">
        <f>"40.7144"</f>
        <v>40.7144</v>
      </c>
      <c r="C2946">
        <v>2944</v>
      </c>
      <c r="D2946" s="7">
        <v>40.714399999999998</v>
      </c>
      <c r="E2946" s="7">
        <f t="shared" si="90"/>
        <v>119863.1936</v>
      </c>
      <c r="F2946" s="7">
        <f t="shared" si="91"/>
        <v>8667136</v>
      </c>
      <c r="G2946" s="7"/>
    </row>
    <row r="2947" spans="1:7" x14ac:dyDescent="0.35">
      <c r="A2947" t="str">
        <f>"2016-11-09"</f>
        <v>2016-11-09</v>
      </c>
      <c r="B2947" t="str">
        <f>"41.348"</f>
        <v>41.348</v>
      </c>
      <c r="C2947">
        <v>2945</v>
      </c>
      <c r="D2947" s="7">
        <v>41.347999999999999</v>
      </c>
      <c r="E2947" s="7">
        <f t="shared" si="90"/>
        <v>121769.86</v>
      </c>
      <c r="F2947" s="7">
        <f t="shared" si="91"/>
        <v>8673025</v>
      </c>
      <c r="G2947" s="7"/>
    </row>
    <row r="2948" spans="1:7" x14ac:dyDescent="0.35">
      <c r="A2948" t="str">
        <f>"2016-11-10"</f>
        <v>2016-11-10</v>
      </c>
      <c r="B2948" t="str">
        <f>"40.209"</f>
        <v>40.209</v>
      </c>
      <c r="C2948">
        <v>2946</v>
      </c>
      <c r="D2948" s="7">
        <v>40.209000000000003</v>
      </c>
      <c r="E2948" s="7">
        <f t="shared" ref="E2948:E3011" si="92">C2948*D2948</f>
        <v>118455.71400000001</v>
      </c>
      <c r="F2948" s="7">
        <f t="shared" ref="F2948:F3011" si="93">C2948*C2948</f>
        <v>8678916</v>
      </c>
      <c r="G2948" s="7"/>
    </row>
    <row r="2949" spans="1:7" x14ac:dyDescent="0.35">
      <c r="A2949" t="str">
        <f>"2016-11-14"</f>
        <v>2016-11-14</v>
      </c>
      <c r="B2949" t="str">
        <f>"40.7732"</f>
        <v>40.7732</v>
      </c>
      <c r="C2949">
        <v>2947</v>
      </c>
      <c r="D2949" s="7">
        <v>40.773200000000003</v>
      </c>
      <c r="E2949" s="7">
        <f t="shared" si="92"/>
        <v>120158.62040000001</v>
      </c>
      <c r="F2949" s="7">
        <f t="shared" si="93"/>
        <v>8684809</v>
      </c>
      <c r="G2949" s="7"/>
    </row>
    <row r="2950" spans="1:7" x14ac:dyDescent="0.35">
      <c r="A2950" t="str">
        <f>"2016-11-15"</f>
        <v>2016-11-15</v>
      </c>
      <c r="B2950" t="str">
        <f>"40.4005"</f>
        <v>40.4005</v>
      </c>
      <c r="C2950">
        <v>2948</v>
      </c>
      <c r="D2950" s="7">
        <v>40.400500000000001</v>
      </c>
      <c r="E2950" s="7">
        <f t="shared" si="92"/>
        <v>119100.674</v>
      </c>
      <c r="F2950" s="7">
        <f t="shared" si="93"/>
        <v>8690704</v>
      </c>
      <c r="G2950" s="7"/>
    </row>
    <row r="2951" spans="1:7" x14ac:dyDescent="0.35">
      <c r="A2951" t="str">
        <f>"2016-11-16"</f>
        <v>2016-11-16</v>
      </c>
      <c r="B2951" t="str">
        <f>"39.9918"</f>
        <v>39.9918</v>
      </c>
      <c r="C2951">
        <v>2949</v>
      </c>
      <c r="D2951" s="7">
        <v>39.991799999999998</v>
      </c>
      <c r="E2951" s="7">
        <f t="shared" si="92"/>
        <v>117935.81819999999</v>
      </c>
      <c r="F2951" s="7">
        <f t="shared" si="93"/>
        <v>8696601</v>
      </c>
      <c r="G2951" s="7"/>
    </row>
    <row r="2952" spans="1:7" x14ac:dyDescent="0.35">
      <c r="A2952" t="str">
        <f>"2016-11-17"</f>
        <v>2016-11-17</v>
      </c>
      <c r="B2952" t="str">
        <f>"39.597"</f>
        <v>39.597</v>
      </c>
      <c r="C2952">
        <v>2950</v>
      </c>
      <c r="D2952" s="7">
        <v>39.597000000000001</v>
      </c>
      <c r="E2952" s="7">
        <f t="shared" si="92"/>
        <v>116811.15000000001</v>
      </c>
      <c r="F2952" s="7">
        <f t="shared" si="93"/>
        <v>8702500</v>
      </c>
      <c r="G2952" s="7"/>
    </row>
    <row r="2953" spans="1:7" x14ac:dyDescent="0.35">
      <c r="A2953" t="str">
        <f>"2016-11-18"</f>
        <v>2016-11-18</v>
      </c>
      <c r="B2953" t="str">
        <f>"39.3487"</f>
        <v>39.3487</v>
      </c>
      <c r="C2953">
        <v>2951</v>
      </c>
      <c r="D2953" s="7">
        <v>39.348700000000001</v>
      </c>
      <c r="E2953" s="7">
        <f t="shared" si="92"/>
        <v>116118.0137</v>
      </c>
      <c r="F2953" s="7">
        <f t="shared" si="93"/>
        <v>8708401</v>
      </c>
      <c r="G2953" s="7"/>
    </row>
    <row r="2954" spans="1:7" x14ac:dyDescent="0.35">
      <c r="A2954" t="str">
        <f>"2016-11-21"</f>
        <v>2016-11-21</v>
      </c>
      <c r="B2954" t="str">
        <f>"40.0652"</f>
        <v>40.0652</v>
      </c>
      <c r="C2954">
        <v>2952</v>
      </c>
      <c r="D2954" s="7">
        <v>40.065199999999997</v>
      </c>
      <c r="E2954" s="7">
        <f t="shared" si="92"/>
        <v>118272.47039999999</v>
      </c>
      <c r="F2954" s="7">
        <f t="shared" si="93"/>
        <v>8714304</v>
      </c>
      <c r="G2954" s="7"/>
    </row>
    <row r="2955" spans="1:7" x14ac:dyDescent="0.35">
      <c r="A2955" t="str">
        <f>"2016-11-22"</f>
        <v>2016-11-22</v>
      </c>
      <c r="B2955" t="str">
        <f>"39.9395"</f>
        <v>39.9395</v>
      </c>
      <c r="C2955">
        <v>2953</v>
      </c>
      <c r="D2955" s="7">
        <v>39.939500000000002</v>
      </c>
      <c r="E2955" s="7">
        <f t="shared" si="92"/>
        <v>117941.3435</v>
      </c>
      <c r="F2955" s="7">
        <f t="shared" si="93"/>
        <v>8720209</v>
      </c>
      <c r="G2955" s="7"/>
    </row>
    <row r="2956" spans="1:7" x14ac:dyDescent="0.35">
      <c r="A2956" t="str">
        <f>"2016-11-23"</f>
        <v>2016-11-23</v>
      </c>
      <c r="B2956" t="str">
        <f>"39.6289"</f>
        <v>39.6289</v>
      </c>
      <c r="C2956">
        <v>2954</v>
      </c>
      <c r="D2956" s="7">
        <v>39.628900000000002</v>
      </c>
      <c r="E2956" s="7">
        <f t="shared" si="92"/>
        <v>117063.7706</v>
      </c>
      <c r="F2956" s="7">
        <f t="shared" si="93"/>
        <v>8726116</v>
      </c>
      <c r="G2956" s="7"/>
    </row>
    <row r="2957" spans="1:7" x14ac:dyDescent="0.35">
      <c r="A2957" t="str">
        <f>"2016-11-25"</f>
        <v>2016-11-25</v>
      </c>
      <c r="B2957" t="str">
        <f>"38.4099"</f>
        <v>38.4099</v>
      </c>
      <c r="C2957">
        <v>2955</v>
      </c>
      <c r="D2957" s="7">
        <v>38.4099</v>
      </c>
      <c r="E2957" s="7">
        <f t="shared" si="92"/>
        <v>113501.2545</v>
      </c>
      <c r="F2957" s="7">
        <f t="shared" si="93"/>
        <v>8732025</v>
      </c>
      <c r="G2957" s="7"/>
    </row>
    <row r="2958" spans="1:7" x14ac:dyDescent="0.35">
      <c r="A2958" t="str">
        <f>"2016-11-28"</f>
        <v>2016-11-28</v>
      </c>
      <c r="B2958" t="str">
        <f>"38.1995"</f>
        <v>38.1995</v>
      </c>
      <c r="C2958">
        <v>2956</v>
      </c>
      <c r="D2958" s="7">
        <v>38.1995</v>
      </c>
      <c r="E2958" s="7">
        <f t="shared" si="92"/>
        <v>112917.72199999999</v>
      </c>
      <c r="F2958" s="7">
        <f t="shared" si="93"/>
        <v>8737936</v>
      </c>
      <c r="G2958" s="7"/>
    </row>
    <row r="2959" spans="1:7" x14ac:dyDescent="0.35">
      <c r="A2959" t="str">
        <f>"2016-11-29"</f>
        <v>2016-11-29</v>
      </c>
      <c r="B2959" t="str">
        <f>"38.0763"</f>
        <v>38.0763</v>
      </c>
      <c r="C2959">
        <v>2957</v>
      </c>
      <c r="D2959" s="7">
        <v>38.076300000000003</v>
      </c>
      <c r="E2959" s="7">
        <f t="shared" si="92"/>
        <v>112591.61910000001</v>
      </c>
      <c r="F2959" s="7">
        <f t="shared" si="93"/>
        <v>8743849</v>
      </c>
      <c r="G2959" s="7"/>
    </row>
    <row r="2960" spans="1:7" x14ac:dyDescent="0.35">
      <c r="A2960" t="str">
        <f>"2016-11-30"</f>
        <v>2016-11-30</v>
      </c>
      <c r="B2960" t="str">
        <f>"37.4795"</f>
        <v>37.4795</v>
      </c>
      <c r="C2960">
        <v>2958</v>
      </c>
      <c r="D2960" s="7">
        <v>37.479500000000002</v>
      </c>
      <c r="E2960" s="7">
        <f t="shared" si="92"/>
        <v>110864.361</v>
      </c>
      <c r="F2960" s="7">
        <f t="shared" si="93"/>
        <v>8749764</v>
      </c>
      <c r="G2960" s="7"/>
    </row>
    <row r="2961" spans="1:7" x14ac:dyDescent="0.35">
      <c r="A2961" t="str">
        <f>"2016-12-01"</f>
        <v>2016-12-01</v>
      </c>
      <c r="B2961" t="str">
        <f>"35.925"</f>
        <v>35.925</v>
      </c>
      <c r="C2961">
        <v>2959</v>
      </c>
      <c r="D2961" s="7">
        <v>35.924999999999997</v>
      </c>
      <c r="E2961" s="7">
        <f t="shared" si="92"/>
        <v>106302.075</v>
      </c>
      <c r="F2961" s="7">
        <f t="shared" si="93"/>
        <v>8755681</v>
      </c>
      <c r="G2961" s="7"/>
    </row>
    <row r="2962" spans="1:7" x14ac:dyDescent="0.35">
      <c r="A2962" t="str">
        <f>"2016-12-02"</f>
        <v>2016-12-02</v>
      </c>
      <c r="B2962" t="str">
        <f>"36.252"</f>
        <v>36.252</v>
      </c>
      <c r="C2962">
        <v>2960</v>
      </c>
      <c r="D2962" s="7">
        <v>36.252000000000002</v>
      </c>
      <c r="E2962" s="7">
        <f t="shared" si="92"/>
        <v>107305.92000000001</v>
      </c>
      <c r="F2962" s="7">
        <f t="shared" si="93"/>
        <v>8761600</v>
      </c>
      <c r="G2962" s="7"/>
    </row>
    <row r="2963" spans="1:7" x14ac:dyDescent="0.35">
      <c r="A2963" t="str">
        <f>"2016-12-05"</f>
        <v>2016-12-05</v>
      </c>
      <c r="B2963" t="str">
        <f>"35.2266"</f>
        <v>35.2266</v>
      </c>
      <c r="C2963">
        <v>2961</v>
      </c>
      <c r="D2963" s="7">
        <v>35.226599999999998</v>
      </c>
      <c r="E2963" s="7">
        <f t="shared" si="92"/>
        <v>104305.9626</v>
      </c>
      <c r="F2963" s="7">
        <f t="shared" si="93"/>
        <v>8767521</v>
      </c>
      <c r="G2963" s="7"/>
    </row>
    <row r="2964" spans="1:7" x14ac:dyDescent="0.35">
      <c r="A2964" t="str">
        <f>"2016-12-06"</f>
        <v>2016-12-06</v>
      </c>
      <c r="B2964" t="str">
        <f>"36.5672"</f>
        <v>36.5672</v>
      </c>
      <c r="C2964">
        <v>2962</v>
      </c>
      <c r="D2964" s="7">
        <v>36.5672</v>
      </c>
      <c r="E2964" s="7">
        <f t="shared" si="92"/>
        <v>108312.04639999999</v>
      </c>
      <c r="F2964" s="7">
        <f t="shared" si="93"/>
        <v>8773444</v>
      </c>
      <c r="G2964" s="7"/>
    </row>
    <row r="2965" spans="1:7" x14ac:dyDescent="0.35">
      <c r="A2965" t="str">
        <f>"2016-12-07"</f>
        <v>2016-12-07</v>
      </c>
      <c r="B2965" t="str">
        <f>"37.4035"</f>
        <v>37.4035</v>
      </c>
      <c r="C2965">
        <v>2963</v>
      </c>
      <c r="D2965" s="7">
        <v>37.403500000000001</v>
      </c>
      <c r="E2965" s="7">
        <f t="shared" si="92"/>
        <v>110826.5705</v>
      </c>
      <c r="F2965" s="7">
        <f t="shared" si="93"/>
        <v>8779369</v>
      </c>
      <c r="G2965" s="7"/>
    </row>
    <row r="2966" spans="1:7" x14ac:dyDescent="0.35">
      <c r="A2966" t="str">
        <f>"2016-12-08"</f>
        <v>2016-12-08</v>
      </c>
      <c r="B2966" t="str">
        <f>"37.9772"</f>
        <v>37.9772</v>
      </c>
      <c r="C2966">
        <v>2964</v>
      </c>
      <c r="D2966" s="7">
        <v>37.977200000000003</v>
      </c>
      <c r="E2966" s="7">
        <f t="shared" si="92"/>
        <v>112564.42080000001</v>
      </c>
      <c r="F2966" s="7">
        <f t="shared" si="93"/>
        <v>8785296</v>
      </c>
      <c r="G2966" s="7"/>
    </row>
    <row r="2967" spans="1:7" x14ac:dyDescent="0.35">
      <c r="A2967" t="str">
        <f>"2016-12-09"</f>
        <v>2016-12-09</v>
      </c>
      <c r="B2967" t="str">
        <f>"37.1661"</f>
        <v>37.1661</v>
      </c>
      <c r="C2967">
        <v>2965</v>
      </c>
      <c r="D2967" s="7">
        <v>37.1661</v>
      </c>
      <c r="E2967" s="7">
        <f t="shared" si="92"/>
        <v>110197.4865</v>
      </c>
      <c r="F2967" s="7">
        <f t="shared" si="93"/>
        <v>8791225</v>
      </c>
      <c r="G2967" s="7"/>
    </row>
    <row r="2968" spans="1:7" x14ac:dyDescent="0.35">
      <c r="A2968" t="str">
        <f>"2016-12-12"</f>
        <v>2016-12-12</v>
      </c>
      <c r="B2968" t="str">
        <f>"36.3177"</f>
        <v>36.3177</v>
      </c>
      <c r="C2968">
        <v>2966</v>
      </c>
      <c r="D2968" s="7">
        <v>36.317700000000002</v>
      </c>
      <c r="E2968" s="7">
        <f t="shared" si="92"/>
        <v>107718.2982</v>
      </c>
      <c r="F2968" s="7">
        <f t="shared" si="93"/>
        <v>8797156</v>
      </c>
      <c r="G2968" s="7"/>
    </row>
    <row r="2969" spans="1:7" x14ac:dyDescent="0.35">
      <c r="A2969" t="str">
        <f>"2016-12-13"</f>
        <v>2016-12-13</v>
      </c>
      <c r="B2969" t="str">
        <f>"37.2918"</f>
        <v>37.2918</v>
      </c>
      <c r="C2969">
        <v>2967</v>
      </c>
      <c r="D2969" s="7">
        <v>37.291800000000002</v>
      </c>
      <c r="E2969" s="7">
        <f t="shared" si="92"/>
        <v>110644.7706</v>
      </c>
      <c r="F2969" s="7">
        <f t="shared" si="93"/>
        <v>8803089</v>
      </c>
      <c r="G2969" s="7"/>
    </row>
    <row r="2970" spans="1:7" x14ac:dyDescent="0.35">
      <c r="A2970" t="str">
        <f>"2016-12-14"</f>
        <v>2016-12-14</v>
      </c>
      <c r="B2970" t="str">
        <f>"36.8813"</f>
        <v>36.8813</v>
      </c>
      <c r="C2970">
        <v>2968</v>
      </c>
      <c r="D2970" s="7">
        <v>36.881300000000003</v>
      </c>
      <c r="E2970" s="7">
        <f t="shared" si="92"/>
        <v>109463.69840000001</v>
      </c>
      <c r="F2970" s="7">
        <f t="shared" si="93"/>
        <v>8809024</v>
      </c>
      <c r="G2970" s="7"/>
    </row>
    <row r="2971" spans="1:7" x14ac:dyDescent="0.35">
      <c r="A2971" t="str">
        <f>"2016-12-15"</f>
        <v>2016-12-15</v>
      </c>
      <c r="B2971" t="str">
        <f>"38.7346"</f>
        <v>38.7346</v>
      </c>
      <c r="C2971">
        <v>2969</v>
      </c>
      <c r="D2971" s="7">
        <v>38.7346</v>
      </c>
      <c r="E2971" s="7">
        <f t="shared" si="92"/>
        <v>115003.02740000001</v>
      </c>
      <c r="F2971" s="7">
        <f t="shared" si="93"/>
        <v>8814961</v>
      </c>
      <c r="G2971" s="7"/>
    </row>
    <row r="2972" spans="1:7" x14ac:dyDescent="0.35">
      <c r="A2972" t="str">
        <f>"2016-12-16"</f>
        <v>2016-12-16</v>
      </c>
      <c r="B2972" t="str">
        <f>"38.5836"</f>
        <v>38.5836</v>
      </c>
      <c r="C2972">
        <v>2970</v>
      </c>
      <c r="D2972" s="7">
        <v>38.583599999999997</v>
      </c>
      <c r="E2972" s="7">
        <f t="shared" si="92"/>
        <v>114593.29199999999</v>
      </c>
      <c r="F2972" s="7">
        <f t="shared" si="93"/>
        <v>8820900</v>
      </c>
      <c r="G2972" s="7"/>
    </row>
    <row r="2973" spans="1:7" x14ac:dyDescent="0.35">
      <c r="A2973" t="str">
        <f>"2016-12-19"</f>
        <v>2016-12-19</v>
      </c>
      <c r="B2973" t="str">
        <f>"39.1413"</f>
        <v>39.1413</v>
      </c>
      <c r="C2973">
        <v>2971</v>
      </c>
      <c r="D2973" s="7">
        <v>39.141300000000001</v>
      </c>
      <c r="E2973" s="7">
        <f t="shared" si="92"/>
        <v>116288.80230000001</v>
      </c>
      <c r="F2973" s="7">
        <f t="shared" si="93"/>
        <v>8826841</v>
      </c>
      <c r="G2973" s="7"/>
    </row>
    <row r="2974" spans="1:7" x14ac:dyDescent="0.35">
      <c r="A2974" t="str">
        <f>"2016-12-20"</f>
        <v>2016-12-20</v>
      </c>
      <c r="B2974" t="str">
        <f>"39.3719"</f>
        <v>39.3719</v>
      </c>
      <c r="C2974">
        <v>2972</v>
      </c>
      <c r="D2974" s="7">
        <v>39.371899999999997</v>
      </c>
      <c r="E2974" s="7">
        <f t="shared" si="92"/>
        <v>117013.28679999999</v>
      </c>
      <c r="F2974" s="7">
        <f t="shared" si="93"/>
        <v>8832784</v>
      </c>
      <c r="G2974" s="7"/>
    </row>
    <row r="2975" spans="1:7" x14ac:dyDescent="0.35">
      <c r="A2975" t="str">
        <f>"2016-12-21"</f>
        <v>2016-12-21</v>
      </c>
      <c r="B2975" t="str">
        <f>"39.4319"</f>
        <v>39.4319</v>
      </c>
      <c r="C2975">
        <v>2973</v>
      </c>
      <c r="D2975" s="7">
        <v>39.431899999999999</v>
      </c>
      <c r="E2975" s="7">
        <f t="shared" si="92"/>
        <v>117231.03869999999</v>
      </c>
      <c r="F2975" s="7">
        <f t="shared" si="93"/>
        <v>8838729</v>
      </c>
      <c r="G2975" s="7"/>
    </row>
    <row r="2976" spans="1:7" x14ac:dyDescent="0.35">
      <c r="A2976" t="str">
        <f>"2016-12-22"</f>
        <v>2016-12-22</v>
      </c>
      <c r="B2976" t="str">
        <f>"39.1927"</f>
        <v>39.1927</v>
      </c>
      <c r="C2976">
        <v>2974</v>
      </c>
      <c r="D2976" s="7">
        <v>39.192700000000002</v>
      </c>
      <c r="E2976" s="7">
        <f t="shared" si="92"/>
        <v>116559.0898</v>
      </c>
      <c r="F2976" s="7">
        <f t="shared" si="93"/>
        <v>8844676</v>
      </c>
      <c r="G2976" s="7"/>
    </row>
    <row r="2977" spans="1:7" x14ac:dyDescent="0.35">
      <c r="A2977" t="str">
        <f>"2016-12-23"</f>
        <v>2016-12-23</v>
      </c>
      <c r="B2977" t="str">
        <f>"38.7141"</f>
        <v>38.7141</v>
      </c>
      <c r="C2977">
        <v>2975</v>
      </c>
      <c r="D2977" s="7">
        <v>38.714100000000002</v>
      </c>
      <c r="E2977" s="7">
        <f t="shared" si="92"/>
        <v>115174.44750000001</v>
      </c>
      <c r="F2977" s="7">
        <f t="shared" si="93"/>
        <v>8850625</v>
      </c>
      <c r="G2977" s="7"/>
    </row>
    <row r="2978" spans="1:7" x14ac:dyDescent="0.35">
      <c r="A2978" t="str">
        <f>"2016-12-27"</f>
        <v>2016-12-27</v>
      </c>
      <c r="B2978" t="str">
        <f>"38.5569"</f>
        <v>38.5569</v>
      </c>
      <c r="C2978">
        <v>2976</v>
      </c>
      <c r="D2978" s="7">
        <v>38.556899999999999</v>
      </c>
      <c r="E2978" s="7">
        <f t="shared" si="92"/>
        <v>114745.33439999999</v>
      </c>
      <c r="F2978" s="7">
        <f t="shared" si="93"/>
        <v>8856576</v>
      </c>
      <c r="G2978" s="7"/>
    </row>
    <row r="2979" spans="1:7" x14ac:dyDescent="0.35">
      <c r="A2979" t="str">
        <f>"2016-12-28"</f>
        <v>2016-12-28</v>
      </c>
      <c r="B2979" t="str">
        <f>"39.066"</f>
        <v>39.066</v>
      </c>
      <c r="C2979">
        <v>2977</v>
      </c>
      <c r="D2979" s="7">
        <v>39.066000000000003</v>
      </c>
      <c r="E2979" s="7">
        <f t="shared" si="92"/>
        <v>116299.482</v>
      </c>
      <c r="F2979" s="7">
        <f t="shared" si="93"/>
        <v>8862529</v>
      </c>
      <c r="G2979" s="7"/>
    </row>
    <row r="2980" spans="1:7" x14ac:dyDescent="0.35">
      <c r="A2980" t="str">
        <f>"2016-12-29"</f>
        <v>2016-12-29</v>
      </c>
      <c r="B2980" t="str">
        <f>"38.2683"</f>
        <v>38.2683</v>
      </c>
      <c r="C2980">
        <v>2978</v>
      </c>
      <c r="D2980" s="7">
        <v>38.268300000000004</v>
      </c>
      <c r="E2980" s="7">
        <f t="shared" si="92"/>
        <v>113962.99740000001</v>
      </c>
      <c r="F2980" s="7">
        <f t="shared" si="93"/>
        <v>8868484</v>
      </c>
      <c r="G2980" s="7"/>
    </row>
    <row r="2981" spans="1:7" x14ac:dyDescent="0.35">
      <c r="A2981" t="str">
        <f>"2016-12-30"</f>
        <v>2016-12-30</v>
      </c>
      <c r="B2981" t="str">
        <f>"38.5215"</f>
        <v>38.5215</v>
      </c>
      <c r="C2981">
        <v>2979</v>
      </c>
      <c r="D2981" s="7">
        <v>38.521500000000003</v>
      </c>
      <c r="E2981" s="7">
        <f t="shared" si="92"/>
        <v>114755.5485</v>
      </c>
      <c r="F2981" s="7">
        <f t="shared" si="93"/>
        <v>8874441</v>
      </c>
      <c r="G2981" s="7"/>
    </row>
    <row r="2982" spans="1:7" x14ac:dyDescent="0.35">
      <c r="A2982" t="str">
        <f>"2017-01-03"</f>
        <v>2017-01-03</v>
      </c>
      <c r="B2982" t="str">
        <f>"36.9305"</f>
        <v>36.9305</v>
      </c>
      <c r="C2982">
        <v>2980</v>
      </c>
      <c r="D2982" s="7">
        <v>36.930500000000002</v>
      </c>
      <c r="E2982" s="7">
        <f t="shared" si="92"/>
        <v>110052.89</v>
      </c>
      <c r="F2982" s="7">
        <f t="shared" si="93"/>
        <v>8880400</v>
      </c>
      <c r="G2982" s="7"/>
    </row>
    <row r="2983" spans="1:7" x14ac:dyDescent="0.35">
      <c r="A2983" t="str">
        <f>"2017-01-04"</f>
        <v>2017-01-04</v>
      </c>
      <c r="B2983" t="str">
        <f>"35.8596"</f>
        <v>35.8596</v>
      </c>
      <c r="C2983">
        <v>2981</v>
      </c>
      <c r="D2983" s="7">
        <v>35.8596</v>
      </c>
      <c r="E2983" s="7">
        <f t="shared" si="92"/>
        <v>106897.4676</v>
      </c>
      <c r="F2983" s="7">
        <f t="shared" si="93"/>
        <v>8886361</v>
      </c>
      <c r="G2983" s="7"/>
    </row>
    <row r="2984" spans="1:7" x14ac:dyDescent="0.35">
      <c r="A2984" t="str">
        <f>"2017-01-05"</f>
        <v>2017-01-05</v>
      </c>
      <c r="B2984" t="str">
        <f>"36.6377"</f>
        <v>36.6377</v>
      </c>
      <c r="C2984">
        <v>2982</v>
      </c>
      <c r="D2984" s="7">
        <v>36.637700000000002</v>
      </c>
      <c r="E2984" s="7">
        <f t="shared" si="92"/>
        <v>109253.6214</v>
      </c>
      <c r="F2984" s="7">
        <f t="shared" si="93"/>
        <v>8892324</v>
      </c>
      <c r="G2984" s="7"/>
    </row>
    <row r="2985" spans="1:7" x14ac:dyDescent="0.35">
      <c r="A2985" t="str">
        <f>"2017-01-06"</f>
        <v>2017-01-06</v>
      </c>
      <c r="B2985" t="str">
        <f>"36.5023"</f>
        <v>36.5023</v>
      </c>
      <c r="C2985">
        <v>2983</v>
      </c>
      <c r="D2985" s="7">
        <v>36.502299999999998</v>
      </c>
      <c r="E2985" s="7">
        <f t="shared" si="92"/>
        <v>108886.3609</v>
      </c>
      <c r="F2985" s="7">
        <f t="shared" si="93"/>
        <v>8898289</v>
      </c>
      <c r="G2985" s="7"/>
    </row>
    <row r="2986" spans="1:7" x14ac:dyDescent="0.35">
      <c r="A2986" t="str">
        <f>"2017-01-09"</f>
        <v>2017-01-09</v>
      </c>
      <c r="B2986" t="str">
        <f>"35.2354"</f>
        <v>35.2354</v>
      </c>
      <c r="C2986">
        <v>2984</v>
      </c>
      <c r="D2986" s="7">
        <v>35.235399999999998</v>
      </c>
      <c r="E2986" s="7">
        <f t="shared" si="92"/>
        <v>105142.43359999999</v>
      </c>
      <c r="F2986" s="7">
        <f t="shared" si="93"/>
        <v>8904256</v>
      </c>
      <c r="G2986" s="7"/>
    </row>
    <row r="2987" spans="1:7" x14ac:dyDescent="0.35">
      <c r="A2987" t="str">
        <f>"2017-01-10"</f>
        <v>2017-01-10</v>
      </c>
      <c r="B2987" t="str">
        <f>"34.2085"</f>
        <v>34.2085</v>
      </c>
      <c r="C2987">
        <v>2985</v>
      </c>
      <c r="D2987" s="7">
        <v>34.208500000000001</v>
      </c>
      <c r="E2987" s="7">
        <f t="shared" si="92"/>
        <v>102112.3725</v>
      </c>
      <c r="F2987" s="7">
        <f t="shared" si="93"/>
        <v>8910225</v>
      </c>
      <c r="G2987" s="7"/>
    </row>
    <row r="2988" spans="1:7" x14ac:dyDescent="0.35">
      <c r="A2988" t="str">
        <f>"2017-01-11"</f>
        <v>2017-01-11</v>
      </c>
      <c r="B2988" t="str">
        <f>"33.0131"</f>
        <v>33.0131</v>
      </c>
      <c r="C2988">
        <v>2986</v>
      </c>
      <c r="D2988" s="7">
        <v>33.013100000000001</v>
      </c>
      <c r="E2988" s="7">
        <f t="shared" si="92"/>
        <v>98577.116600000008</v>
      </c>
      <c r="F2988" s="7">
        <f t="shared" si="93"/>
        <v>8916196</v>
      </c>
      <c r="G2988" s="7"/>
    </row>
    <row r="2989" spans="1:7" x14ac:dyDescent="0.35">
      <c r="A2989" t="str">
        <f>"2017-01-12"</f>
        <v>2017-01-12</v>
      </c>
      <c r="B2989" t="str">
        <f>"33.2822"</f>
        <v>33.2822</v>
      </c>
      <c r="C2989">
        <v>2987</v>
      </c>
      <c r="D2989" s="7">
        <v>33.282200000000003</v>
      </c>
      <c r="E2989" s="7">
        <f t="shared" si="92"/>
        <v>99413.931400000016</v>
      </c>
      <c r="F2989" s="7">
        <f t="shared" si="93"/>
        <v>8922169</v>
      </c>
      <c r="G2989" s="7"/>
    </row>
    <row r="2990" spans="1:7" x14ac:dyDescent="0.35">
      <c r="A2990" t="str">
        <f>"2017-01-13"</f>
        <v>2017-01-13</v>
      </c>
      <c r="B2990" t="str">
        <f>"34.6408"</f>
        <v>34.6408</v>
      </c>
      <c r="C2990">
        <v>2988</v>
      </c>
      <c r="D2990" s="7">
        <v>34.640799999999999</v>
      </c>
      <c r="E2990" s="7">
        <f t="shared" si="92"/>
        <v>103506.7104</v>
      </c>
      <c r="F2990" s="7">
        <f t="shared" si="93"/>
        <v>8928144</v>
      </c>
      <c r="G2990" s="7"/>
    </row>
    <row r="2991" spans="1:7" x14ac:dyDescent="0.35">
      <c r="A2991" t="str">
        <f>"2017-01-17"</f>
        <v>2017-01-17</v>
      </c>
      <c r="B2991" t="str">
        <f>"34.8598"</f>
        <v>34.8598</v>
      </c>
      <c r="C2991">
        <v>2989</v>
      </c>
      <c r="D2991" s="7">
        <v>34.8598</v>
      </c>
      <c r="E2991" s="7">
        <f t="shared" si="92"/>
        <v>104195.9422</v>
      </c>
      <c r="F2991" s="7">
        <f t="shared" si="93"/>
        <v>8934121</v>
      </c>
      <c r="G2991" s="7"/>
    </row>
    <row r="2992" spans="1:7" x14ac:dyDescent="0.35">
      <c r="A2992" t="str">
        <f>"2017-01-18"</f>
        <v>2017-01-18</v>
      </c>
      <c r="B2992" t="str">
        <f>"35.6408"</f>
        <v>35.6408</v>
      </c>
      <c r="C2992">
        <v>2990</v>
      </c>
      <c r="D2992" s="7">
        <v>35.640799999999999</v>
      </c>
      <c r="E2992" s="7">
        <f t="shared" si="92"/>
        <v>106565.992</v>
      </c>
      <c r="F2992" s="7">
        <f t="shared" si="93"/>
        <v>8940100</v>
      </c>
      <c r="G2992" s="7"/>
    </row>
    <row r="2993" spans="1:7" x14ac:dyDescent="0.35">
      <c r="A2993" t="str">
        <f>"2017-01-19"</f>
        <v>2017-01-19</v>
      </c>
      <c r="B2993" t="str">
        <f>"35.0409"</f>
        <v>35.0409</v>
      </c>
      <c r="C2993">
        <v>2991</v>
      </c>
      <c r="D2993" s="7">
        <v>35.040900000000001</v>
      </c>
      <c r="E2993" s="7">
        <f t="shared" si="92"/>
        <v>104807.3319</v>
      </c>
      <c r="F2993" s="7">
        <f t="shared" si="93"/>
        <v>8946081</v>
      </c>
      <c r="G2993" s="7"/>
    </row>
    <row r="2994" spans="1:7" x14ac:dyDescent="0.35">
      <c r="A2994" t="str">
        <f>"2017-01-20"</f>
        <v>2017-01-20</v>
      </c>
      <c r="B2994" t="str">
        <f>"35.0254"</f>
        <v>35.0254</v>
      </c>
      <c r="C2994">
        <v>2992</v>
      </c>
      <c r="D2994" s="7">
        <v>35.025399999999998</v>
      </c>
      <c r="E2994" s="7">
        <f t="shared" si="92"/>
        <v>104795.99679999999</v>
      </c>
      <c r="F2994" s="7">
        <f t="shared" si="93"/>
        <v>8952064</v>
      </c>
      <c r="G2994" s="7"/>
    </row>
    <row r="2995" spans="1:7" x14ac:dyDescent="0.35">
      <c r="A2995" t="str">
        <f>"2017-01-23"</f>
        <v>2017-01-23</v>
      </c>
      <c r="B2995" t="str">
        <f>"35.3526"</f>
        <v>35.3526</v>
      </c>
      <c r="C2995">
        <v>2993</v>
      </c>
      <c r="D2995" s="7">
        <v>35.352600000000002</v>
      </c>
      <c r="E2995" s="7">
        <f t="shared" si="92"/>
        <v>105810.33180000001</v>
      </c>
      <c r="F2995" s="7">
        <f t="shared" si="93"/>
        <v>8958049</v>
      </c>
      <c r="G2995" s="7"/>
    </row>
    <row r="2996" spans="1:7" x14ac:dyDescent="0.35">
      <c r="A2996" t="str">
        <f>"2017-01-24"</f>
        <v>2017-01-24</v>
      </c>
      <c r="B2996" t="str">
        <f>"37.6467"</f>
        <v>37.6467</v>
      </c>
      <c r="C2996">
        <v>2994</v>
      </c>
      <c r="D2996" s="7">
        <v>37.646700000000003</v>
      </c>
      <c r="E2996" s="7">
        <f t="shared" si="92"/>
        <v>112714.21980000001</v>
      </c>
      <c r="F2996" s="7">
        <f t="shared" si="93"/>
        <v>8964036</v>
      </c>
      <c r="G2996" s="7"/>
    </row>
    <row r="2997" spans="1:7" x14ac:dyDescent="0.35">
      <c r="A2997" t="str">
        <f>"2017-01-25"</f>
        <v>2017-01-25</v>
      </c>
      <c r="B2997" t="str">
        <f>"36.818"</f>
        <v>36.818</v>
      </c>
      <c r="C2997">
        <v>2995</v>
      </c>
      <c r="D2997" s="7">
        <v>36.817999999999998</v>
      </c>
      <c r="E2997" s="7">
        <f t="shared" si="92"/>
        <v>110269.90999999999</v>
      </c>
      <c r="F2997" s="7">
        <f t="shared" si="93"/>
        <v>8970025</v>
      </c>
      <c r="G2997" s="7"/>
    </row>
    <row r="2998" spans="1:7" x14ac:dyDescent="0.35">
      <c r="A2998" t="str">
        <f>"2017-01-26"</f>
        <v>2017-01-26</v>
      </c>
      <c r="B2998" t="str">
        <f>"37.312"</f>
        <v>37.312</v>
      </c>
      <c r="C2998">
        <v>2996</v>
      </c>
      <c r="D2998" s="7">
        <v>37.311999999999998</v>
      </c>
      <c r="E2998" s="7">
        <f t="shared" si="92"/>
        <v>111786.75199999999</v>
      </c>
      <c r="F2998" s="7">
        <f t="shared" si="93"/>
        <v>8976016</v>
      </c>
      <c r="G2998" s="7"/>
    </row>
    <row r="2999" spans="1:7" x14ac:dyDescent="0.35">
      <c r="A2999" t="str">
        <f>"2017-01-27"</f>
        <v>2017-01-27</v>
      </c>
      <c r="B2999" t="str">
        <f>"36.2865"</f>
        <v>36.2865</v>
      </c>
      <c r="C2999">
        <v>2997</v>
      </c>
      <c r="D2999" s="7">
        <v>36.286499999999997</v>
      </c>
      <c r="E2999" s="7">
        <f t="shared" si="92"/>
        <v>108750.64049999999</v>
      </c>
      <c r="F2999" s="7">
        <f t="shared" si="93"/>
        <v>8982009</v>
      </c>
      <c r="G2999" s="7"/>
    </row>
    <row r="3000" spans="1:7" x14ac:dyDescent="0.35">
      <c r="A3000" t="str">
        <f>"2017-01-30"</f>
        <v>2017-01-30</v>
      </c>
      <c r="B3000" t="str">
        <f>"37.7396"</f>
        <v>37.7396</v>
      </c>
      <c r="C3000">
        <v>2998</v>
      </c>
      <c r="D3000" s="7">
        <v>37.739600000000003</v>
      </c>
      <c r="E3000" s="7">
        <f t="shared" si="92"/>
        <v>113143.32080000002</v>
      </c>
      <c r="F3000" s="7">
        <f t="shared" si="93"/>
        <v>8988004</v>
      </c>
      <c r="G3000" s="7"/>
    </row>
    <row r="3001" spans="1:7" x14ac:dyDescent="0.35">
      <c r="A3001" t="str">
        <f>"2017-01-31"</f>
        <v>2017-01-31</v>
      </c>
      <c r="B3001" t="str">
        <f>"37.7557"</f>
        <v>37.7557</v>
      </c>
      <c r="C3001">
        <v>2999</v>
      </c>
      <c r="D3001" s="7">
        <v>37.755699999999997</v>
      </c>
      <c r="E3001" s="7">
        <f t="shared" si="92"/>
        <v>113229.3443</v>
      </c>
      <c r="F3001" s="7">
        <f t="shared" si="93"/>
        <v>8994001</v>
      </c>
      <c r="G3001" s="7"/>
    </row>
    <row r="3002" spans="1:7" x14ac:dyDescent="0.35">
      <c r="A3002" t="str">
        <f>"2017-02-01"</f>
        <v>2017-02-01</v>
      </c>
      <c r="B3002" t="str">
        <f>"38.6389"</f>
        <v>38.6389</v>
      </c>
      <c r="C3002">
        <v>3000</v>
      </c>
      <c r="D3002" s="7">
        <v>38.6389</v>
      </c>
      <c r="E3002" s="7">
        <f t="shared" si="92"/>
        <v>115916.7</v>
      </c>
      <c r="F3002" s="7">
        <f t="shared" si="93"/>
        <v>9000000</v>
      </c>
      <c r="G3002" s="7"/>
    </row>
    <row r="3003" spans="1:7" x14ac:dyDescent="0.35">
      <c r="A3003" t="str">
        <f>"2017-02-02"</f>
        <v>2017-02-02</v>
      </c>
      <c r="B3003" t="str">
        <f>"38.4993"</f>
        <v>38.4993</v>
      </c>
      <c r="C3003">
        <v>3001</v>
      </c>
      <c r="D3003" s="7">
        <v>38.499299999999998</v>
      </c>
      <c r="E3003" s="7">
        <f t="shared" si="92"/>
        <v>115536.39929999999</v>
      </c>
      <c r="F3003" s="7">
        <f t="shared" si="93"/>
        <v>9006001</v>
      </c>
      <c r="G3003" s="7"/>
    </row>
    <row r="3004" spans="1:7" x14ac:dyDescent="0.35">
      <c r="A3004" t="str">
        <f>"2017-02-03"</f>
        <v>2017-02-03</v>
      </c>
      <c r="B3004" t="str">
        <f>"38.8238"</f>
        <v>38.8238</v>
      </c>
      <c r="C3004">
        <v>3002</v>
      </c>
      <c r="D3004" s="7">
        <v>38.823799999999999</v>
      </c>
      <c r="E3004" s="7">
        <f t="shared" si="92"/>
        <v>116549.04759999999</v>
      </c>
      <c r="F3004" s="7">
        <f t="shared" si="93"/>
        <v>9012004</v>
      </c>
      <c r="G3004" s="7"/>
    </row>
    <row r="3005" spans="1:7" x14ac:dyDescent="0.35">
      <c r="A3005" t="str">
        <f>"2017-02-06"</f>
        <v>2017-02-06</v>
      </c>
      <c r="B3005" t="str">
        <f>"38.2642"</f>
        <v>38.2642</v>
      </c>
      <c r="C3005">
        <v>3003</v>
      </c>
      <c r="D3005" s="7">
        <v>38.264200000000002</v>
      </c>
      <c r="E3005" s="7">
        <f t="shared" si="92"/>
        <v>114907.39260000001</v>
      </c>
      <c r="F3005" s="7">
        <f t="shared" si="93"/>
        <v>9018009</v>
      </c>
      <c r="G3005" s="7"/>
    </row>
    <row r="3006" spans="1:7" x14ac:dyDescent="0.35">
      <c r="A3006" t="str">
        <f>"2017-02-07"</f>
        <v>2017-02-07</v>
      </c>
      <c r="B3006" t="str">
        <f>"38.0037"</f>
        <v>38.0037</v>
      </c>
      <c r="C3006">
        <v>3004</v>
      </c>
      <c r="D3006" s="7">
        <v>38.003700000000002</v>
      </c>
      <c r="E3006" s="7">
        <f t="shared" si="92"/>
        <v>114163.11480000001</v>
      </c>
      <c r="F3006" s="7">
        <f t="shared" si="93"/>
        <v>9024016</v>
      </c>
      <c r="G3006" s="7"/>
    </row>
    <row r="3007" spans="1:7" x14ac:dyDescent="0.35">
      <c r="A3007" t="str">
        <f>"2017-02-08"</f>
        <v>2017-02-08</v>
      </c>
      <c r="B3007" t="str">
        <f>"38.6318"</f>
        <v>38.6318</v>
      </c>
      <c r="C3007">
        <v>3005</v>
      </c>
      <c r="D3007" s="7">
        <v>38.631799999999998</v>
      </c>
      <c r="E3007" s="7">
        <f t="shared" si="92"/>
        <v>116088.55899999999</v>
      </c>
      <c r="F3007" s="7">
        <f t="shared" si="93"/>
        <v>9030025</v>
      </c>
      <c r="G3007" s="7"/>
    </row>
    <row r="3008" spans="1:7" x14ac:dyDescent="0.35">
      <c r="A3008" t="str">
        <f>"2017-02-09"</f>
        <v>2017-02-09</v>
      </c>
      <c r="B3008" t="str">
        <f>"39.025"</f>
        <v>39.025</v>
      </c>
      <c r="C3008">
        <v>3006</v>
      </c>
      <c r="D3008" s="7">
        <v>39.024999999999999</v>
      </c>
      <c r="E3008" s="7">
        <f t="shared" si="92"/>
        <v>117309.15</v>
      </c>
      <c r="F3008" s="7">
        <f t="shared" si="93"/>
        <v>9036036</v>
      </c>
      <c r="G3008" s="7"/>
    </row>
    <row r="3009" spans="1:7" x14ac:dyDescent="0.35">
      <c r="A3009" t="str">
        <f>"2017-02-10"</f>
        <v>2017-02-10</v>
      </c>
      <c r="B3009" t="str">
        <f>"38.1632"</f>
        <v>38.1632</v>
      </c>
      <c r="C3009">
        <v>3007</v>
      </c>
      <c r="D3009" s="7">
        <v>38.163200000000003</v>
      </c>
      <c r="E3009" s="7">
        <f t="shared" si="92"/>
        <v>114756.7424</v>
      </c>
      <c r="F3009" s="7">
        <f t="shared" si="93"/>
        <v>9042049</v>
      </c>
      <c r="G3009" s="7"/>
    </row>
    <row r="3010" spans="1:7" x14ac:dyDescent="0.35">
      <c r="A3010" t="str">
        <f>"2017-02-13"</f>
        <v>2017-02-13</v>
      </c>
      <c r="B3010" t="str">
        <f>"39.4207"</f>
        <v>39.4207</v>
      </c>
      <c r="C3010">
        <v>3008</v>
      </c>
      <c r="D3010" s="7">
        <v>39.420699999999997</v>
      </c>
      <c r="E3010" s="7">
        <f t="shared" si="92"/>
        <v>118577.4656</v>
      </c>
      <c r="F3010" s="7">
        <f t="shared" si="93"/>
        <v>9048064</v>
      </c>
      <c r="G3010" s="7"/>
    </row>
    <row r="3011" spans="1:7" x14ac:dyDescent="0.35">
      <c r="A3011" t="str">
        <f>"2017-02-14"</f>
        <v>2017-02-14</v>
      </c>
      <c r="B3011" t="str">
        <f>"39.7399"</f>
        <v>39.7399</v>
      </c>
      <c r="C3011">
        <v>3009</v>
      </c>
      <c r="D3011" s="7">
        <v>39.739899999999999</v>
      </c>
      <c r="E3011" s="7">
        <f t="shared" si="92"/>
        <v>119577.3591</v>
      </c>
      <c r="F3011" s="7">
        <f t="shared" si="93"/>
        <v>9054081</v>
      </c>
      <c r="G3011" s="7"/>
    </row>
    <row r="3012" spans="1:7" x14ac:dyDescent="0.35">
      <c r="A3012" t="str">
        <f>"2017-02-15"</f>
        <v>2017-02-15</v>
      </c>
      <c r="B3012" t="str">
        <f>"39"</f>
        <v>39</v>
      </c>
      <c r="C3012">
        <v>3010</v>
      </c>
      <c r="D3012" s="7">
        <v>39</v>
      </c>
      <c r="E3012" s="7">
        <f t="shared" ref="E3012:E3075" si="94">C3012*D3012</f>
        <v>117390</v>
      </c>
      <c r="F3012" s="7">
        <f t="shared" ref="F3012:F3075" si="95">C3012*C3012</f>
        <v>9060100</v>
      </c>
      <c r="G3012" s="7"/>
    </row>
    <row r="3013" spans="1:7" x14ac:dyDescent="0.35">
      <c r="A3013" t="str">
        <f>"2017-02-16"</f>
        <v>2017-02-16</v>
      </c>
      <c r="B3013" t="str">
        <f>"38.9712"</f>
        <v>38.9712</v>
      </c>
      <c r="C3013">
        <v>3011</v>
      </c>
      <c r="D3013" s="7">
        <v>38.971200000000003</v>
      </c>
      <c r="E3013" s="7">
        <f t="shared" si="94"/>
        <v>117342.28320000001</v>
      </c>
      <c r="F3013" s="7">
        <f t="shared" si="95"/>
        <v>9066121</v>
      </c>
      <c r="G3013" s="7"/>
    </row>
    <row r="3014" spans="1:7" x14ac:dyDescent="0.35">
      <c r="A3014" t="str">
        <f>"2017-02-17"</f>
        <v>2017-02-17</v>
      </c>
      <c r="B3014" t="str">
        <f>"39.1297"</f>
        <v>39.1297</v>
      </c>
      <c r="C3014">
        <v>3012</v>
      </c>
      <c r="D3014" s="7">
        <v>39.1297</v>
      </c>
      <c r="E3014" s="7">
        <f t="shared" si="94"/>
        <v>117858.65639999999</v>
      </c>
      <c r="F3014" s="7">
        <f t="shared" si="95"/>
        <v>9072144</v>
      </c>
      <c r="G3014" s="7"/>
    </row>
    <row r="3015" spans="1:7" x14ac:dyDescent="0.35">
      <c r="A3015" t="str">
        <f>"2017-02-21"</f>
        <v>2017-02-21</v>
      </c>
      <c r="B3015" t="str">
        <f>"39.677"</f>
        <v>39.677</v>
      </c>
      <c r="C3015">
        <v>3013</v>
      </c>
      <c r="D3015" s="7">
        <v>39.677</v>
      </c>
      <c r="E3015" s="7">
        <f t="shared" si="94"/>
        <v>119546.80099999999</v>
      </c>
      <c r="F3015" s="7">
        <f t="shared" si="95"/>
        <v>9078169</v>
      </c>
      <c r="G3015" s="7"/>
    </row>
    <row r="3016" spans="1:7" x14ac:dyDescent="0.35">
      <c r="A3016" t="str">
        <f>"2017-02-22"</f>
        <v>2017-02-22</v>
      </c>
      <c r="B3016" t="str">
        <f>"39.7648"</f>
        <v>39.7648</v>
      </c>
      <c r="C3016">
        <v>3014</v>
      </c>
      <c r="D3016" s="7">
        <v>39.764800000000001</v>
      </c>
      <c r="E3016" s="7">
        <f t="shared" si="94"/>
        <v>119851.1072</v>
      </c>
      <c r="F3016" s="7">
        <f t="shared" si="95"/>
        <v>9084196</v>
      </c>
      <c r="G3016" s="7"/>
    </row>
    <row r="3017" spans="1:7" x14ac:dyDescent="0.35">
      <c r="A3017" t="str">
        <f>"2017-02-23"</f>
        <v>2017-02-23</v>
      </c>
      <c r="B3017" t="str">
        <f>"39.8617"</f>
        <v>39.8617</v>
      </c>
      <c r="C3017">
        <v>3015</v>
      </c>
      <c r="D3017" s="7">
        <v>39.861699999999999</v>
      </c>
      <c r="E3017" s="7">
        <f t="shared" si="94"/>
        <v>120183.0255</v>
      </c>
      <c r="F3017" s="7">
        <f t="shared" si="95"/>
        <v>9090225</v>
      </c>
      <c r="G3017" s="7"/>
    </row>
    <row r="3018" spans="1:7" x14ac:dyDescent="0.35">
      <c r="A3018" t="str">
        <f>"2017-02-24"</f>
        <v>2017-02-24</v>
      </c>
      <c r="B3018" t="str">
        <f>"39.1828"</f>
        <v>39.1828</v>
      </c>
      <c r="C3018">
        <v>3016</v>
      </c>
      <c r="D3018" s="7">
        <v>39.1828</v>
      </c>
      <c r="E3018" s="7">
        <f t="shared" si="94"/>
        <v>118175.3248</v>
      </c>
      <c r="F3018" s="7">
        <f t="shared" si="95"/>
        <v>9096256</v>
      </c>
      <c r="G3018" s="7"/>
    </row>
    <row r="3019" spans="1:7" x14ac:dyDescent="0.35">
      <c r="A3019" t="str">
        <f>"2017-02-27"</f>
        <v>2017-02-27</v>
      </c>
      <c r="B3019" t="str">
        <f>"38.0772"</f>
        <v>38.0772</v>
      </c>
      <c r="C3019">
        <v>3017</v>
      </c>
      <c r="D3019" s="7">
        <v>38.077199999999998</v>
      </c>
      <c r="E3019" s="7">
        <f t="shared" si="94"/>
        <v>114878.91239999999</v>
      </c>
      <c r="F3019" s="7">
        <f t="shared" si="95"/>
        <v>9102289</v>
      </c>
      <c r="G3019" s="7"/>
    </row>
    <row r="3020" spans="1:7" x14ac:dyDescent="0.35">
      <c r="A3020" t="str">
        <f>"2017-02-28"</f>
        <v>2017-02-28</v>
      </c>
      <c r="B3020" t="str">
        <f>"37.5885"</f>
        <v>37.5885</v>
      </c>
      <c r="C3020">
        <v>3018</v>
      </c>
      <c r="D3020" s="7">
        <v>37.588500000000003</v>
      </c>
      <c r="E3020" s="7">
        <f t="shared" si="94"/>
        <v>113442.09300000001</v>
      </c>
      <c r="F3020" s="7">
        <f t="shared" si="95"/>
        <v>9108324</v>
      </c>
      <c r="G3020" s="7"/>
    </row>
    <row r="3021" spans="1:7" x14ac:dyDescent="0.35">
      <c r="A3021" t="str">
        <f>"2017-03-01"</f>
        <v>2017-03-01</v>
      </c>
      <c r="B3021" t="str">
        <f>"38.8388"</f>
        <v>38.8388</v>
      </c>
      <c r="C3021">
        <v>3019</v>
      </c>
      <c r="D3021" s="7">
        <v>38.838799999999999</v>
      </c>
      <c r="E3021" s="7">
        <f t="shared" si="94"/>
        <v>117254.33719999999</v>
      </c>
      <c r="F3021" s="7">
        <f t="shared" si="95"/>
        <v>9114361</v>
      </c>
      <c r="G3021" s="7"/>
    </row>
    <row r="3022" spans="1:7" x14ac:dyDescent="0.35">
      <c r="A3022" t="str">
        <f>"2017-03-02"</f>
        <v>2017-03-02</v>
      </c>
      <c r="B3022" t="str">
        <f>"39.4928"</f>
        <v>39.4928</v>
      </c>
      <c r="C3022">
        <v>3020</v>
      </c>
      <c r="D3022" s="7">
        <v>39.492800000000003</v>
      </c>
      <c r="E3022" s="7">
        <f t="shared" si="94"/>
        <v>119268.25600000001</v>
      </c>
      <c r="F3022" s="7">
        <f t="shared" si="95"/>
        <v>9120400</v>
      </c>
      <c r="G3022" s="7"/>
    </row>
    <row r="3023" spans="1:7" x14ac:dyDescent="0.35">
      <c r="A3023" t="str">
        <f>"2017-03-03"</f>
        <v>2017-03-03</v>
      </c>
      <c r="B3023" t="str">
        <f>"38.8186"</f>
        <v>38.8186</v>
      </c>
      <c r="C3023">
        <v>3021</v>
      </c>
      <c r="D3023" s="7">
        <v>38.818600000000004</v>
      </c>
      <c r="E3023" s="7">
        <f t="shared" si="94"/>
        <v>117270.9906</v>
      </c>
      <c r="F3023" s="7">
        <f t="shared" si="95"/>
        <v>9126441</v>
      </c>
      <c r="G3023" s="7"/>
    </row>
    <row r="3024" spans="1:7" x14ac:dyDescent="0.35">
      <c r="A3024" t="str">
        <f>"2017-03-06"</f>
        <v>2017-03-06</v>
      </c>
      <c r="B3024" t="str">
        <f>"39.0281"</f>
        <v>39.0281</v>
      </c>
      <c r="C3024">
        <v>3022</v>
      </c>
      <c r="D3024" s="7">
        <v>39.028100000000002</v>
      </c>
      <c r="E3024" s="7">
        <f t="shared" si="94"/>
        <v>117942.9182</v>
      </c>
      <c r="F3024" s="7">
        <f t="shared" si="95"/>
        <v>9132484</v>
      </c>
      <c r="G3024" s="7"/>
    </row>
    <row r="3025" spans="1:7" x14ac:dyDescent="0.35">
      <c r="A3025" t="str">
        <f>"2017-03-07"</f>
        <v>2017-03-07</v>
      </c>
      <c r="B3025" t="str">
        <f>"39.0167"</f>
        <v>39.0167</v>
      </c>
      <c r="C3025">
        <v>3023</v>
      </c>
      <c r="D3025" s="7">
        <v>39.0167</v>
      </c>
      <c r="E3025" s="7">
        <f t="shared" si="94"/>
        <v>117947.4841</v>
      </c>
      <c r="F3025" s="7">
        <f t="shared" si="95"/>
        <v>9138529</v>
      </c>
      <c r="G3025" s="7"/>
    </row>
    <row r="3026" spans="1:7" x14ac:dyDescent="0.35">
      <c r="A3026" t="str">
        <f>"2017-03-08"</f>
        <v>2017-03-08</v>
      </c>
      <c r="B3026" t="str">
        <f>"38.9704"</f>
        <v>38.9704</v>
      </c>
      <c r="C3026">
        <v>3024</v>
      </c>
      <c r="D3026" s="7">
        <v>38.970399999999998</v>
      </c>
      <c r="E3026" s="7">
        <f t="shared" si="94"/>
        <v>117846.4896</v>
      </c>
      <c r="F3026" s="7">
        <f t="shared" si="95"/>
        <v>9144576</v>
      </c>
      <c r="G3026" s="7"/>
    </row>
    <row r="3027" spans="1:7" x14ac:dyDescent="0.35">
      <c r="A3027" t="str">
        <f>"2017-03-09"</f>
        <v>2017-03-09</v>
      </c>
      <c r="B3027" t="str">
        <f>"38.0687"</f>
        <v>38.0687</v>
      </c>
      <c r="C3027">
        <v>3025</v>
      </c>
      <c r="D3027" s="7">
        <v>38.0687</v>
      </c>
      <c r="E3027" s="7">
        <f t="shared" si="94"/>
        <v>115157.8175</v>
      </c>
      <c r="F3027" s="7">
        <f t="shared" si="95"/>
        <v>9150625</v>
      </c>
      <c r="G3027" s="7"/>
    </row>
    <row r="3028" spans="1:7" x14ac:dyDescent="0.35">
      <c r="A3028" t="str">
        <f>"2017-03-10"</f>
        <v>2017-03-10</v>
      </c>
      <c r="B3028" t="str">
        <f>"38.5142"</f>
        <v>38.5142</v>
      </c>
      <c r="C3028">
        <v>3026</v>
      </c>
      <c r="D3028" s="7">
        <v>38.514200000000002</v>
      </c>
      <c r="E3028" s="7">
        <f t="shared" si="94"/>
        <v>116543.96920000001</v>
      </c>
      <c r="F3028" s="7">
        <f t="shared" si="95"/>
        <v>9156676</v>
      </c>
      <c r="G3028" s="7"/>
    </row>
    <row r="3029" spans="1:7" x14ac:dyDescent="0.35">
      <c r="A3029" t="str">
        <f>"2017-03-13"</f>
        <v>2017-03-13</v>
      </c>
      <c r="B3029" t="str">
        <f>"39.0807"</f>
        <v>39.0807</v>
      </c>
      <c r="C3029">
        <v>3027</v>
      </c>
      <c r="D3029" s="7">
        <v>39.0807</v>
      </c>
      <c r="E3029" s="7">
        <f t="shared" si="94"/>
        <v>118297.2789</v>
      </c>
      <c r="F3029" s="7">
        <f t="shared" si="95"/>
        <v>9162729</v>
      </c>
      <c r="G3029" s="7"/>
    </row>
    <row r="3030" spans="1:7" x14ac:dyDescent="0.35">
      <c r="A3030" t="str">
        <f>"2017-03-14"</f>
        <v>2017-03-14</v>
      </c>
      <c r="B3030" t="str">
        <f>"40.191"</f>
        <v>40.191</v>
      </c>
      <c r="C3030">
        <v>3028</v>
      </c>
      <c r="D3030" s="7">
        <v>40.191000000000003</v>
      </c>
      <c r="E3030" s="7">
        <f t="shared" si="94"/>
        <v>121698.34800000001</v>
      </c>
      <c r="F3030" s="7">
        <f t="shared" si="95"/>
        <v>9168784</v>
      </c>
      <c r="G3030" s="7"/>
    </row>
    <row r="3031" spans="1:7" x14ac:dyDescent="0.35">
      <c r="A3031" t="str">
        <f>"2017-03-15"</f>
        <v>2017-03-15</v>
      </c>
      <c r="B3031" t="str">
        <f>"40.6021"</f>
        <v>40.6021</v>
      </c>
      <c r="C3031">
        <v>3029</v>
      </c>
      <c r="D3031" s="7">
        <v>40.6021</v>
      </c>
      <c r="E3031" s="7">
        <f t="shared" si="94"/>
        <v>122983.76089999999</v>
      </c>
      <c r="F3031" s="7">
        <f t="shared" si="95"/>
        <v>9174841</v>
      </c>
      <c r="G3031" s="7"/>
    </row>
    <row r="3032" spans="1:7" x14ac:dyDescent="0.35">
      <c r="A3032" t="str">
        <f>"2017-03-16"</f>
        <v>2017-03-16</v>
      </c>
      <c r="B3032" t="str">
        <f>"40.8627"</f>
        <v>40.8627</v>
      </c>
      <c r="C3032">
        <v>3030</v>
      </c>
      <c r="D3032" s="7">
        <v>40.862699999999997</v>
      </c>
      <c r="E3032" s="7">
        <f t="shared" si="94"/>
        <v>123813.98099999999</v>
      </c>
      <c r="F3032" s="7">
        <f t="shared" si="95"/>
        <v>9180900</v>
      </c>
      <c r="G3032" s="7"/>
    </row>
    <row r="3033" spans="1:7" x14ac:dyDescent="0.35">
      <c r="A3033" t="str">
        <f>"2017-03-17"</f>
        <v>2017-03-17</v>
      </c>
      <c r="B3033" t="str">
        <f>"41.0592"</f>
        <v>41.0592</v>
      </c>
      <c r="C3033">
        <v>3031</v>
      </c>
      <c r="D3033" s="7">
        <v>41.059199999999997</v>
      </c>
      <c r="E3033" s="7">
        <f t="shared" si="94"/>
        <v>124450.43519999999</v>
      </c>
      <c r="F3033" s="7">
        <f t="shared" si="95"/>
        <v>9186961</v>
      </c>
      <c r="G3033" s="7"/>
    </row>
    <row r="3034" spans="1:7" x14ac:dyDescent="0.35">
      <c r="A3034" t="str">
        <f>"2017-03-20"</f>
        <v>2017-03-20</v>
      </c>
      <c r="B3034" t="str">
        <f>"41.0655"</f>
        <v>41.0655</v>
      </c>
      <c r="C3034">
        <v>3032</v>
      </c>
      <c r="D3034" s="7">
        <v>41.0655</v>
      </c>
      <c r="E3034" s="7">
        <f t="shared" si="94"/>
        <v>124510.59600000001</v>
      </c>
      <c r="F3034" s="7">
        <f t="shared" si="95"/>
        <v>9193024</v>
      </c>
      <c r="G3034" s="7"/>
    </row>
    <row r="3035" spans="1:7" x14ac:dyDescent="0.35">
      <c r="A3035" t="str">
        <f>"2017-03-21"</f>
        <v>2017-03-21</v>
      </c>
      <c r="B3035" t="str">
        <f>"39.5425"</f>
        <v>39.5425</v>
      </c>
      <c r="C3035">
        <v>3033</v>
      </c>
      <c r="D3035" s="7">
        <v>39.542499999999997</v>
      </c>
      <c r="E3035" s="7">
        <f t="shared" si="94"/>
        <v>119932.4025</v>
      </c>
      <c r="F3035" s="7">
        <f t="shared" si="95"/>
        <v>9199089</v>
      </c>
      <c r="G3035" s="7"/>
    </row>
    <row r="3036" spans="1:7" x14ac:dyDescent="0.35">
      <c r="A3036" t="str">
        <f>"2017-03-22"</f>
        <v>2017-03-22</v>
      </c>
      <c r="B3036" t="str">
        <f>"37.6974"</f>
        <v>37.6974</v>
      </c>
      <c r="C3036">
        <v>3034</v>
      </c>
      <c r="D3036" s="7">
        <v>37.697400000000002</v>
      </c>
      <c r="E3036" s="7">
        <f t="shared" si="94"/>
        <v>114373.91160000001</v>
      </c>
      <c r="F3036" s="7">
        <f t="shared" si="95"/>
        <v>9205156</v>
      </c>
      <c r="G3036" s="7"/>
    </row>
    <row r="3037" spans="1:7" x14ac:dyDescent="0.35">
      <c r="A3037" t="str">
        <f>"2017-03-23"</f>
        <v>2017-03-23</v>
      </c>
      <c r="B3037" t="str">
        <f>"37.8754"</f>
        <v>37.8754</v>
      </c>
      <c r="C3037">
        <v>3035</v>
      </c>
      <c r="D3037" s="7">
        <v>37.875399999999999</v>
      </c>
      <c r="E3037" s="7">
        <f t="shared" si="94"/>
        <v>114951.83899999999</v>
      </c>
      <c r="F3037" s="7">
        <f t="shared" si="95"/>
        <v>9211225</v>
      </c>
      <c r="G3037" s="7"/>
    </row>
    <row r="3038" spans="1:7" x14ac:dyDescent="0.35">
      <c r="A3038" t="str">
        <f>"2017-03-24"</f>
        <v>2017-03-24</v>
      </c>
      <c r="B3038" t="str">
        <f>"37.9312"</f>
        <v>37.9312</v>
      </c>
      <c r="C3038">
        <v>3036</v>
      </c>
      <c r="D3038" s="7">
        <v>37.931199999999997</v>
      </c>
      <c r="E3038" s="7">
        <f t="shared" si="94"/>
        <v>115159.12319999999</v>
      </c>
      <c r="F3038" s="7">
        <f t="shared" si="95"/>
        <v>9217296</v>
      </c>
      <c r="G3038" s="7"/>
    </row>
    <row r="3039" spans="1:7" x14ac:dyDescent="0.35">
      <c r="A3039" t="str">
        <f>"2017-03-27"</f>
        <v>2017-03-27</v>
      </c>
      <c r="B3039" t="str">
        <f>"38.1113"</f>
        <v>38.1113</v>
      </c>
      <c r="C3039">
        <v>3037</v>
      </c>
      <c r="D3039" s="7">
        <v>38.1113</v>
      </c>
      <c r="E3039" s="7">
        <f t="shared" si="94"/>
        <v>115744.0181</v>
      </c>
      <c r="F3039" s="7">
        <f t="shared" si="95"/>
        <v>9223369</v>
      </c>
      <c r="G3039" s="7"/>
    </row>
    <row r="3040" spans="1:7" x14ac:dyDescent="0.35">
      <c r="A3040" t="str">
        <f>"2017-03-28"</f>
        <v>2017-03-28</v>
      </c>
      <c r="B3040" t="str">
        <f>"38.0395"</f>
        <v>38.0395</v>
      </c>
      <c r="C3040">
        <v>3038</v>
      </c>
      <c r="D3040" s="7">
        <v>38.039499999999997</v>
      </c>
      <c r="E3040" s="7">
        <f t="shared" si="94"/>
        <v>115564.00099999999</v>
      </c>
      <c r="F3040" s="7">
        <f t="shared" si="95"/>
        <v>9229444</v>
      </c>
      <c r="G3040" s="7"/>
    </row>
    <row r="3041" spans="1:7" x14ac:dyDescent="0.35">
      <c r="A3041" t="str">
        <f>"2017-03-29"</f>
        <v>2017-03-29</v>
      </c>
      <c r="B3041" t="str">
        <f>"37.0545"</f>
        <v>37.0545</v>
      </c>
      <c r="C3041">
        <v>3039</v>
      </c>
      <c r="D3041" s="7">
        <v>37.054499999999997</v>
      </c>
      <c r="E3041" s="7">
        <f t="shared" si="94"/>
        <v>112608.62549999999</v>
      </c>
      <c r="F3041" s="7">
        <f t="shared" si="95"/>
        <v>9235521</v>
      </c>
      <c r="G3041" s="7"/>
    </row>
    <row r="3042" spans="1:7" x14ac:dyDescent="0.35">
      <c r="A3042" t="str">
        <f>"2017-03-30"</f>
        <v>2017-03-30</v>
      </c>
      <c r="B3042" t="str">
        <f>"37.5046"</f>
        <v>37.5046</v>
      </c>
      <c r="C3042">
        <v>3040</v>
      </c>
      <c r="D3042" s="7">
        <v>37.504600000000003</v>
      </c>
      <c r="E3042" s="7">
        <f t="shared" si="94"/>
        <v>114013.98400000001</v>
      </c>
      <c r="F3042" s="7">
        <f t="shared" si="95"/>
        <v>9241600</v>
      </c>
      <c r="G3042" s="7"/>
    </row>
    <row r="3043" spans="1:7" x14ac:dyDescent="0.35">
      <c r="A3043" t="str">
        <f>"2017-03-31"</f>
        <v>2017-03-31</v>
      </c>
      <c r="B3043" t="str">
        <f>"37.3269"</f>
        <v>37.3269</v>
      </c>
      <c r="C3043">
        <v>3041</v>
      </c>
      <c r="D3043" s="7">
        <v>37.326900000000002</v>
      </c>
      <c r="E3043" s="7">
        <f t="shared" si="94"/>
        <v>113511.10290000001</v>
      </c>
      <c r="F3043" s="7">
        <f t="shared" si="95"/>
        <v>9247681</v>
      </c>
      <c r="G3043" s="7"/>
    </row>
    <row r="3044" spans="1:7" x14ac:dyDescent="0.35">
      <c r="A3044" t="str">
        <f>"2017-04-03"</f>
        <v>2017-04-03</v>
      </c>
      <c r="B3044" t="str">
        <f>"37.0076"</f>
        <v>37.0076</v>
      </c>
      <c r="C3044">
        <v>3042</v>
      </c>
      <c r="D3044" s="7">
        <v>37.007599999999996</v>
      </c>
      <c r="E3044" s="7">
        <f t="shared" si="94"/>
        <v>112577.11919999999</v>
      </c>
      <c r="F3044" s="7">
        <f t="shared" si="95"/>
        <v>9253764</v>
      </c>
      <c r="G3044" s="7"/>
    </row>
    <row r="3045" spans="1:7" x14ac:dyDescent="0.35">
      <c r="A3045" t="str">
        <f>"2017-04-04"</f>
        <v>2017-04-04</v>
      </c>
      <c r="B3045" t="str">
        <f>"37.4047"</f>
        <v>37.4047</v>
      </c>
      <c r="C3045">
        <v>3043</v>
      </c>
      <c r="D3045" s="7">
        <v>37.404699999999998</v>
      </c>
      <c r="E3045" s="7">
        <f t="shared" si="94"/>
        <v>113822.5021</v>
      </c>
      <c r="F3045" s="7">
        <f t="shared" si="95"/>
        <v>9259849</v>
      </c>
      <c r="G3045" s="7"/>
    </row>
    <row r="3046" spans="1:7" x14ac:dyDescent="0.35">
      <c r="A3046" t="str">
        <f>"2017-04-05"</f>
        <v>2017-04-05</v>
      </c>
      <c r="B3046" t="str">
        <f>"37.2149"</f>
        <v>37.2149</v>
      </c>
      <c r="C3046">
        <v>3044</v>
      </c>
      <c r="D3046" s="7">
        <v>37.2149</v>
      </c>
      <c r="E3046" s="7">
        <f t="shared" si="94"/>
        <v>113282.1556</v>
      </c>
      <c r="F3046" s="7">
        <f t="shared" si="95"/>
        <v>9265936</v>
      </c>
      <c r="G3046" s="7"/>
    </row>
    <row r="3047" spans="1:7" x14ac:dyDescent="0.35">
      <c r="A3047" t="str">
        <f>"2017-04-06"</f>
        <v>2017-04-06</v>
      </c>
      <c r="B3047" t="str">
        <f>"36.6043"</f>
        <v>36.6043</v>
      </c>
      <c r="C3047">
        <v>3045</v>
      </c>
      <c r="D3047" s="7">
        <v>36.604300000000002</v>
      </c>
      <c r="E3047" s="7">
        <f t="shared" si="94"/>
        <v>111460.0935</v>
      </c>
      <c r="F3047" s="7">
        <f t="shared" si="95"/>
        <v>9272025</v>
      </c>
      <c r="G3047" s="7"/>
    </row>
    <row r="3048" spans="1:7" x14ac:dyDescent="0.35">
      <c r="A3048" t="str">
        <f>"2017-04-07"</f>
        <v>2017-04-07</v>
      </c>
      <c r="B3048" t="str">
        <f>"36.3405"</f>
        <v>36.3405</v>
      </c>
      <c r="C3048">
        <v>3046</v>
      </c>
      <c r="D3048" s="7">
        <v>36.340499999999999</v>
      </c>
      <c r="E3048" s="7">
        <f t="shared" si="94"/>
        <v>110693.163</v>
      </c>
      <c r="F3048" s="7">
        <f t="shared" si="95"/>
        <v>9278116</v>
      </c>
      <c r="G3048" s="7"/>
    </row>
    <row r="3049" spans="1:7" x14ac:dyDescent="0.35">
      <c r="A3049" t="str">
        <f>"2017-04-10"</f>
        <v>2017-04-10</v>
      </c>
      <c r="B3049" t="str">
        <f>"37.278"</f>
        <v>37.278</v>
      </c>
      <c r="C3049">
        <v>3047</v>
      </c>
      <c r="D3049" s="7">
        <v>37.277999999999999</v>
      </c>
      <c r="E3049" s="7">
        <f t="shared" si="94"/>
        <v>113586.06599999999</v>
      </c>
      <c r="F3049" s="7">
        <f t="shared" si="95"/>
        <v>9284209</v>
      </c>
      <c r="G3049" s="7"/>
    </row>
    <row r="3050" spans="1:7" x14ac:dyDescent="0.35">
      <c r="A3050" t="str">
        <f>"2017-04-11"</f>
        <v>2017-04-11</v>
      </c>
      <c r="B3050" t="str">
        <f>"36.4241"</f>
        <v>36.4241</v>
      </c>
      <c r="C3050">
        <v>3048</v>
      </c>
      <c r="D3050" s="7">
        <v>36.424100000000003</v>
      </c>
      <c r="E3050" s="7">
        <f t="shared" si="94"/>
        <v>111020.65680000001</v>
      </c>
      <c r="F3050" s="7">
        <f t="shared" si="95"/>
        <v>9290304</v>
      </c>
      <c r="G3050" s="7"/>
    </row>
    <row r="3051" spans="1:7" x14ac:dyDescent="0.35">
      <c r="A3051" t="str">
        <f>"2017-04-12"</f>
        <v>2017-04-12</v>
      </c>
      <c r="B3051" t="str">
        <f>"36.7002"</f>
        <v>36.7002</v>
      </c>
      <c r="C3051">
        <v>3049</v>
      </c>
      <c r="D3051" s="7">
        <v>36.700200000000002</v>
      </c>
      <c r="E3051" s="7">
        <f t="shared" si="94"/>
        <v>111898.90980000001</v>
      </c>
      <c r="F3051" s="7">
        <f t="shared" si="95"/>
        <v>9296401</v>
      </c>
      <c r="G3051" s="7"/>
    </row>
    <row r="3052" spans="1:7" x14ac:dyDescent="0.35">
      <c r="A3052" t="str">
        <f>"2017-04-13"</f>
        <v>2017-04-13</v>
      </c>
      <c r="B3052" t="str">
        <f>"36.1462"</f>
        <v>36.1462</v>
      </c>
      <c r="C3052">
        <v>3050</v>
      </c>
      <c r="D3052" s="7">
        <v>36.1462</v>
      </c>
      <c r="E3052" s="7">
        <f t="shared" si="94"/>
        <v>110245.91</v>
      </c>
      <c r="F3052" s="7">
        <f t="shared" si="95"/>
        <v>9302500</v>
      </c>
      <c r="G3052" s="7"/>
    </row>
    <row r="3053" spans="1:7" x14ac:dyDescent="0.35">
      <c r="A3053" t="str">
        <f>"2017-04-17"</f>
        <v>2017-04-17</v>
      </c>
      <c r="B3053" t="str">
        <f>"36.6909"</f>
        <v>36.6909</v>
      </c>
      <c r="C3053">
        <v>3051</v>
      </c>
      <c r="D3053" s="7">
        <v>36.690899999999999</v>
      </c>
      <c r="E3053" s="7">
        <f t="shared" si="94"/>
        <v>111943.9359</v>
      </c>
      <c r="F3053" s="7">
        <f t="shared" si="95"/>
        <v>9308601</v>
      </c>
      <c r="G3053" s="7"/>
    </row>
    <row r="3054" spans="1:7" x14ac:dyDescent="0.35">
      <c r="A3054" t="str">
        <f>"2017-04-18"</f>
        <v>2017-04-18</v>
      </c>
      <c r="B3054" t="str">
        <f>"36.1103"</f>
        <v>36.1103</v>
      </c>
      <c r="C3054">
        <v>3052</v>
      </c>
      <c r="D3054" s="7">
        <v>36.110300000000002</v>
      </c>
      <c r="E3054" s="7">
        <f t="shared" si="94"/>
        <v>110208.63560000001</v>
      </c>
      <c r="F3054" s="7">
        <f t="shared" si="95"/>
        <v>9314704</v>
      </c>
      <c r="G3054" s="7"/>
    </row>
    <row r="3055" spans="1:7" x14ac:dyDescent="0.35">
      <c r="A3055" t="str">
        <f>"2017-04-19"</f>
        <v>2017-04-19</v>
      </c>
      <c r="B3055" t="str">
        <f>"36.5881"</f>
        <v>36.5881</v>
      </c>
      <c r="C3055">
        <v>3053</v>
      </c>
      <c r="D3055" s="7">
        <v>36.588099999999997</v>
      </c>
      <c r="E3055" s="7">
        <f t="shared" si="94"/>
        <v>111703.4693</v>
      </c>
      <c r="F3055" s="7">
        <f t="shared" si="95"/>
        <v>9320809</v>
      </c>
      <c r="G3055" s="7"/>
    </row>
    <row r="3056" spans="1:7" x14ac:dyDescent="0.35">
      <c r="A3056" t="str">
        <f>"2017-04-20"</f>
        <v>2017-04-20</v>
      </c>
      <c r="B3056" t="str">
        <f>"36.9387"</f>
        <v>36.9387</v>
      </c>
      <c r="C3056">
        <v>3054</v>
      </c>
      <c r="D3056" s="7">
        <v>36.938699999999997</v>
      </c>
      <c r="E3056" s="7">
        <f t="shared" si="94"/>
        <v>112810.7898</v>
      </c>
      <c r="F3056" s="7">
        <f t="shared" si="95"/>
        <v>9326916</v>
      </c>
      <c r="G3056" s="7"/>
    </row>
    <row r="3057" spans="1:7" x14ac:dyDescent="0.35">
      <c r="A3057" t="str">
        <f>"2017-04-21"</f>
        <v>2017-04-21</v>
      </c>
      <c r="B3057" t="str">
        <f>"37.6255"</f>
        <v>37.6255</v>
      </c>
      <c r="C3057">
        <v>3055</v>
      </c>
      <c r="D3057" s="7">
        <v>37.625500000000002</v>
      </c>
      <c r="E3057" s="7">
        <f t="shared" si="94"/>
        <v>114945.90250000001</v>
      </c>
      <c r="F3057" s="7">
        <f t="shared" si="95"/>
        <v>9333025</v>
      </c>
      <c r="G3057" s="7"/>
    </row>
    <row r="3058" spans="1:7" x14ac:dyDescent="0.35">
      <c r="A3058" t="str">
        <f>"2017-04-24"</f>
        <v>2017-04-24</v>
      </c>
      <c r="B3058" t="str">
        <f>"39.95"</f>
        <v>39.95</v>
      </c>
      <c r="C3058">
        <v>3056</v>
      </c>
      <c r="D3058" s="7">
        <v>39.950000000000003</v>
      </c>
      <c r="E3058" s="7">
        <f t="shared" si="94"/>
        <v>122087.20000000001</v>
      </c>
      <c r="F3058" s="7">
        <f t="shared" si="95"/>
        <v>9339136</v>
      </c>
      <c r="G3058" s="7"/>
    </row>
    <row r="3059" spans="1:7" x14ac:dyDescent="0.35">
      <c r="A3059" t="str">
        <f>"2017-04-25"</f>
        <v>2017-04-25</v>
      </c>
      <c r="B3059" t="str">
        <f>"40.6949"</f>
        <v>40.6949</v>
      </c>
      <c r="C3059">
        <v>3057</v>
      </c>
      <c r="D3059" s="7">
        <v>40.694899999999997</v>
      </c>
      <c r="E3059" s="7">
        <f t="shared" si="94"/>
        <v>124404.30929999999</v>
      </c>
      <c r="F3059" s="7">
        <f t="shared" si="95"/>
        <v>9345249</v>
      </c>
      <c r="G3059" s="7"/>
    </row>
    <row r="3060" spans="1:7" x14ac:dyDescent="0.35">
      <c r="A3060" t="str">
        <f>"2017-04-26"</f>
        <v>2017-04-26</v>
      </c>
      <c r="B3060" t="str">
        <f>"42.0187"</f>
        <v>42.0187</v>
      </c>
      <c r="C3060">
        <v>3058</v>
      </c>
      <c r="D3060" s="7">
        <v>42.018700000000003</v>
      </c>
      <c r="E3060" s="7">
        <f t="shared" si="94"/>
        <v>128493.18460000001</v>
      </c>
      <c r="F3060" s="7">
        <f t="shared" si="95"/>
        <v>9351364</v>
      </c>
      <c r="G3060" s="7"/>
    </row>
    <row r="3061" spans="1:7" x14ac:dyDescent="0.35">
      <c r="A3061" t="str">
        <f>"2017-04-27"</f>
        <v>2017-04-27</v>
      </c>
      <c r="B3061" t="str">
        <f>"41.7719"</f>
        <v>41.7719</v>
      </c>
      <c r="C3061">
        <v>3059</v>
      </c>
      <c r="D3061" s="7">
        <v>41.771900000000002</v>
      </c>
      <c r="E3061" s="7">
        <f t="shared" si="94"/>
        <v>127780.2421</v>
      </c>
      <c r="F3061" s="7">
        <f t="shared" si="95"/>
        <v>9357481</v>
      </c>
      <c r="G3061" s="7"/>
    </row>
    <row r="3062" spans="1:7" x14ac:dyDescent="0.35">
      <c r="A3062" t="str">
        <f>"2017-04-28"</f>
        <v>2017-04-28</v>
      </c>
      <c r="B3062" t="str">
        <f>"41.7793"</f>
        <v>41.7793</v>
      </c>
      <c r="C3062">
        <v>3060</v>
      </c>
      <c r="D3062" s="7">
        <v>41.779299999999999</v>
      </c>
      <c r="E3062" s="7">
        <f t="shared" si="94"/>
        <v>127844.658</v>
      </c>
      <c r="F3062" s="7">
        <f t="shared" si="95"/>
        <v>9363600</v>
      </c>
      <c r="G3062" s="7"/>
    </row>
    <row r="3063" spans="1:7" x14ac:dyDescent="0.35">
      <c r="A3063" t="str">
        <f>"2017-05-01"</f>
        <v>2017-05-01</v>
      </c>
      <c r="B3063" t="str">
        <f>"42.3296"</f>
        <v>42.3296</v>
      </c>
      <c r="C3063">
        <v>3061</v>
      </c>
      <c r="D3063" s="7">
        <v>42.329599999999999</v>
      </c>
      <c r="E3063" s="7">
        <f t="shared" si="94"/>
        <v>129570.9056</v>
      </c>
      <c r="F3063" s="7">
        <f t="shared" si="95"/>
        <v>9369721</v>
      </c>
      <c r="G3063" s="7"/>
    </row>
    <row r="3064" spans="1:7" x14ac:dyDescent="0.35">
      <c r="A3064" t="str">
        <f>"2017-05-02"</f>
        <v>2017-05-02</v>
      </c>
      <c r="B3064" t="str">
        <f>"42.335"</f>
        <v>42.335</v>
      </c>
      <c r="C3064">
        <v>3062</v>
      </c>
      <c r="D3064" s="7">
        <v>42.335000000000001</v>
      </c>
      <c r="E3064" s="7">
        <f t="shared" si="94"/>
        <v>129629.77</v>
      </c>
      <c r="F3064" s="7">
        <f t="shared" si="95"/>
        <v>9375844</v>
      </c>
      <c r="G3064" s="7"/>
    </row>
    <row r="3065" spans="1:7" x14ac:dyDescent="0.35">
      <c r="A3065" t="str">
        <f>"2017-05-03"</f>
        <v>2017-05-03</v>
      </c>
      <c r="B3065" t="str">
        <f>"43.2842"</f>
        <v>43.2842</v>
      </c>
      <c r="C3065">
        <v>3063</v>
      </c>
      <c r="D3065" s="7">
        <v>43.284199999999998</v>
      </c>
      <c r="E3065" s="7">
        <f t="shared" si="94"/>
        <v>132579.50459999999</v>
      </c>
      <c r="F3065" s="7">
        <f t="shared" si="95"/>
        <v>9381969</v>
      </c>
      <c r="G3065" s="7"/>
    </row>
    <row r="3066" spans="1:7" x14ac:dyDescent="0.35">
      <c r="A3066" t="str">
        <f>"2017-05-04"</f>
        <v>2017-05-04</v>
      </c>
      <c r="B3066" t="str">
        <f>"44.0624"</f>
        <v>44.0624</v>
      </c>
      <c r="C3066">
        <v>3064</v>
      </c>
      <c r="D3066" s="7">
        <v>44.062399999999997</v>
      </c>
      <c r="E3066" s="7">
        <f t="shared" si="94"/>
        <v>135007.1936</v>
      </c>
      <c r="F3066" s="7">
        <f t="shared" si="95"/>
        <v>9388096</v>
      </c>
      <c r="G3066" s="7"/>
    </row>
    <row r="3067" spans="1:7" x14ac:dyDescent="0.35">
      <c r="A3067" t="str">
        <f>"2017-05-05"</f>
        <v>2017-05-05</v>
      </c>
      <c r="B3067" t="str">
        <f>"43.8049"</f>
        <v>43.8049</v>
      </c>
      <c r="C3067">
        <v>3065</v>
      </c>
      <c r="D3067" s="7">
        <v>43.804900000000004</v>
      </c>
      <c r="E3067" s="7">
        <f t="shared" si="94"/>
        <v>134262.01850000001</v>
      </c>
      <c r="F3067" s="7">
        <f t="shared" si="95"/>
        <v>9394225</v>
      </c>
      <c r="G3067" s="7"/>
    </row>
    <row r="3068" spans="1:7" x14ac:dyDescent="0.35">
      <c r="A3068" t="str">
        <f>"2017-05-08"</f>
        <v>2017-05-08</v>
      </c>
      <c r="B3068" t="str">
        <f>"46.1022"</f>
        <v>46.1022</v>
      </c>
      <c r="C3068">
        <v>3066</v>
      </c>
      <c r="D3068" s="7">
        <v>46.102200000000003</v>
      </c>
      <c r="E3068" s="7">
        <f t="shared" si="94"/>
        <v>141349.34520000001</v>
      </c>
      <c r="F3068" s="7">
        <f t="shared" si="95"/>
        <v>9400356</v>
      </c>
      <c r="G3068" s="7"/>
    </row>
    <row r="3069" spans="1:7" x14ac:dyDescent="0.35">
      <c r="A3069" t="str">
        <f>"2017-05-09"</f>
        <v>2017-05-09</v>
      </c>
      <c r="B3069" t="str">
        <f>"46.0181"</f>
        <v>46.0181</v>
      </c>
      <c r="C3069">
        <v>3067</v>
      </c>
      <c r="D3069" s="7">
        <v>46.018099999999997</v>
      </c>
      <c r="E3069" s="7">
        <f t="shared" si="94"/>
        <v>141137.51269999999</v>
      </c>
      <c r="F3069" s="7">
        <f t="shared" si="95"/>
        <v>9406489</v>
      </c>
      <c r="G3069" s="7"/>
    </row>
    <row r="3070" spans="1:7" x14ac:dyDescent="0.35">
      <c r="A3070" t="str">
        <f>"2017-05-10"</f>
        <v>2017-05-10</v>
      </c>
      <c r="B3070" t="str">
        <f>"46.9048"</f>
        <v>46.9048</v>
      </c>
      <c r="C3070">
        <v>3068</v>
      </c>
      <c r="D3070" s="7">
        <v>46.904800000000002</v>
      </c>
      <c r="E3070" s="7">
        <f t="shared" si="94"/>
        <v>143903.9264</v>
      </c>
      <c r="F3070" s="7">
        <f t="shared" si="95"/>
        <v>9412624</v>
      </c>
      <c r="G3070" s="7"/>
    </row>
    <row r="3071" spans="1:7" x14ac:dyDescent="0.35">
      <c r="A3071" t="str">
        <f>"2017-05-11"</f>
        <v>2017-05-11</v>
      </c>
      <c r="B3071" t="str">
        <f>"46.1367"</f>
        <v>46.1367</v>
      </c>
      <c r="C3071">
        <v>3069</v>
      </c>
      <c r="D3071" s="7">
        <v>46.136699999999998</v>
      </c>
      <c r="E3071" s="7">
        <f t="shared" si="94"/>
        <v>141593.53229999999</v>
      </c>
      <c r="F3071" s="7">
        <f t="shared" si="95"/>
        <v>9418761</v>
      </c>
      <c r="G3071" s="7"/>
    </row>
    <row r="3072" spans="1:7" x14ac:dyDescent="0.35">
      <c r="A3072" t="str">
        <f>"2017-05-12"</f>
        <v>2017-05-12</v>
      </c>
      <c r="B3072" t="str">
        <f>"46.0899"</f>
        <v>46.0899</v>
      </c>
      <c r="C3072">
        <v>3070</v>
      </c>
      <c r="D3072" s="7">
        <v>46.0899</v>
      </c>
      <c r="E3072" s="7">
        <f t="shared" si="94"/>
        <v>141495.99299999999</v>
      </c>
      <c r="F3072" s="7">
        <f t="shared" si="95"/>
        <v>9424900</v>
      </c>
      <c r="G3072" s="7"/>
    </row>
    <row r="3073" spans="1:7" x14ac:dyDescent="0.35">
      <c r="A3073" t="str">
        <f>"2017-05-15"</f>
        <v>2017-05-15</v>
      </c>
      <c r="B3073" t="str">
        <f>"47.1968"</f>
        <v>47.1968</v>
      </c>
      <c r="C3073">
        <v>3071</v>
      </c>
      <c r="D3073" s="7">
        <v>47.196800000000003</v>
      </c>
      <c r="E3073" s="7">
        <f t="shared" si="94"/>
        <v>144941.37280000001</v>
      </c>
      <c r="F3073" s="7">
        <f t="shared" si="95"/>
        <v>9431041</v>
      </c>
      <c r="G3073" s="7"/>
    </row>
    <row r="3074" spans="1:7" x14ac:dyDescent="0.35">
      <c r="A3074" t="str">
        <f>"2017-05-16"</f>
        <v>2017-05-16</v>
      </c>
      <c r="B3074" t="str">
        <f>"47.7185"</f>
        <v>47.7185</v>
      </c>
      <c r="C3074">
        <v>3072</v>
      </c>
      <c r="D3074" s="7">
        <v>47.718499999999999</v>
      </c>
      <c r="E3074" s="7">
        <f t="shared" si="94"/>
        <v>146591.23199999999</v>
      </c>
      <c r="F3074" s="7">
        <f t="shared" si="95"/>
        <v>9437184</v>
      </c>
      <c r="G3074" s="7"/>
    </row>
    <row r="3075" spans="1:7" x14ac:dyDescent="0.35">
      <c r="A3075" t="str">
        <f>"2017-05-17"</f>
        <v>2017-05-17</v>
      </c>
      <c r="B3075" t="str">
        <f>"47.2794"</f>
        <v>47.2794</v>
      </c>
      <c r="C3075">
        <v>3073</v>
      </c>
      <c r="D3075" s="7">
        <v>47.279400000000003</v>
      </c>
      <c r="E3075" s="7">
        <f t="shared" si="94"/>
        <v>145289.5962</v>
      </c>
      <c r="F3075" s="7">
        <f t="shared" si="95"/>
        <v>9443329</v>
      </c>
      <c r="G3075" s="7"/>
    </row>
    <row r="3076" spans="1:7" x14ac:dyDescent="0.35">
      <c r="A3076" t="str">
        <f>"2017-05-18"</f>
        <v>2017-05-18</v>
      </c>
      <c r="B3076" t="str">
        <f>"46.3839"</f>
        <v>46.3839</v>
      </c>
      <c r="C3076">
        <v>3074</v>
      </c>
      <c r="D3076" s="7">
        <v>46.383899999999997</v>
      </c>
      <c r="E3076" s="7">
        <f t="shared" ref="E3076:E3139" si="96">C3076*D3076</f>
        <v>142584.10859999998</v>
      </c>
      <c r="F3076" s="7">
        <f t="shared" ref="F3076:F3139" si="97">C3076*C3076</f>
        <v>9449476</v>
      </c>
      <c r="G3076" s="7"/>
    </row>
    <row r="3077" spans="1:7" x14ac:dyDescent="0.35">
      <c r="A3077" t="str">
        <f>"2017-05-19"</f>
        <v>2017-05-19</v>
      </c>
      <c r="B3077" t="str">
        <f>"45.8547"</f>
        <v>45.8547</v>
      </c>
      <c r="C3077">
        <v>3075</v>
      </c>
      <c r="D3077" s="7">
        <v>45.854700000000001</v>
      </c>
      <c r="E3077" s="7">
        <f t="shared" si="96"/>
        <v>141003.20250000001</v>
      </c>
      <c r="F3077" s="7">
        <f t="shared" si="97"/>
        <v>9455625</v>
      </c>
      <c r="G3077" s="7"/>
    </row>
    <row r="3078" spans="1:7" x14ac:dyDescent="0.35">
      <c r="A3078" t="str">
        <f>"2017-05-22"</f>
        <v>2017-05-22</v>
      </c>
      <c r="B3078" t="str">
        <f>"47.2642"</f>
        <v>47.2642</v>
      </c>
      <c r="C3078">
        <v>3076</v>
      </c>
      <c r="D3078" s="7">
        <v>47.264200000000002</v>
      </c>
      <c r="E3078" s="7">
        <f t="shared" si="96"/>
        <v>145384.67920000001</v>
      </c>
      <c r="F3078" s="7">
        <f t="shared" si="97"/>
        <v>9461776</v>
      </c>
      <c r="G3078" s="7"/>
    </row>
    <row r="3079" spans="1:7" x14ac:dyDescent="0.35">
      <c r="A3079" t="str">
        <f>"2017-05-23"</f>
        <v>2017-05-23</v>
      </c>
      <c r="B3079" t="str">
        <f>"49.2152"</f>
        <v>49.2152</v>
      </c>
      <c r="C3079">
        <v>3077</v>
      </c>
      <c r="D3079" s="7">
        <v>49.215200000000003</v>
      </c>
      <c r="E3079" s="7">
        <f t="shared" si="96"/>
        <v>151435.1704</v>
      </c>
      <c r="F3079" s="7">
        <f t="shared" si="97"/>
        <v>9467929</v>
      </c>
      <c r="G3079" s="7"/>
    </row>
    <row r="3080" spans="1:7" x14ac:dyDescent="0.35">
      <c r="A3080" t="str">
        <f>"2017-05-24"</f>
        <v>2017-05-24</v>
      </c>
      <c r="B3080" t="str">
        <f>"49.6177"</f>
        <v>49.6177</v>
      </c>
      <c r="C3080">
        <v>3078</v>
      </c>
      <c r="D3080" s="7">
        <v>49.617699999999999</v>
      </c>
      <c r="E3080" s="7">
        <f t="shared" si="96"/>
        <v>152723.2806</v>
      </c>
      <c r="F3080" s="7">
        <f t="shared" si="97"/>
        <v>9474084</v>
      </c>
      <c r="G3080" s="7"/>
    </row>
    <row r="3081" spans="1:7" x14ac:dyDescent="0.35">
      <c r="A3081" t="str">
        <f>"2017-05-25"</f>
        <v>2017-05-25</v>
      </c>
      <c r="B3081" t="str">
        <f>"50.7399"</f>
        <v>50.7399</v>
      </c>
      <c r="C3081">
        <v>3079</v>
      </c>
      <c r="D3081" s="7">
        <v>50.739899999999999</v>
      </c>
      <c r="E3081" s="7">
        <f t="shared" si="96"/>
        <v>156228.15210000001</v>
      </c>
      <c r="F3081" s="7">
        <f t="shared" si="97"/>
        <v>9480241</v>
      </c>
      <c r="G3081" s="7"/>
    </row>
    <row r="3082" spans="1:7" x14ac:dyDescent="0.35">
      <c r="A3082" t="str">
        <f>"2017-05-26"</f>
        <v>2017-05-26</v>
      </c>
      <c r="B3082" t="str">
        <f>"50.0747"</f>
        <v>50.0747</v>
      </c>
      <c r="C3082">
        <v>3080</v>
      </c>
      <c r="D3082" s="7">
        <v>50.0747</v>
      </c>
      <c r="E3082" s="7">
        <f t="shared" si="96"/>
        <v>154230.076</v>
      </c>
      <c r="F3082" s="7">
        <f t="shared" si="97"/>
        <v>9486400</v>
      </c>
      <c r="G3082" s="7"/>
    </row>
    <row r="3083" spans="1:7" x14ac:dyDescent="0.35">
      <c r="A3083" t="str">
        <f>"2017-05-30"</f>
        <v>2017-05-30</v>
      </c>
      <c r="B3083" t="str">
        <f>"49.8378"</f>
        <v>49.8378</v>
      </c>
      <c r="C3083">
        <v>3081</v>
      </c>
      <c r="D3083" s="7">
        <v>49.837800000000001</v>
      </c>
      <c r="E3083" s="7">
        <f t="shared" si="96"/>
        <v>153550.26180000001</v>
      </c>
      <c r="F3083" s="7">
        <f t="shared" si="97"/>
        <v>9492561</v>
      </c>
      <c r="G3083" s="7"/>
    </row>
    <row r="3084" spans="1:7" x14ac:dyDescent="0.35">
      <c r="A3084" t="str">
        <f>"2017-05-31"</f>
        <v>2017-05-31</v>
      </c>
      <c r="B3084" t="str">
        <f>"49.8341"</f>
        <v>49.8341</v>
      </c>
      <c r="C3084">
        <v>3082</v>
      </c>
      <c r="D3084" s="7">
        <v>49.834099999999999</v>
      </c>
      <c r="E3084" s="7">
        <f t="shared" si="96"/>
        <v>153588.69620000001</v>
      </c>
      <c r="F3084" s="7">
        <f t="shared" si="97"/>
        <v>9498724</v>
      </c>
      <c r="G3084" s="7"/>
    </row>
    <row r="3085" spans="1:7" x14ac:dyDescent="0.35">
      <c r="A3085" t="str">
        <f>"2017-06-01"</f>
        <v>2017-06-01</v>
      </c>
      <c r="B3085" t="str">
        <f>"49.7491"</f>
        <v>49.7491</v>
      </c>
      <c r="C3085">
        <v>3083</v>
      </c>
      <c r="D3085" s="7">
        <v>49.749099999999999</v>
      </c>
      <c r="E3085" s="7">
        <f t="shared" si="96"/>
        <v>153376.47529999999</v>
      </c>
      <c r="F3085" s="7">
        <f t="shared" si="97"/>
        <v>9504889</v>
      </c>
      <c r="G3085" s="7"/>
    </row>
    <row r="3086" spans="1:7" x14ac:dyDescent="0.35">
      <c r="A3086" t="str">
        <f>"2017-06-02"</f>
        <v>2017-06-02</v>
      </c>
      <c r="B3086" t="str">
        <f>"50.1731"</f>
        <v>50.1731</v>
      </c>
      <c r="C3086">
        <v>3084</v>
      </c>
      <c r="D3086" s="7">
        <v>50.173099999999998</v>
      </c>
      <c r="E3086" s="7">
        <f t="shared" si="96"/>
        <v>154733.84039999999</v>
      </c>
      <c r="F3086" s="7">
        <f t="shared" si="97"/>
        <v>9511056</v>
      </c>
      <c r="G3086" s="7"/>
    </row>
    <row r="3087" spans="1:7" x14ac:dyDescent="0.35">
      <c r="A3087" t="str">
        <f>"2017-06-05"</f>
        <v>2017-06-05</v>
      </c>
      <c r="B3087" t="str">
        <f>"51.4641"</f>
        <v>51.4641</v>
      </c>
      <c r="C3087">
        <v>3085</v>
      </c>
      <c r="D3087" s="7">
        <v>51.464100000000002</v>
      </c>
      <c r="E3087" s="7">
        <f t="shared" si="96"/>
        <v>158766.74850000002</v>
      </c>
      <c r="F3087" s="7">
        <f t="shared" si="97"/>
        <v>9517225</v>
      </c>
      <c r="G3087" s="7"/>
    </row>
    <row r="3088" spans="1:7" x14ac:dyDescent="0.35">
      <c r="A3088" t="str">
        <f>"2017-06-06"</f>
        <v>2017-06-06</v>
      </c>
      <c r="B3088" t="str">
        <f>"51.0638"</f>
        <v>51.0638</v>
      </c>
      <c r="C3088">
        <v>3086</v>
      </c>
      <c r="D3088" s="7">
        <v>51.063800000000001</v>
      </c>
      <c r="E3088" s="7">
        <f t="shared" si="96"/>
        <v>157582.88680000001</v>
      </c>
      <c r="F3088" s="7">
        <f t="shared" si="97"/>
        <v>9523396</v>
      </c>
      <c r="G3088" s="7"/>
    </row>
    <row r="3089" spans="1:7" x14ac:dyDescent="0.35">
      <c r="A3089" t="str">
        <f>"2017-06-07"</f>
        <v>2017-06-07</v>
      </c>
      <c r="B3089" t="str">
        <f>"50.914"</f>
        <v>50.914</v>
      </c>
      <c r="C3089">
        <v>3087</v>
      </c>
      <c r="D3089" s="7">
        <v>50.914000000000001</v>
      </c>
      <c r="E3089" s="7">
        <f t="shared" si="96"/>
        <v>157171.51800000001</v>
      </c>
      <c r="F3089" s="7">
        <f t="shared" si="97"/>
        <v>9529569</v>
      </c>
      <c r="G3089" s="7"/>
    </row>
    <row r="3090" spans="1:7" x14ac:dyDescent="0.35">
      <c r="A3090" t="str">
        <f>"2017-06-08"</f>
        <v>2017-06-08</v>
      </c>
      <c r="B3090" t="str">
        <f>"50.3054"</f>
        <v>50.3054</v>
      </c>
      <c r="C3090">
        <v>3088</v>
      </c>
      <c r="D3090" s="7">
        <v>50.305399999999999</v>
      </c>
      <c r="E3090" s="7">
        <f t="shared" si="96"/>
        <v>155343.07519999999</v>
      </c>
      <c r="F3090" s="7">
        <f t="shared" si="97"/>
        <v>9535744</v>
      </c>
      <c r="G3090" s="7"/>
    </row>
    <row r="3091" spans="1:7" x14ac:dyDescent="0.35">
      <c r="A3091" t="str">
        <f>"2017-06-09"</f>
        <v>2017-06-09</v>
      </c>
      <c r="B3091" t="str">
        <f>"51.3187"</f>
        <v>51.3187</v>
      </c>
      <c r="C3091">
        <v>3089</v>
      </c>
      <c r="D3091" s="7">
        <v>51.3187</v>
      </c>
      <c r="E3091" s="7">
        <f t="shared" si="96"/>
        <v>158523.46429999999</v>
      </c>
      <c r="F3091" s="7">
        <f t="shared" si="97"/>
        <v>9541921</v>
      </c>
      <c r="G3091" s="7"/>
    </row>
    <row r="3092" spans="1:7" x14ac:dyDescent="0.35">
      <c r="A3092" t="str">
        <f>"2017-06-12"</f>
        <v>2017-06-12</v>
      </c>
      <c r="B3092" t="str">
        <f>"51.2335"</f>
        <v>51.2335</v>
      </c>
      <c r="C3092">
        <v>3090</v>
      </c>
      <c r="D3092" s="7">
        <v>51.233499999999999</v>
      </c>
      <c r="E3092" s="7">
        <f t="shared" si="96"/>
        <v>158311.51499999998</v>
      </c>
      <c r="F3092" s="7">
        <f t="shared" si="97"/>
        <v>9548100</v>
      </c>
      <c r="G3092" s="7"/>
    </row>
    <row r="3093" spans="1:7" x14ac:dyDescent="0.35">
      <c r="A3093" t="str">
        <f>"2017-06-13"</f>
        <v>2017-06-13</v>
      </c>
      <c r="B3093" t="str">
        <f>"51.0916"</f>
        <v>51.0916</v>
      </c>
      <c r="C3093">
        <v>3091</v>
      </c>
      <c r="D3093" s="7">
        <v>51.0916</v>
      </c>
      <c r="E3093" s="7">
        <f t="shared" si="96"/>
        <v>157924.13560000001</v>
      </c>
      <c r="F3093" s="7">
        <f t="shared" si="97"/>
        <v>9554281</v>
      </c>
      <c r="G3093" s="7"/>
    </row>
    <row r="3094" spans="1:7" x14ac:dyDescent="0.35">
      <c r="A3094" t="str">
        <f>"2017-06-14"</f>
        <v>2017-06-14</v>
      </c>
      <c r="B3094" t="str">
        <f>"51.6901"</f>
        <v>51.6901</v>
      </c>
      <c r="C3094">
        <v>3092</v>
      </c>
      <c r="D3094" s="7">
        <v>51.690100000000001</v>
      </c>
      <c r="E3094" s="7">
        <f t="shared" si="96"/>
        <v>159825.7892</v>
      </c>
      <c r="F3094" s="7">
        <f t="shared" si="97"/>
        <v>9560464</v>
      </c>
      <c r="G3094" s="7"/>
    </row>
    <row r="3095" spans="1:7" x14ac:dyDescent="0.35">
      <c r="A3095" t="str">
        <f>"2017-06-15"</f>
        <v>2017-06-15</v>
      </c>
      <c r="B3095" t="str">
        <f>"52.403"</f>
        <v>52.403</v>
      </c>
      <c r="C3095">
        <v>3093</v>
      </c>
      <c r="D3095" s="7">
        <v>52.402999999999999</v>
      </c>
      <c r="E3095" s="7">
        <f t="shared" si="96"/>
        <v>162082.47899999999</v>
      </c>
      <c r="F3095" s="7">
        <f t="shared" si="97"/>
        <v>9566649</v>
      </c>
      <c r="G3095" s="7"/>
    </row>
    <row r="3096" spans="1:7" x14ac:dyDescent="0.35">
      <c r="A3096" t="str">
        <f>"2017-06-16"</f>
        <v>2017-06-16</v>
      </c>
      <c r="B3096" t="str">
        <f>"51.3296"</f>
        <v>51.3296</v>
      </c>
      <c r="C3096">
        <v>3094</v>
      </c>
      <c r="D3096" s="7">
        <v>51.329599999999999</v>
      </c>
      <c r="E3096" s="7">
        <f t="shared" si="96"/>
        <v>158813.7824</v>
      </c>
      <c r="F3096" s="7">
        <f t="shared" si="97"/>
        <v>9572836</v>
      </c>
      <c r="G3096" s="7"/>
    </row>
    <row r="3097" spans="1:7" x14ac:dyDescent="0.35">
      <c r="A3097" t="str">
        <f>"2017-06-19"</f>
        <v>2017-06-19</v>
      </c>
      <c r="B3097" t="str">
        <f>"53.2041"</f>
        <v>53.2041</v>
      </c>
      <c r="C3097">
        <v>3095</v>
      </c>
      <c r="D3097" s="7">
        <v>53.204099999999997</v>
      </c>
      <c r="E3097" s="7">
        <f t="shared" si="96"/>
        <v>164666.68949999998</v>
      </c>
      <c r="F3097" s="7">
        <f t="shared" si="97"/>
        <v>9579025</v>
      </c>
      <c r="G3097" s="7"/>
    </row>
    <row r="3098" spans="1:7" x14ac:dyDescent="0.35">
      <c r="A3098" t="str">
        <f>"2017-06-20"</f>
        <v>2017-06-20</v>
      </c>
      <c r="B3098" t="str">
        <f>"52.728"</f>
        <v>52.728</v>
      </c>
      <c r="C3098">
        <v>3096</v>
      </c>
      <c r="D3098" s="7">
        <v>52.728000000000002</v>
      </c>
      <c r="E3098" s="7">
        <f t="shared" si="96"/>
        <v>163245.88800000001</v>
      </c>
      <c r="F3098" s="7">
        <f t="shared" si="97"/>
        <v>9585216</v>
      </c>
      <c r="G3098" s="7"/>
    </row>
    <row r="3099" spans="1:7" x14ac:dyDescent="0.35">
      <c r="A3099" t="str">
        <f>"2017-06-21"</f>
        <v>2017-06-21</v>
      </c>
      <c r="B3099" t="str">
        <f>"52.5879"</f>
        <v>52.5879</v>
      </c>
      <c r="C3099">
        <v>3097</v>
      </c>
      <c r="D3099" s="7">
        <v>52.587899999999998</v>
      </c>
      <c r="E3099" s="7">
        <f t="shared" si="96"/>
        <v>162864.72629999998</v>
      </c>
      <c r="F3099" s="7">
        <f t="shared" si="97"/>
        <v>9591409</v>
      </c>
      <c r="G3099" s="7"/>
    </row>
    <row r="3100" spans="1:7" x14ac:dyDescent="0.35">
      <c r="A3100" t="str">
        <f>"2017-06-22"</f>
        <v>2017-06-22</v>
      </c>
      <c r="B3100" t="str">
        <f>"53.666"</f>
        <v>53.666</v>
      </c>
      <c r="C3100">
        <v>3098</v>
      </c>
      <c r="D3100" s="7">
        <v>53.665999999999997</v>
      </c>
      <c r="E3100" s="7">
        <f t="shared" si="96"/>
        <v>166257.26799999998</v>
      </c>
      <c r="F3100" s="7">
        <f t="shared" si="97"/>
        <v>9597604</v>
      </c>
      <c r="G3100" s="7"/>
    </row>
    <row r="3101" spans="1:7" x14ac:dyDescent="0.35">
      <c r="A3101" t="str">
        <f>"2017-06-23"</f>
        <v>2017-06-23</v>
      </c>
      <c r="B3101" t="str">
        <f>"54.7653"</f>
        <v>54.7653</v>
      </c>
      <c r="C3101">
        <v>3099</v>
      </c>
      <c r="D3101" s="7">
        <v>54.765300000000003</v>
      </c>
      <c r="E3101" s="7">
        <f t="shared" si="96"/>
        <v>169717.66470000002</v>
      </c>
      <c r="F3101" s="7">
        <f t="shared" si="97"/>
        <v>9603801</v>
      </c>
      <c r="G3101" s="7"/>
    </row>
    <row r="3102" spans="1:7" x14ac:dyDescent="0.35">
      <c r="A3102" t="str">
        <f>"2017-06-26"</f>
        <v>2017-06-26</v>
      </c>
      <c r="B3102" t="str">
        <f>"55.3222"</f>
        <v>55.3222</v>
      </c>
      <c r="C3102">
        <v>3100</v>
      </c>
      <c r="D3102" s="7">
        <v>55.322200000000002</v>
      </c>
      <c r="E3102" s="7">
        <f t="shared" si="96"/>
        <v>171498.82</v>
      </c>
      <c r="F3102" s="7">
        <f t="shared" si="97"/>
        <v>9610000</v>
      </c>
      <c r="G3102" s="7"/>
    </row>
    <row r="3103" spans="1:7" x14ac:dyDescent="0.35">
      <c r="A3103" t="str">
        <f>"2017-06-27"</f>
        <v>2017-06-27</v>
      </c>
      <c r="B3103" t="str">
        <f>"55.3986"</f>
        <v>55.3986</v>
      </c>
      <c r="C3103">
        <v>3101</v>
      </c>
      <c r="D3103" s="7">
        <v>55.398600000000002</v>
      </c>
      <c r="E3103" s="7">
        <f t="shared" si="96"/>
        <v>171791.05860000002</v>
      </c>
      <c r="F3103" s="7">
        <f t="shared" si="97"/>
        <v>9616201</v>
      </c>
      <c r="G3103" s="7"/>
    </row>
    <row r="3104" spans="1:7" x14ac:dyDescent="0.35">
      <c r="A3104" t="str">
        <f>"2017-06-28"</f>
        <v>2017-06-28</v>
      </c>
      <c r="B3104" t="str">
        <f>"56.5106"</f>
        <v>56.5106</v>
      </c>
      <c r="C3104">
        <v>3102</v>
      </c>
      <c r="D3104" s="7">
        <v>56.510599999999997</v>
      </c>
      <c r="E3104" s="7">
        <f t="shared" si="96"/>
        <v>175295.8812</v>
      </c>
      <c r="F3104" s="7">
        <f t="shared" si="97"/>
        <v>9622404</v>
      </c>
      <c r="G3104" s="7"/>
    </row>
    <row r="3105" spans="1:7" x14ac:dyDescent="0.35">
      <c r="A3105" t="str">
        <f>"2017-06-29"</f>
        <v>2017-06-29</v>
      </c>
      <c r="B3105" t="str">
        <f>"55.5972"</f>
        <v>55.5972</v>
      </c>
      <c r="C3105">
        <v>3103</v>
      </c>
      <c r="D3105" s="7">
        <v>55.597200000000001</v>
      </c>
      <c r="E3105" s="7">
        <f t="shared" si="96"/>
        <v>172518.1116</v>
      </c>
      <c r="F3105" s="7">
        <f t="shared" si="97"/>
        <v>9628609</v>
      </c>
      <c r="G3105" s="7"/>
    </row>
    <row r="3106" spans="1:7" x14ac:dyDescent="0.35">
      <c r="A3106" t="str">
        <f>"2017-06-30"</f>
        <v>2017-06-30</v>
      </c>
      <c r="B3106" t="str">
        <f>"57.263"</f>
        <v>57.263</v>
      </c>
      <c r="C3106">
        <v>3104</v>
      </c>
      <c r="D3106" s="7">
        <v>57.262999999999998</v>
      </c>
      <c r="E3106" s="7">
        <f t="shared" si="96"/>
        <v>177744.35199999998</v>
      </c>
      <c r="F3106" s="7">
        <f t="shared" si="97"/>
        <v>9634816</v>
      </c>
      <c r="G3106" s="7"/>
    </row>
    <row r="3107" spans="1:7" x14ac:dyDescent="0.35">
      <c r="A3107" t="str">
        <f>"2017-07-03"</f>
        <v>2017-07-03</v>
      </c>
      <c r="B3107" t="str">
        <f>"58.4893"</f>
        <v>58.4893</v>
      </c>
      <c r="C3107">
        <v>3105</v>
      </c>
      <c r="D3107" s="7">
        <v>58.4893</v>
      </c>
      <c r="E3107" s="7">
        <f t="shared" si="96"/>
        <v>181609.27650000001</v>
      </c>
      <c r="F3107" s="7">
        <f t="shared" si="97"/>
        <v>9641025</v>
      </c>
      <c r="G3107" s="7"/>
    </row>
    <row r="3108" spans="1:7" x14ac:dyDescent="0.35">
      <c r="A3108" t="str">
        <f>"2017-07-05"</f>
        <v>2017-07-05</v>
      </c>
      <c r="B3108" t="str">
        <f>"58.9573"</f>
        <v>58.9573</v>
      </c>
      <c r="C3108">
        <v>3106</v>
      </c>
      <c r="D3108" s="7">
        <v>58.957299999999996</v>
      </c>
      <c r="E3108" s="7">
        <f t="shared" si="96"/>
        <v>183121.3738</v>
      </c>
      <c r="F3108" s="7">
        <f t="shared" si="97"/>
        <v>9647236</v>
      </c>
      <c r="G3108" s="7"/>
    </row>
    <row r="3109" spans="1:7" x14ac:dyDescent="0.35">
      <c r="A3109" t="str">
        <f>"2017-07-06"</f>
        <v>2017-07-06</v>
      </c>
      <c r="B3109" t="str">
        <f>"58.6254"</f>
        <v>58.6254</v>
      </c>
      <c r="C3109">
        <v>3107</v>
      </c>
      <c r="D3109" s="7">
        <v>58.625399999999999</v>
      </c>
      <c r="E3109" s="7">
        <f t="shared" si="96"/>
        <v>182149.11780000001</v>
      </c>
      <c r="F3109" s="7">
        <f t="shared" si="97"/>
        <v>9653449</v>
      </c>
      <c r="G3109" s="7"/>
    </row>
    <row r="3110" spans="1:7" x14ac:dyDescent="0.35">
      <c r="A3110" t="str">
        <f>"2017-07-07"</f>
        <v>2017-07-07</v>
      </c>
      <c r="B3110" t="str">
        <f>"59.5584"</f>
        <v>59.5584</v>
      </c>
      <c r="C3110">
        <v>3108</v>
      </c>
      <c r="D3110" s="7">
        <v>59.558399999999999</v>
      </c>
      <c r="E3110" s="7">
        <f t="shared" si="96"/>
        <v>185107.50719999999</v>
      </c>
      <c r="F3110" s="7">
        <f t="shared" si="97"/>
        <v>9659664</v>
      </c>
      <c r="G3110" s="7"/>
    </row>
    <row r="3111" spans="1:7" x14ac:dyDescent="0.35">
      <c r="A3111" t="str">
        <f>"2017-07-10"</f>
        <v>2017-07-10</v>
      </c>
      <c r="B3111" t="str">
        <f>"61.4567"</f>
        <v>61.4567</v>
      </c>
      <c r="C3111">
        <v>3109</v>
      </c>
      <c r="D3111" s="7">
        <v>61.456699999999998</v>
      </c>
      <c r="E3111" s="7">
        <f t="shared" si="96"/>
        <v>191068.88029999999</v>
      </c>
      <c r="F3111" s="7">
        <f t="shared" si="97"/>
        <v>9665881</v>
      </c>
      <c r="G3111" s="7"/>
    </row>
    <row r="3112" spans="1:7" x14ac:dyDescent="0.35">
      <c r="A3112" t="str">
        <f>"2017-07-12"</f>
        <v>2017-07-12</v>
      </c>
      <c r="B3112" t="str">
        <f>"60.7358"</f>
        <v>60.7358</v>
      </c>
      <c r="C3112">
        <v>3110</v>
      </c>
      <c r="D3112" s="7">
        <v>60.735799999999998</v>
      </c>
      <c r="E3112" s="7">
        <f t="shared" si="96"/>
        <v>188888.33799999999</v>
      </c>
      <c r="F3112" s="7">
        <f t="shared" si="97"/>
        <v>9672100</v>
      </c>
      <c r="G3112" s="7"/>
    </row>
    <row r="3113" spans="1:7" x14ac:dyDescent="0.35">
      <c r="A3113" t="str">
        <f>"2017-07-13"</f>
        <v>2017-07-13</v>
      </c>
      <c r="B3113" t="str">
        <f>"62.7624"</f>
        <v>62.7624</v>
      </c>
      <c r="C3113">
        <v>3111</v>
      </c>
      <c r="D3113" s="7">
        <v>62.7624</v>
      </c>
      <c r="E3113" s="7">
        <f t="shared" si="96"/>
        <v>195253.82639999999</v>
      </c>
      <c r="F3113" s="7">
        <f t="shared" si="97"/>
        <v>9678321</v>
      </c>
      <c r="G3113" s="7"/>
    </row>
    <row r="3114" spans="1:7" x14ac:dyDescent="0.35">
      <c r="A3114" t="str">
        <f>"2017-07-14"</f>
        <v>2017-07-14</v>
      </c>
      <c r="B3114" t="str">
        <f>"62.7895"</f>
        <v>62.7895</v>
      </c>
      <c r="C3114">
        <v>3112</v>
      </c>
      <c r="D3114" s="7">
        <v>62.789499999999997</v>
      </c>
      <c r="E3114" s="7">
        <f t="shared" si="96"/>
        <v>195400.924</v>
      </c>
      <c r="F3114" s="7">
        <f t="shared" si="97"/>
        <v>9684544</v>
      </c>
      <c r="G3114" s="7"/>
    </row>
    <row r="3115" spans="1:7" x14ac:dyDescent="0.35">
      <c r="A3115" t="str">
        <f>"2017-07-17"</f>
        <v>2017-07-17</v>
      </c>
      <c r="B3115" t="str">
        <f>"63.8336"</f>
        <v>63.8336</v>
      </c>
      <c r="C3115">
        <v>3113</v>
      </c>
      <c r="D3115" s="7">
        <v>63.833599999999997</v>
      </c>
      <c r="E3115" s="7">
        <f t="shared" si="96"/>
        <v>198713.99679999999</v>
      </c>
      <c r="F3115" s="7">
        <f t="shared" si="97"/>
        <v>9690769</v>
      </c>
      <c r="G3115" s="7"/>
    </row>
    <row r="3116" spans="1:7" x14ac:dyDescent="0.35">
      <c r="A3116" t="str">
        <f>"2017-07-18"</f>
        <v>2017-07-18</v>
      </c>
      <c r="B3116" t="str">
        <f>"62.923"</f>
        <v>62.923</v>
      </c>
      <c r="C3116">
        <v>3114</v>
      </c>
      <c r="D3116" s="7">
        <v>62.923000000000002</v>
      </c>
      <c r="E3116" s="7">
        <f t="shared" si="96"/>
        <v>195942.22200000001</v>
      </c>
      <c r="F3116" s="7">
        <f t="shared" si="97"/>
        <v>9696996</v>
      </c>
      <c r="G3116" s="7"/>
    </row>
    <row r="3117" spans="1:7" x14ac:dyDescent="0.35">
      <c r="A3117" t="str">
        <f>"2017-07-19"</f>
        <v>2017-07-19</v>
      </c>
      <c r="B3117" t="str">
        <f>"63.7091"</f>
        <v>63.7091</v>
      </c>
      <c r="C3117">
        <v>3115</v>
      </c>
      <c r="D3117" s="7">
        <v>63.709099999999999</v>
      </c>
      <c r="E3117" s="7">
        <f t="shared" si="96"/>
        <v>198453.84649999999</v>
      </c>
      <c r="F3117" s="7">
        <f t="shared" si="97"/>
        <v>9703225</v>
      </c>
      <c r="G3117" s="7"/>
    </row>
    <row r="3118" spans="1:7" x14ac:dyDescent="0.35">
      <c r="A3118" t="str">
        <f>"2017-07-20"</f>
        <v>2017-07-20</v>
      </c>
      <c r="B3118" t="str">
        <f>"62.0198"</f>
        <v>62.0198</v>
      </c>
      <c r="C3118">
        <v>3116</v>
      </c>
      <c r="D3118" s="7">
        <v>62.019799999999996</v>
      </c>
      <c r="E3118" s="7">
        <f t="shared" si="96"/>
        <v>193253.69679999998</v>
      </c>
      <c r="F3118" s="7">
        <f t="shared" si="97"/>
        <v>9709456</v>
      </c>
      <c r="G3118" s="7"/>
    </row>
    <row r="3119" spans="1:7" x14ac:dyDescent="0.35">
      <c r="A3119" t="str">
        <f>"2017-07-21"</f>
        <v>2017-07-21</v>
      </c>
      <c r="B3119" t="str">
        <f>"62.1555"</f>
        <v>62.1555</v>
      </c>
      <c r="C3119">
        <v>3117</v>
      </c>
      <c r="D3119" s="7">
        <v>62.155500000000004</v>
      </c>
      <c r="E3119" s="7">
        <f t="shared" si="96"/>
        <v>193738.69350000002</v>
      </c>
      <c r="F3119" s="7">
        <f t="shared" si="97"/>
        <v>9715689</v>
      </c>
      <c r="G3119" s="7"/>
    </row>
    <row r="3120" spans="1:7" x14ac:dyDescent="0.35">
      <c r="A3120" t="str">
        <f>"2017-07-24"</f>
        <v>2017-07-24</v>
      </c>
      <c r="B3120" t="str">
        <f>"62.0925"</f>
        <v>62.0925</v>
      </c>
      <c r="C3120">
        <v>3118</v>
      </c>
      <c r="D3120" s="7">
        <v>62.092500000000001</v>
      </c>
      <c r="E3120" s="7">
        <f t="shared" si="96"/>
        <v>193604.41500000001</v>
      </c>
      <c r="F3120" s="7">
        <f t="shared" si="97"/>
        <v>9721924</v>
      </c>
      <c r="G3120" s="7"/>
    </row>
    <row r="3121" spans="1:7" x14ac:dyDescent="0.35">
      <c r="A3121" t="str">
        <f>"2017-07-25"</f>
        <v>2017-07-25</v>
      </c>
      <c r="B3121" t="str">
        <f>"61.4248"</f>
        <v>61.4248</v>
      </c>
      <c r="C3121">
        <v>3119</v>
      </c>
      <c r="D3121" s="7">
        <v>61.424799999999998</v>
      </c>
      <c r="E3121" s="7">
        <f t="shared" si="96"/>
        <v>191583.95119999998</v>
      </c>
      <c r="F3121" s="7">
        <f t="shared" si="97"/>
        <v>9728161</v>
      </c>
      <c r="G3121" s="7"/>
    </row>
    <row r="3122" spans="1:7" x14ac:dyDescent="0.35">
      <c r="A3122" t="str">
        <f>"2017-07-26"</f>
        <v>2017-07-26</v>
      </c>
      <c r="B3122" t="str">
        <f>"60.5989"</f>
        <v>60.5989</v>
      </c>
      <c r="C3122">
        <v>3120</v>
      </c>
      <c r="D3122" s="7">
        <v>60.5989</v>
      </c>
      <c r="E3122" s="7">
        <f t="shared" si="96"/>
        <v>189068.568</v>
      </c>
      <c r="F3122" s="7">
        <f t="shared" si="97"/>
        <v>9734400</v>
      </c>
      <c r="G3122" s="7"/>
    </row>
    <row r="3123" spans="1:7" x14ac:dyDescent="0.35">
      <c r="A3123" t="str">
        <f>"2017-07-27"</f>
        <v>2017-07-27</v>
      </c>
      <c r="B3123" t="str">
        <f>"61.3442"</f>
        <v>61.3442</v>
      </c>
      <c r="C3123">
        <v>3121</v>
      </c>
      <c r="D3123" s="7">
        <v>61.344200000000001</v>
      </c>
      <c r="E3123" s="7">
        <f t="shared" si="96"/>
        <v>191455.2482</v>
      </c>
      <c r="F3123" s="7">
        <f t="shared" si="97"/>
        <v>9740641</v>
      </c>
      <c r="G3123" s="7"/>
    </row>
    <row r="3124" spans="1:7" x14ac:dyDescent="0.35">
      <c r="A3124" t="str">
        <f>"2017-07-28"</f>
        <v>2017-07-28</v>
      </c>
      <c r="B3124" t="str">
        <f>"60.0475"</f>
        <v>60.0475</v>
      </c>
      <c r="C3124">
        <v>3122</v>
      </c>
      <c r="D3124" s="7">
        <v>60.047499999999999</v>
      </c>
      <c r="E3124" s="7">
        <f t="shared" si="96"/>
        <v>187468.29499999998</v>
      </c>
      <c r="F3124" s="7">
        <f t="shared" si="97"/>
        <v>9746884</v>
      </c>
      <c r="G3124" s="7"/>
    </row>
    <row r="3125" spans="1:7" x14ac:dyDescent="0.35">
      <c r="A3125" t="str">
        <f>"2017-07-31"</f>
        <v>2017-07-31</v>
      </c>
      <c r="B3125" t="str">
        <f>"61.3865"</f>
        <v>61.3865</v>
      </c>
      <c r="C3125">
        <v>3123</v>
      </c>
      <c r="D3125" s="7">
        <v>61.386499999999998</v>
      </c>
      <c r="E3125" s="7">
        <f t="shared" si="96"/>
        <v>191710.03949999998</v>
      </c>
      <c r="F3125" s="7">
        <f t="shared" si="97"/>
        <v>9753129</v>
      </c>
      <c r="G3125" s="7"/>
    </row>
    <row r="3126" spans="1:7" x14ac:dyDescent="0.35">
      <c r="A3126" t="str">
        <f>"2017-08-01"</f>
        <v>2017-08-01</v>
      </c>
      <c r="B3126" t="str">
        <f>"60.0305"</f>
        <v>60.0305</v>
      </c>
      <c r="C3126">
        <v>3124</v>
      </c>
      <c r="D3126" s="7">
        <v>60.030500000000004</v>
      </c>
      <c r="E3126" s="7">
        <f t="shared" si="96"/>
        <v>187535.28200000001</v>
      </c>
      <c r="F3126" s="7">
        <f t="shared" si="97"/>
        <v>9759376</v>
      </c>
      <c r="G3126" s="7"/>
    </row>
    <row r="3127" spans="1:7" x14ac:dyDescent="0.35">
      <c r="A3127" t="str">
        <f>"2017-08-02"</f>
        <v>2017-08-02</v>
      </c>
      <c r="B3127" t="str">
        <f>"60.0231"</f>
        <v>60.0231</v>
      </c>
      <c r="C3127">
        <v>3125</v>
      </c>
      <c r="D3127" s="7">
        <v>60.023099999999999</v>
      </c>
      <c r="E3127" s="7">
        <f t="shared" si="96"/>
        <v>187572.1875</v>
      </c>
      <c r="F3127" s="7">
        <f t="shared" si="97"/>
        <v>9765625</v>
      </c>
      <c r="G3127" s="7"/>
    </row>
    <row r="3128" spans="1:7" x14ac:dyDescent="0.35">
      <c r="A3128" t="str">
        <f>"2017-08-03"</f>
        <v>2017-08-03</v>
      </c>
      <c r="B3128" t="str">
        <f>"60.1242"</f>
        <v>60.1242</v>
      </c>
      <c r="C3128">
        <v>3126</v>
      </c>
      <c r="D3128" s="7">
        <v>60.124200000000002</v>
      </c>
      <c r="E3128" s="7">
        <f t="shared" si="96"/>
        <v>187948.24920000002</v>
      </c>
      <c r="F3128" s="7">
        <f t="shared" si="97"/>
        <v>9771876</v>
      </c>
      <c r="G3128" s="7"/>
    </row>
    <row r="3129" spans="1:7" x14ac:dyDescent="0.35">
      <c r="A3129" t="str">
        <f>"2017-08-04"</f>
        <v>2017-08-04</v>
      </c>
      <c r="B3129" t="str">
        <f>"61.9486"</f>
        <v>61.9486</v>
      </c>
      <c r="C3129">
        <v>3127</v>
      </c>
      <c r="D3129" s="7">
        <v>61.948599999999999</v>
      </c>
      <c r="E3129" s="7">
        <f t="shared" si="96"/>
        <v>193713.27220000001</v>
      </c>
      <c r="F3129" s="7">
        <f t="shared" si="97"/>
        <v>9778129</v>
      </c>
      <c r="G3129" s="7"/>
    </row>
    <row r="3130" spans="1:7" x14ac:dyDescent="0.35">
      <c r="A3130" t="str">
        <f>"2017-08-07"</f>
        <v>2017-08-07</v>
      </c>
      <c r="B3130" t="str">
        <f>"63.4751"</f>
        <v>63.4751</v>
      </c>
      <c r="C3130">
        <v>3128</v>
      </c>
      <c r="D3130" s="7">
        <v>63.475099999999998</v>
      </c>
      <c r="E3130" s="7">
        <f t="shared" si="96"/>
        <v>198550.1128</v>
      </c>
      <c r="F3130" s="7">
        <f t="shared" si="97"/>
        <v>9784384</v>
      </c>
      <c r="G3130" s="7"/>
    </row>
    <row r="3131" spans="1:7" x14ac:dyDescent="0.35">
      <c r="A3131" t="str">
        <f>"2017-08-08"</f>
        <v>2017-08-08</v>
      </c>
      <c r="B3131" t="str">
        <f>"63.4922"</f>
        <v>63.4922</v>
      </c>
      <c r="C3131">
        <v>3129</v>
      </c>
      <c r="D3131" s="7">
        <v>63.492199999999997</v>
      </c>
      <c r="E3131" s="7">
        <f t="shared" si="96"/>
        <v>198667.0938</v>
      </c>
      <c r="F3131" s="7">
        <f t="shared" si="97"/>
        <v>9790641</v>
      </c>
      <c r="G3131" s="7"/>
    </row>
    <row r="3132" spans="1:7" x14ac:dyDescent="0.35">
      <c r="A3132" t="str">
        <f>"2017-08-09"</f>
        <v>2017-08-09</v>
      </c>
      <c r="B3132" t="str">
        <f>"61.7356"</f>
        <v>61.7356</v>
      </c>
      <c r="C3132">
        <v>3130</v>
      </c>
      <c r="D3132" s="7">
        <v>61.735599999999998</v>
      </c>
      <c r="E3132" s="7">
        <f t="shared" si="96"/>
        <v>193232.42799999999</v>
      </c>
      <c r="F3132" s="7">
        <f t="shared" si="97"/>
        <v>9796900</v>
      </c>
      <c r="G3132" s="7"/>
    </row>
    <row r="3133" spans="1:7" x14ac:dyDescent="0.35">
      <c r="A3133" t="str">
        <f>"2017-08-10"</f>
        <v>2017-08-10</v>
      </c>
      <c r="B3133" t="str">
        <f>"60.5284"</f>
        <v>60.5284</v>
      </c>
      <c r="C3133">
        <v>3131</v>
      </c>
      <c r="D3133" s="7">
        <v>60.528399999999998</v>
      </c>
      <c r="E3133" s="7">
        <f t="shared" si="96"/>
        <v>189514.4204</v>
      </c>
      <c r="F3133" s="7">
        <f t="shared" si="97"/>
        <v>9803161</v>
      </c>
      <c r="G3133" s="7"/>
    </row>
    <row r="3134" spans="1:7" x14ac:dyDescent="0.35">
      <c r="A3134" t="str">
        <f>"2017-08-11"</f>
        <v>2017-08-11</v>
      </c>
      <c r="B3134" t="str">
        <f>"61.3711"</f>
        <v>61.3711</v>
      </c>
      <c r="C3134">
        <v>3132</v>
      </c>
      <c r="D3134" s="7">
        <v>61.371099999999998</v>
      </c>
      <c r="E3134" s="7">
        <f t="shared" si="96"/>
        <v>192214.28519999998</v>
      </c>
      <c r="F3134" s="7">
        <f t="shared" si="97"/>
        <v>9809424</v>
      </c>
      <c r="G3134" s="7"/>
    </row>
    <row r="3135" spans="1:7" x14ac:dyDescent="0.35">
      <c r="A3135" t="str">
        <f>"2017-08-14"</f>
        <v>2017-08-14</v>
      </c>
      <c r="B3135" t="str">
        <f>"65.1171"</f>
        <v>65.1171</v>
      </c>
      <c r="C3135">
        <v>3133</v>
      </c>
      <c r="D3135" s="7">
        <v>65.117099999999994</v>
      </c>
      <c r="E3135" s="7">
        <f t="shared" si="96"/>
        <v>204011.87429999997</v>
      </c>
      <c r="F3135" s="7">
        <f t="shared" si="97"/>
        <v>9815689</v>
      </c>
      <c r="G3135" s="7"/>
    </row>
    <row r="3136" spans="1:7" x14ac:dyDescent="0.35">
      <c r="A3136" t="str">
        <f>"2017-08-15"</f>
        <v>2017-08-15</v>
      </c>
      <c r="B3136" t="str">
        <f>"64.2827"</f>
        <v>64.2827</v>
      </c>
      <c r="C3136">
        <v>3134</v>
      </c>
      <c r="D3136" s="7">
        <v>64.282700000000006</v>
      </c>
      <c r="E3136" s="7">
        <f t="shared" si="96"/>
        <v>201461.98180000001</v>
      </c>
      <c r="F3136" s="7">
        <f t="shared" si="97"/>
        <v>9821956</v>
      </c>
      <c r="G3136" s="7"/>
    </row>
    <row r="3137" spans="1:7" x14ac:dyDescent="0.35">
      <c r="A3137" t="str">
        <f>"2017-08-16"</f>
        <v>2017-08-16</v>
      </c>
      <c r="B3137" t="str">
        <f>"64.0599"</f>
        <v>64.0599</v>
      </c>
      <c r="C3137">
        <v>3135</v>
      </c>
      <c r="D3137" s="7">
        <v>64.059899999999999</v>
      </c>
      <c r="E3137" s="7">
        <f t="shared" si="96"/>
        <v>200827.78649999999</v>
      </c>
      <c r="F3137" s="7">
        <f t="shared" si="97"/>
        <v>9828225</v>
      </c>
      <c r="G3137" s="7"/>
    </row>
    <row r="3138" spans="1:7" x14ac:dyDescent="0.35">
      <c r="A3138" t="str">
        <f>"2017-08-17"</f>
        <v>2017-08-17</v>
      </c>
      <c r="B3138" t="str">
        <f>"63.9532"</f>
        <v>63.9532</v>
      </c>
      <c r="C3138">
        <v>3136</v>
      </c>
      <c r="D3138" s="7">
        <v>63.953200000000002</v>
      </c>
      <c r="E3138" s="7">
        <f t="shared" si="96"/>
        <v>200557.2352</v>
      </c>
      <c r="F3138" s="7">
        <f t="shared" si="97"/>
        <v>9834496</v>
      </c>
      <c r="G3138" s="7"/>
    </row>
    <row r="3139" spans="1:7" x14ac:dyDescent="0.35">
      <c r="A3139" t="str">
        <f>"2017-08-18"</f>
        <v>2017-08-18</v>
      </c>
      <c r="B3139" t="str">
        <f>"63.4806"</f>
        <v>63.4806</v>
      </c>
      <c r="C3139">
        <v>3137</v>
      </c>
      <c r="D3139" s="7">
        <v>63.480600000000003</v>
      </c>
      <c r="E3139" s="7">
        <f t="shared" si="96"/>
        <v>199138.6422</v>
      </c>
      <c r="F3139" s="7">
        <f t="shared" si="97"/>
        <v>9840769</v>
      </c>
      <c r="G3139" s="7"/>
    </row>
    <row r="3140" spans="1:7" x14ac:dyDescent="0.35">
      <c r="A3140" t="str">
        <f>"2017-08-21"</f>
        <v>2017-08-21</v>
      </c>
      <c r="B3140" t="str">
        <f>"64.3436"</f>
        <v>64.3436</v>
      </c>
      <c r="C3140">
        <v>3138</v>
      </c>
      <c r="D3140" s="7">
        <v>64.343599999999995</v>
      </c>
      <c r="E3140" s="7">
        <f t="shared" ref="E3140:E3203" si="98">C3140*D3140</f>
        <v>201910.21679999999</v>
      </c>
      <c r="F3140" s="7">
        <f t="shared" ref="F3140:F3203" si="99">C3140*C3140</f>
        <v>9847044</v>
      </c>
      <c r="G3140" s="7"/>
    </row>
    <row r="3141" spans="1:7" x14ac:dyDescent="0.35">
      <c r="A3141" t="str">
        <f>"2017-08-22"</f>
        <v>2017-08-22</v>
      </c>
      <c r="B3141" t="str">
        <f>"66.1811"</f>
        <v>66.1811</v>
      </c>
      <c r="C3141">
        <v>3139</v>
      </c>
      <c r="D3141" s="7">
        <v>66.181100000000001</v>
      </c>
      <c r="E3141" s="7">
        <f t="shared" si="98"/>
        <v>207742.47289999999</v>
      </c>
      <c r="F3141" s="7">
        <f t="shared" si="99"/>
        <v>9853321</v>
      </c>
      <c r="G3141" s="7"/>
    </row>
    <row r="3142" spans="1:7" x14ac:dyDescent="0.35">
      <c r="A3142" t="str">
        <f>"2017-08-23"</f>
        <v>2017-08-23</v>
      </c>
      <c r="B3142" t="str">
        <f>"65.3014"</f>
        <v>65.3014</v>
      </c>
      <c r="C3142">
        <v>3140</v>
      </c>
      <c r="D3142" s="7">
        <v>65.301400000000001</v>
      </c>
      <c r="E3142" s="7">
        <f t="shared" si="98"/>
        <v>205046.39600000001</v>
      </c>
      <c r="F3142" s="7">
        <f t="shared" si="99"/>
        <v>9859600</v>
      </c>
      <c r="G3142" s="7"/>
    </row>
    <row r="3143" spans="1:7" x14ac:dyDescent="0.35">
      <c r="A3143" t="str">
        <f>"2017-08-24"</f>
        <v>2017-08-24</v>
      </c>
      <c r="B3143" t="str">
        <f>"66.1017"</f>
        <v>66.1017</v>
      </c>
      <c r="C3143">
        <v>3141</v>
      </c>
      <c r="D3143" s="7">
        <v>66.101699999999994</v>
      </c>
      <c r="E3143" s="7">
        <f t="shared" si="98"/>
        <v>207625.43969999999</v>
      </c>
      <c r="F3143" s="7">
        <f t="shared" si="99"/>
        <v>9865881</v>
      </c>
      <c r="G3143" s="7"/>
    </row>
    <row r="3144" spans="1:7" x14ac:dyDescent="0.35">
      <c r="A3144" t="str">
        <f>"2017-08-25"</f>
        <v>2017-08-25</v>
      </c>
      <c r="B3144" t="str">
        <f>"66.6984"</f>
        <v>66.6984</v>
      </c>
      <c r="C3144">
        <v>3142</v>
      </c>
      <c r="D3144" s="7">
        <v>66.698400000000007</v>
      </c>
      <c r="E3144" s="7">
        <f t="shared" si="98"/>
        <v>209566.37280000001</v>
      </c>
      <c r="F3144" s="7">
        <f t="shared" si="99"/>
        <v>9872164</v>
      </c>
      <c r="G3144" s="7"/>
    </row>
    <row r="3145" spans="1:7" x14ac:dyDescent="0.35">
      <c r="A3145" t="str">
        <f>"2017-08-28"</f>
        <v>2017-08-28</v>
      </c>
      <c r="B3145" t="str">
        <f>"68.1744"</f>
        <v>68.1744</v>
      </c>
      <c r="C3145">
        <v>3143</v>
      </c>
      <c r="D3145" s="7">
        <v>68.174400000000006</v>
      </c>
      <c r="E3145" s="7">
        <f t="shared" si="98"/>
        <v>214272.13920000001</v>
      </c>
      <c r="F3145" s="7">
        <f t="shared" si="99"/>
        <v>9878449</v>
      </c>
      <c r="G3145" s="7"/>
    </row>
    <row r="3146" spans="1:7" x14ac:dyDescent="0.35">
      <c r="A3146" t="str">
        <f>"2017-08-29"</f>
        <v>2017-08-29</v>
      </c>
      <c r="B3146" t="str">
        <f>"66.9651"</f>
        <v>66.9651</v>
      </c>
      <c r="C3146">
        <v>3144</v>
      </c>
      <c r="D3146" s="7">
        <v>66.965100000000007</v>
      </c>
      <c r="E3146" s="7">
        <f t="shared" si="98"/>
        <v>210538.27440000002</v>
      </c>
      <c r="F3146" s="7">
        <f t="shared" si="99"/>
        <v>9884736</v>
      </c>
      <c r="G3146" s="7"/>
    </row>
    <row r="3147" spans="1:7" x14ac:dyDescent="0.35">
      <c r="A3147" t="str">
        <f>"2017-08-30"</f>
        <v>2017-08-30</v>
      </c>
      <c r="B3147" t="str">
        <f>"67.363"</f>
        <v>67.363</v>
      </c>
      <c r="C3147">
        <v>3145</v>
      </c>
      <c r="D3147" s="7">
        <v>67.363</v>
      </c>
      <c r="E3147" s="7">
        <f t="shared" si="98"/>
        <v>211856.63500000001</v>
      </c>
      <c r="F3147" s="7">
        <f t="shared" si="99"/>
        <v>9891025</v>
      </c>
      <c r="G3147" s="7"/>
    </row>
    <row r="3148" spans="1:7" x14ac:dyDescent="0.35">
      <c r="A3148" t="str">
        <f>"2017-08-31"</f>
        <v>2017-08-31</v>
      </c>
      <c r="B3148" t="str">
        <f>"66.7539"</f>
        <v>66.7539</v>
      </c>
      <c r="C3148">
        <v>3146</v>
      </c>
      <c r="D3148" s="7">
        <v>66.753900000000002</v>
      </c>
      <c r="E3148" s="7">
        <f t="shared" si="98"/>
        <v>210007.76940000002</v>
      </c>
      <c r="F3148" s="7">
        <f t="shared" si="99"/>
        <v>9897316</v>
      </c>
      <c r="G3148" s="7"/>
    </row>
    <row r="3149" spans="1:7" x14ac:dyDescent="0.35">
      <c r="A3149" t="str">
        <f>"2017-09-01"</f>
        <v>2017-09-01</v>
      </c>
      <c r="B3149" t="str">
        <f>"66.4211"</f>
        <v>66.4211</v>
      </c>
      <c r="C3149">
        <v>3147</v>
      </c>
      <c r="D3149" s="7">
        <v>66.421099999999996</v>
      </c>
      <c r="E3149" s="7">
        <f t="shared" si="98"/>
        <v>209027.20169999998</v>
      </c>
      <c r="F3149" s="7">
        <f t="shared" si="99"/>
        <v>9903609</v>
      </c>
      <c r="G3149" s="7"/>
    </row>
    <row r="3150" spans="1:7" x14ac:dyDescent="0.35">
      <c r="A3150" t="str">
        <f>"2017-09-05"</f>
        <v>2017-09-05</v>
      </c>
      <c r="B3150" t="str">
        <f>"65.7317"</f>
        <v>65.7317</v>
      </c>
      <c r="C3150">
        <v>3148</v>
      </c>
      <c r="D3150" s="7">
        <v>65.731700000000004</v>
      </c>
      <c r="E3150" s="7">
        <f t="shared" si="98"/>
        <v>206923.3916</v>
      </c>
      <c r="F3150" s="7">
        <f t="shared" si="99"/>
        <v>9909904</v>
      </c>
      <c r="G3150" s="7"/>
    </row>
    <row r="3151" spans="1:7" x14ac:dyDescent="0.35">
      <c r="A3151" t="str">
        <f>"2017-09-06"</f>
        <v>2017-09-06</v>
      </c>
      <c r="B3151" t="str">
        <f>"66.6947"</f>
        <v>66.6947</v>
      </c>
      <c r="C3151">
        <v>3149</v>
      </c>
      <c r="D3151" s="7">
        <v>66.694699999999997</v>
      </c>
      <c r="E3151" s="7">
        <f t="shared" si="98"/>
        <v>210021.6103</v>
      </c>
      <c r="F3151" s="7">
        <f t="shared" si="99"/>
        <v>9916201</v>
      </c>
      <c r="G3151" s="7"/>
    </row>
    <row r="3152" spans="1:7" x14ac:dyDescent="0.35">
      <c r="A3152" t="str">
        <f>"2017-09-07"</f>
        <v>2017-09-07</v>
      </c>
      <c r="B3152" t="str">
        <f>"67.7113"</f>
        <v>67.7113</v>
      </c>
      <c r="C3152">
        <v>3150</v>
      </c>
      <c r="D3152" s="7">
        <v>67.711299999999994</v>
      </c>
      <c r="E3152" s="7">
        <f t="shared" si="98"/>
        <v>213290.59499999997</v>
      </c>
      <c r="F3152" s="7">
        <f t="shared" si="99"/>
        <v>9922500</v>
      </c>
      <c r="G3152" s="7"/>
    </row>
    <row r="3153" spans="1:7" x14ac:dyDescent="0.35">
      <c r="A3153" t="str">
        <f>"2017-09-08"</f>
        <v>2017-09-08</v>
      </c>
      <c r="B3153" t="str">
        <f>"67.1633"</f>
        <v>67.1633</v>
      </c>
      <c r="C3153">
        <v>3151</v>
      </c>
      <c r="D3153" s="7">
        <v>67.163300000000007</v>
      </c>
      <c r="E3153" s="7">
        <f t="shared" si="98"/>
        <v>211631.55830000003</v>
      </c>
      <c r="F3153" s="7">
        <f t="shared" si="99"/>
        <v>9928801</v>
      </c>
      <c r="G3153" s="7"/>
    </row>
    <row r="3154" spans="1:7" x14ac:dyDescent="0.35">
      <c r="A3154" t="str">
        <f>"2017-09-11"</f>
        <v>2017-09-11</v>
      </c>
      <c r="B3154" t="str">
        <f>"70.122"</f>
        <v>70.122</v>
      </c>
      <c r="C3154">
        <v>3152</v>
      </c>
      <c r="D3154" s="7">
        <v>70.122</v>
      </c>
      <c r="E3154" s="7">
        <f t="shared" si="98"/>
        <v>221024.54399999999</v>
      </c>
      <c r="F3154" s="7">
        <f t="shared" si="99"/>
        <v>9935104</v>
      </c>
      <c r="G3154" s="7"/>
    </row>
    <row r="3155" spans="1:7" x14ac:dyDescent="0.35">
      <c r="A3155" t="str">
        <f>"2017-09-12"</f>
        <v>2017-09-12</v>
      </c>
      <c r="B3155" t="str">
        <f>"71.8744"</f>
        <v>71.8744</v>
      </c>
      <c r="C3155">
        <v>3153</v>
      </c>
      <c r="D3155" s="7">
        <v>71.874399999999994</v>
      </c>
      <c r="E3155" s="7">
        <f t="shared" si="98"/>
        <v>226619.98319999999</v>
      </c>
      <c r="F3155" s="7">
        <f t="shared" si="99"/>
        <v>9941409</v>
      </c>
      <c r="G3155" s="7"/>
    </row>
    <row r="3156" spans="1:7" x14ac:dyDescent="0.35">
      <c r="A3156" t="str">
        <f>"2017-09-13"</f>
        <v>2017-09-13</v>
      </c>
      <c r="B3156" t="str">
        <f>"68.6746"</f>
        <v>68.6746</v>
      </c>
      <c r="C3156">
        <v>3154</v>
      </c>
      <c r="D3156" s="7">
        <v>68.674599999999998</v>
      </c>
      <c r="E3156" s="7">
        <f t="shared" si="98"/>
        <v>216599.68839999998</v>
      </c>
      <c r="F3156" s="7">
        <f t="shared" si="99"/>
        <v>9947716</v>
      </c>
      <c r="G3156" s="7"/>
    </row>
    <row r="3157" spans="1:7" x14ac:dyDescent="0.35">
      <c r="A3157" t="str">
        <f>"2017-09-14"</f>
        <v>2017-09-14</v>
      </c>
      <c r="B3157" t="str">
        <f>"67.3466"</f>
        <v>67.3466</v>
      </c>
      <c r="C3157">
        <v>3155</v>
      </c>
      <c r="D3157" s="7">
        <v>67.346599999999995</v>
      </c>
      <c r="E3157" s="7">
        <f t="shared" si="98"/>
        <v>212478.52299999999</v>
      </c>
      <c r="F3157" s="7">
        <f t="shared" si="99"/>
        <v>9954025</v>
      </c>
      <c r="G3157" s="7"/>
    </row>
    <row r="3158" spans="1:7" x14ac:dyDescent="0.35">
      <c r="A3158" t="str">
        <f>"2017-09-15"</f>
        <v>2017-09-15</v>
      </c>
      <c r="B3158" t="str">
        <f>"67.3307"</f>
        <v>67.3307</v>
      </c>
      <c r="C3158">
        <v>3156</v>
      </c>
      <c r="D3158" s="7">
        <v>67.330699999999993</v>
      </c>
      <c r="E3158" s="7">
        <f t="shared" si="98"/>
        <v>212495.68919999996</v>
      </c>
      <c r="F3158" s="7">
        <f t="shared" si="99"/>
        <v>9960336</v>
      </c>
      <c r="G3158" s="7"/>
    </row>
    <row r="3159" spans="1:7" x14ac:dyDescent="0.35">
      <c r="A3159" t="str">
        <f>"2017-09-18"</f>
        <v>2017-09-18</v>
      </c>
      <c r="B3159" t="str">
        <f>"64.1457"</f>
        <v>64.1457</v>
      </c>
      <c r="C3159">
        <v>3157</v>
      </c>
      <c r="D3159" s="7">
        <v>64.145700000000005</v>
      </c>
      <c r="E3159" s="7">
        <f t="shared" si="98"/>
        <v>202507.97490000003</v>
      </c>
      <c r="F3159" s="7">
        <f t="shared" si="99"/>
        <v>9966649</v>
      </c>
      <c r="G3159" s="7"/>
    </row>
    <row r="3160" spans="1:7" x14ac:dyDescent="0.35">
      <c r="A3160" t="str">
        <f>"2017-09-19"</f>
        <v>2017-09-19</v>
      </c>
      <c r="B3160" t="str">
        <f>"62.8685"</f>
        <v>62.8685</v>
      </c>
      <c r="C3160">
        <v>3158</v>
      </c>
      <c r="D3160" s="7">
        <v>62.868499999999997</v>
      </c>
      <c r="E3160" s="7">
        <f t="shared" si="98"/>
        <v>198538.723</v>
      </c>
      <c r="F3160" s="7">
        <f t="shared" si="99"/>
        <v>9972964</v>
      </c>
      <c r="G3160" s="7"/>
    </row>
    <row r="3161" spans="1:7" x14ac:dyDescent="0.35">
      <c r="A3161" t="str">
        <f>"2017-09-20"</f>
        <v>2017-09-20</v>
      </c>
      <c r="B3161" t="str">
        <f>"63.3426"</f>
        <v>63.3426</v>
      </c>
      <c r="C3161">
        <v>3159</v>
      </c>
      <c r="D3161" s="7">
        <v>63.342599999999997</v>
      </c>
      <c r="E3161" s="7">
        <f t="shared" si="98"/>
        <v>200099.27340000001</v>
      </c>
      <c r="F3161" s="7">
        <f t="shared" si="99"/>
        <v>9979281</v>
      </c>
      <c r="G3161" s="7"/>
    </row>
    <row r="3162" spans="1:7" x14ac:dyDescent="0.35">
      <c r="A3162" t="str">
        <f>"2017-09-21"</f>
        <v>2017-09-21</v>
      </c>
      <c r="B3162" t="str">
        <f>"63.5369"</f>
        <v>63.5369</v>
      </c>
      <c r="C3162">
        <v>3160</v>
      </c>
      <c r="D3162" s="7">
        <v>63.536900000000003</v>
      </c>
      <c r="E3162" s="7">
        <f t="shared" si="98"/>
        <v>200776.60400000002</v>
      </c>
      <c r="F3162" s="7">
        <f t="shared" si="99"/>
        <v>9985600</v>
      </c>
      <c r="G3162" s="7"/>
    </row>
    <row r="3163" spans="1:7" x14ac:dyDescent="0.35">
      <c r="A3163" t="str">
        <f>"2017-09-22"</f>
        <v>2017-09-22</v>
      </c>
      <c r="B3163" t="str">
        <f>"64.3429"</f>
        <v>64.3429</v>
      </c>
      <c r="C3163">
        <v>3161</v>
      </c>
      <c r="D3163" s="7">
        <v>64.3429</v>
      </c>
      <c r="E3163" s="7">
        <f t="shared" si="98"/>
        <v>203387.9069</v>
      </c>
      <c r="F3163" s="7">
        <f t="shared" si="99"/>
        <v>9991921</v>
      </c>
      <c r="G3163" s="7"/>
    </row>
    <row r="3164" spans="1:7" x14ac:dyDescent="0.35">
      <c r="A3164" t="str">
        <f>"2017-09-25"</f>
        <v>2017-09-25</v>
      </c>
      <c r="B3164" t="str">
        <f>"59.6528"</f>
        <v>59.6528</v>
      </c>
      <c r="C3164">
        <v>3162</v>
      </c>
      <c r="D3164" s="7">
        <v>59.652799999999999</v>
      </c>
      <c r="E3164" s="7">
        <f t="shared" si="98"/>
        <v>188622.15359999999</v>
      </c>
      <c r="F3164" s="7">
        <f t="shared" si="99"/>
        <v>9998244</v>
      </c>
      <c r="G3164" s="7"/>
    </row>
    <row r="3165" spans="1:7" x14ac:dyDescent="0.35">
      <c r="A3165" t="str">
        <f>"2017-09-26"</f>
        <v>2017-09-26</v>
      </c>
      <c r="B3165" t="str">
        <f>"60.9087"</f>
        <v>60.9087</v>
      </c>
      <c r="C3165">
        <v>3163</v>
      </c>
      <c r="D3165" s="7">
        <v>60.908700000000003</v>
      </c>
      <c r="E3165" s="7">
        <f t="shared" si="98"/>
        <v>192654.2181</v>
      </c>
      <c r="F3165" s="7">
        <f t="shared" si="99"/>
        <v>10004569</v>
      </c>
      <c r="G3165" s="7"/>
    </row>
    <row r="3166" spans="1:7" x14ac:dyDescent="0.35">
      <c r="A3166" t="str">
        <f>"2017-09-27"</f>
        <v>2017-09-27</v>
      </c>
      <c r="B3166" t="str">
        <f>"58.8493"</f>
        <v>58.8493</v>
      </c>
      <c r="C3166">
        <v>3164</v>
      </c>
      <c r="D3166" s="7">
        <v>58.849299999999999</v>
      </c>
      <c r="E3166" s="7">
        <f t="shared" si="98"/>
        <v>186199.18520000001</v>
      </c>
      <c r="F3166" s="7">
        <f t="shared" si="99"/>
        <v>10010896</v>
      </c>
      <c r="G3166" s="7"/>
    </row>
    <row r="3167" spans="1:7" x14ac:dyDescent="0.35">
      <c r="A3167" t="str">
        <f>"2017-09-28"</f>
        <v>2017-09-28</v>
      </c>
      <c r="B3167" t="str">
        <f>"60.26"</f>
        <v>60.26</v>
      </c>
      <c r="C3167">
        <v>3165</v>
      </c>
      <c r="D3167" s="7">
        <v>60.26</v>
      </c>
      <c r="E3167" s="7">
        <f t="shared" si="98"/>
        <v>190722.9</v>
      </c>
      <c r="F3167" s="7">
        <f t="shared" si="99"/>
        <v>10017225</v>
      </c>
      <c r="G3167" s="7"/>
    </row>
    <row r="3168" spans="1:7" x14ac:dyDescent="0.35">
      <c r="A3168" t="str">
        <f>"2017-09-29"</f>
        <v>2017-09-29</v>
      </c>
      <c r="B3168" t="str">
        <f>"59.6836"</f>
        <v>59.6836</v>
      </c>
      <c r="C3168">
        <v>3166</v>
      </c>
      <c r="D3168" s="7">
        <v>59.683599999999998</v>
      </c>
      <c r="E3168" s="7">
        <f t="shared" si="98"/>
        <v>188958.2776</v>
      </c>
      <c r="F3168" s="7">
        <f t="shared" si="99"/>
        <v>10023556</v>
      </c>
      <c r="G3168" s="7"/>
    </row>
    <row r="3169" spans="1:7" x14ac:dyDescent="0.35">
      <c r="A3169" t="str">
        <f>"2017-10-02"</f>
        <v>2017-10-02</v>
      </c>
      <c r="B3169" t="str">
        <f>"62.1574"</f>
        <v>62.1574</v>
      </c>
      <c r="C3169">
        <v>3167</v>
      </c>
      <c r="D3169" s="7">
        <v>62.157400000000003</v>
      </c>
      <c r="E3169" s="7">
        <f t="shared" si="98"/>
        <v>196852.48579999999</v>
      </c>
      <c r="F3169" s="7">
        <f t="shared" si="99"/>
        <v>10029889</v>
      </c>
      <c r="G3169" s="7"/>
    </row>
    <row r="3170" spans="1:7" x14ac:dyDescent="0.35">
      <c r="A3170" t="str">
        <f>"2017-10-03"</f>
        <v>2017-10-03</v>
      </c>
      <c r="B3170" t="str">
        <f>"61.3063"</f>
        <v>61.3063</v>
      </c>
      <c r="C3170">
        <v>3168</v>
      </c>
      <c r="D3170" s="7">
        <v>61.3063</v>
      </c>
      <c r="E3170" s="7">
        <f t="shared" si="98"/>
        <v>194218.3584</v>
      </c>
      <c r="F3170" s="7">
        <f t="shared" si="99"/>
        <v>10036224</v>
      </c>
      <c r="G3170" s="7"/>
    </row>
    <row r="3171" spans="1:7" x14ac:dyDescent="0.35">
      <c r="A3171" t="str">
        <f>"2017-10-04"</f>
        <v>2017-10-04</v>
      </c>
      <c r="B3171" t="str">
        <f>"62.7288"</f>
        <v>62.7288</v>
      </c>
      <c r="C3171">
        <v>3169</v>
      </c>
      <c r="D3171" s="7">
        <v>62.7288</v>
      </c>
      <c r="E3171" s="7">
        <f t="shared" si="98"/>
        <v>198787.56719999999</v>
      </c>
      <c r="F3171" s="7">
        <f t="shared" si="99"/>
        <v>10042561</v>
      </c>
      <c r="G3171" s="7"/>
    </row>
    <row r="3172" spans="1:7" x14ac:dyDescent="0.35">
      <c r="A3172" t="str">
        <f>"2017-10-05"</f>
        <v>2017-10-05</v>
      </c>
      <c r="B3172" t="str">
        <f>"62.6493"</f>
        <v>62.6493</v>
      </c>
      <c r="C3172">
        <v>3170</v>
      </c>
      <c r="D3172" s="7">
        <v>62.649299999999997</v>
      </c>
      <c r="E3172" s="7">
        <f t="shared" si="98"/>
        <v>198598.28099999999</v>
      </c>
      <c r="F3172" s="7">
        <f t="shared" si="99"/>
        <v>10048900</v>
      </c>
      <c r="G3172" s="7"/>
    </row>
    <row r="3173" spans="1:7" x14ac:dyDescent="0.35">
      <c r="A3173" t="str">
        <f>"2017-10-06"</f>
        <v>2017-10-06</v>
      </c>
      <c r="B3173" t="str">
        <f>"63.3513"</f>
        <v>63.3513</v>
      </c>
      <c r="C3173">
        <v>3171</v>
      </c>
      <c r="D3173" s="7">
        <v>63.351300000000002</v>
      </c>
      <c r="E3173" s="7">
        <f t="shared" si="98"/>
        <v>200886.97229999999</v>
      </c>
      <c r="F3173" s="7">
        <f t="shared" si="99"/>
        <v>10055241</v>
      </c>
      <c r="G3173" s="7"/>
    </row>
    <row r="3174" spans="1:7" x14ac:dyDescent="0.35">
      <c r="A3174" t="str">
        <f>"2017-10-09"</f>
        <v>2017-10-09</v>
      </c>
      <c r="B3174" t="str">
        <f>"55.186"</f>
        <v>55.186</v>
      </c>
      <c r="C3174">
        <v>3172</v>
      </c>
      <c r="D3174" s="7">
        <v>55.186</v>
      </c>
      <c r="E3174" s="7">
        <f t="shared" si="98"/>
        <v>175049.992</v>
      </c>
      <c r="F3174" s="7">
        <f t="shared" si="99"/>
        <v>10061584</v>
      </c>
      <c r="G3174" s="7"/>
    </row>
    <row r="3175" spans="1:7" x14ac:dyDescent="0.35">
      <c r="A3175" t="str">
        <f>"2017-10-10"</f>
        <v>2017-10-10</v>
      </c>
      <c r="B3175" t="str">
        <f>"56.3143"</f>
        <v>56.3143</v>
      </c>
      <c r="C3175">
        <v>3173</v>
      </c>
      <c r="D3175" s="7">
        <v>56.314300000000003</v>
      </c>
      <c r="E3175" s="7">
        <f t="shared" si="98"/>
        <v>178685.2739</v>
      </c>
      <c r="F3175" s="7">
        <f t="shared" si="99"/>
        <v>10067929</v>
      </c>
      <c r="G3175" s="7"/>
    </row>
    <row r="3176" spans="1:7" x14ac:dyDescent="0.35">
      <c r="A3176" t="str">
        <f>"2017-10-11"</f>
        <v>2017-10-11</v>
      </c>
      <c r="B3176" t="str">
        <f>"57.7534"</f>
        <v>57.7534</v>
      </c>
      <c r="C3176">
        <v>3174</v>
      </c>
      <c r="D3176" s="7">
        <v>57.753399999999999</v>
      </c>
      <c r="E3176" s="7">
        <f t="shared" si="98"/>
        <v>183309.2916</v>
      </c>
      <c r="F3176" s="7">
        <f t="shared" si="99"/>
        <v>10074276</v>
      </c>
      <c r="G3176" s="7"/>
    </row>
    <row r="3177" spans="1:7" x14ac:dyDescent="0.35">
      <c r="A3177" t="str">
        <f>"2017-10-12"</f>
        <v>2017-10-12</v>
      </c>
      <c r="B3177" t="str">
        <f>"60.2479"</f>
        <v>60.2479</v>
      </c>
      <c r="C3177">
        <v>3175</v>
      </c>
      <c r="D3177" s="7">
        <v>60.247900000000001</v>
      </c>
      <c r="E3177" s="7">
        <f t="shared" si="98"/>
        <v>191287.08250000002</v>
      </c>
      <c r="F3177" s="7">
        <f t="shared" si="99"/>
        <v>10080625</v>
      </c>
      <c r="G3177" s="7"/>
    </row>
    <row r="3178" spans="1:7" x14ac:dyDescent="0.35">
      <c r="A3178" t="str">
        <f>"2017-10-13"</f>
        <v>2017-10-13</v>
      </c>
      <c r="B3178" t="str">
        <f>"59.7978"</f>
        <v>59.7978</v>
      </c>
      <c r="C3178">
        <v>3176</v>
      </c>
      <c r="D3178" s="7">
        <v>59.797800000000002</v>
      </c>
      <c r="E3178" s="7">
        <f t="shared" si="98"/>
        <v>189917.81280000001</v>
      </c>
      <c r="F3178" s="7">
        <f t="shared" si="99"/>
        <v>10086976</v>
      </c>
      <c r="G3178" s="7"/>
    </row>
    <row r="3179" spans="1:7" x14ac:dyDescent="0.35">
      <c r="A3179" t="str">
        <f>"2017-10-16"</f>
        <v>2017-10-16</v>
      </c>
      <c r="B3179" t="str">
        <f>"61.4996"</f>
        <v>61.4996</v>
      </c>
      <c r="C3179">
        <v>3177</v>
      </c>
      <c r="D3179" s="7">
        <v>61.499600000000001</v>
      </c>
      <c r="E3179" s="7">
        <f t="shared" si="98"/>
        <v>195384.2292</v>
      </c>
      <c r="F3179" s="7">
        <f t="shared" si="99"/>
        <v>10093329</v>
      </c>
      <c r="G3179" s="7"/>
    </row>
    <row r="3180" spans="1:7" x14ac:dyDescent="0.35">
      <c r="A3180" t="str">
        <f>"2017-10-17"</f>
        <v>2017-10-17</v>
      </c>
      <c r="B3180" t="str">
        <f>"63.1091"</f>
        <v>63.1091</v>
      </c>
      <c r="C3180">
        <v>3178</v>
      </c>
      <c r="D3180" s="7">
        <v>63.109099999999998</v>
      </c>
      <c r="E3180" s="7">
        <f t="shared" si="98"/>
        <v>200560.71979999999</v>
      </c>
      <c r="F3180" s="7">
        <f t="shared" si="99"/>
        <v>10099684</v>
      </c>
      <c r="G3180" s="7"/>
    </row>
    <row r="3181" spans="1:7" x14ac:dyDescent="0.35">
      <c r="A3181" t="str">
        <f>"2017-10-18"</f>
        <v>2017-10-18</v>
      </c>
      <c r="B3181" t="str">
        <f>"63.6495"</f>
        <v>63.6495</v>
      </c>
      <c r="C3181">
        <v>3179</v>
      </c>
      <c r="D3181" s="7">
        <v>63.649500000000003</v>
      </c>
      <c r="E3181" s="7">
        <f t="shared" si="98"/>
        <v>202341.7605</v>
      </c>
      <c r="F3181" s="7">
        <f t="shared" si="99"/>
        <v>10106041</v>
      </c>
      <c r="G3181" s="7"/>
    </row>
    <row r="3182" spans="1:7" x14ac:dyDescent="0.35">
      <c r="A3182" t="str">
        <f>"2017-10-19"</f>
        <v>2017-10-19</v>
      </c>
      <c r="B3182" t="str">
        <f>"65.4045"</f>
        <v>65.4045</v>
      </c>
      <c r="C3182">
        <v>3180</v>
      </c>
      <c r="D3182" s="7">
        <v>65.404499999999999</v>
      </c>
      <c r="E3182" s="7">
        <f t="shared" si="98"/>
        <v>207986.31</v>
      </c>
      <c r="F3182" s="7">
        <f t="shared" si="99"/>
        <v>10112400</v>
      </c>
      <c r="G3182" s="7"/>
    </row>
    <row r="3183" spans="1:7" x14ac:dyDescent="0.35">
      <c r="A3183" t="str">
        <f>"2017-10-20"</f>
        <v>2017-10-20</v>
      </c>
      <c r="B3183" t="str">
        <f>"65.8659"</f>
        <v>65.8659</v>
      </c>
      <c r="C3183">
        <v>3181</v>
      </c>
      <c r="D3183" s="7">
        <v>65.865899999999996</v>
      </c>
      <c r="E3183" s="7">
        <f t="shared" si="98"/>
        <v>209519.42789999998</v>
      </c>
      <c r="F3183" s="7">
        <f t="shared" si="99"/>
        <v>10118761</v>
      </c>
      <c r="G3183" s="7"/>
    </row>
    <row r="3184" spans="1:7" x14ac:dyDescent="0.35">
      <c r="A3184" t="str">
        <f>"2017-10-23"</f>
        <v>2017-10-23</v>
      </c>
      <c r="B3184" t="str">
        <f>"65.2079"</f>
        <v>65.2079</v>
      </c>
      <c r="C3184">
        <v>3182</v>
      </c>
      <c r="D3184" s="7">
        <v>65.207899999999995</v>
      </c>
      <c r="E3184" s="7">
        <f t="shared" si="98"/>
        <v>207491.53779999999</v>
      </c>
      <c r="F3184" s="7">
        <f t="shared" si="99"/>
        <v>10125124</v>
      </c>
      <c r="G3184" s="7"/>
    </row>
    <row r="3185" spans="1:7" x14ac:dyDescent="0.35">
      <c r="A3185" t="str">
        <f>"2017-10-24"</f>
        <v>2017-10-24</v>
      </c>
      <c r="B3185" t="str">
        <f>"64.9129"</f>
        <v>64.9129</v>
      </c>
      <c r="C3185">
        <v>3183</v>
      </c>
      <c r="D3185" s="7">
        <v>64.912899999999993</v>
      </c>
      <c r="E3185" s="7">
        <f t="shared" si="98"/>
        <v>206617.76069999998</v>
      </c>
      <c r="F3185" s="7">
        <f t="shared" si="99"/>
        <v>10131489</v>
      </c>
      <c r="G3185" s="7"/>
    </row>
    <row r="3186" spans="1:7" x14ac:dyDescent="0.35">
      <c r="A3186" t="str">
        <f>"2017-10-25"</f>
        <v>2017-10-25</v>
      </c>
      <c r="B3186" t="str">
        <f>"65.5134"</f>
        <v>65.5134</v>
      </c>
      <c r="C3186">
        <v>3184</v>
      </c>
      <c r="D3186" s="7">
        <v>65.513400000000004</v>
      </c>
      <c r="E3186" s="7">
        <f t="shared" si="98"/>
        <v>208594.66560000001</v>
      </c>
      <c r="F3186" s="7">
        <f t="shared" si="99"/>
        <v>10137856</v>
      </c>
      <c r="G3186" s="7"/>
    </row>
    <row r="3187" spans="1:7" x14ac:dyDescent="0.35">
      <c r="A3187" t="str">
        <f>"2017-10-26"</f>
        <v>2017-10-26</v>
      </c>
      <c r="B3187" t="str">
        <f>"64.5001"</f>
        <v>64.5001</v>
      </c>
      <c r="C3187">
        <v>3185</v>
      </c>
      <c r="D3187" s="7">
        <v>64.500100000000003</v>
      </c>
      <c r="E3187" s="7">
        <f t="shared" si="98"/>
        <v>205432.81850000002</v>
      </c>
      <c r="F3187" s="7">
        <f t="shared" si="99"/>
        <v>10144225</v>
      </c>
      <c r="G3187" s="7"/>
    </row>
    <row r="3188" spans="1:7" x14ac:dyDescent="0.35">
      <c r="A3188" t="str">
        <f>"2017-10-27"</f>
        <v>2017-10-27</v>
      </c>
      <c r="B3188" t="str">
        <f>"64.8573"</f>
        <v>64.8573</v>
      </c>
      <c r="C3188">
        <v>3186</v>
      </c>
      <c r="D3188" s="7">
        <v>64.857299999999995</v>
      </c>
      <c r="E3188" s="7">
        <f t="shared" si="98"/>
        <v>206635.3578</v>
      </c>
      <c r="F3188" s="7">
        <f t="shared" si="99"/>
        <v>10150596</v>
      </c>
      <c r="G3188" s="7"/>
    </row>
    <row r="3189" spans="1:7" x14ac:dyDescent="0.35">
      <c r="A3189" t="str">
        <f>"2017-10-30"</f>
        <v>2017-10-30</v>
      </c>
      <c r="B3189" t="str">
        <f>"65.815"</f>
        <v>65.815</v>
      </c>
      <c r="C3189">
        <v>3187</v>
      </c>
      <c r="D3189" s="7">
        <v>65.814999999999998</v>
      </c>
      <c r="E3189" s="7">
        <f t="shared" si="98"/>
        <v>209752.405</v>
      </c>
      <c r="F3189" s="7">
        <f t="shared" si="99"/>
        <v>10156969</v>
      </c>
      <c r="G3189" s="7"/>
    </row>
    <row r="3190" spans="1:7" x14ac:dyDescent="0.35">
      <c r="A3190" t="str">
        <f>"2017-10-31"</f>
        <v>2017-10-31</v>
      </c>
      <c r="B3190" t="str">
        <f>"67.4612"</f>
        <v>67.4612</v>
      </c>
      <c r="C3190">
        <v>3188</v>
      </c>
      <c r="D3190" s="7">
        <v>67.461200000000005</v>
      </c>
      <c r="E3190" s="7">
        <f t="shared" si="98"/>
        <v>215066.30560000002</v>
      </c>
      <c r="F3190" s="7">
        <f t="shared" si="99"/>
        <v>10163344</v>
      </c>
      <c r="G3190" s="7"/>
    </row>
    <row r="3191" spans="1:7" x14ac:dyDescent="0.35">
      <c r="A3191" t="str">
        <f>"2017-11-01"</f>
        <v>2017-11-01</v>
      </c>
      <c r="B3191" t="str">
        <f>"67.7452"</f>
        <v>67.7452</v>
      </c>
      <c r="C3191">
        <v>3189</v>
      </c>
      <c r="D3191" s="7">
        <v>67.745199999999997</v>
      </c>
      <c r="E3191" s="7">
        <f t="shared" si="98"/>
        <v>216039.44279999999</v>
      </c>
      <c r="F3191" s="7">
        <f t="shared" si="99"/>
        <v>10169721</v>
      </c>
      <c r="G3191" s="7"/>
    </row>
    <row r="3192" spans="1:7" x14ac:dyDescent="0.35">
      <c r="A3192" t="str">
        <f>"2017-11-02"</f>
        <v>2017-11-02</v>
      </c>
      <c r="B3192" t="str">
        <f>"66.9584"</f>
        <v>66.9584</v>
      </c>
      <c r="C3192">
        <v>3190</v>
      </c>
      <c r="D3192" s="7">
        <v>66.958399999999997</v>
      </c>
      <c r="E3192" s="7">
        <f t="shared" si="98"/>
        <v>213597.296</v>
      </c>
      <c r="F3192" s="7">
        <f t="shared" si="99"/>
        <v>10176100</v>
      </c>
      <c r="G3192" s="7"/>
    </row>
    <row r="3193" spans="1:7" x14ac:dyDescent="0.35">
      <c r="A3193" t="str">
        <f>"2017-11-03"</f>
        <v>2017-11-03</v>
      </c>
      <c r="B3193" t="str">
        <f>"67.4212"</f>
        <v>67.4212</v>
      </c>
      <c r="C3193">
        <v>3191</v>
      </c>
      <c r="D3193" s="7">
        <v>67.421199999999999</v>
      </c>
      <c r="E3193" s="7">
        <f t="shared" si="98"/>
        <v>215141.04920000001</v>
      </c>
      <c r="F3193" s="7">
        <f t="shared" si="99"/>
        <v>10182481</v>
      </c>
      <c r="G3193" s="7"/>
    </row>
    <row r="3194" spans="1:7" x14ac:dyDescent="0.35">
      <c r="A3194" t="str">
        <f>"2017-11-06"</f>
        <v>2017-11-06</v>
      </c>
      <c r="B3194" t="str">
        <f>"69.2148"</f>
        <v>69.2148</v>
      </c>
      <c r="C3194">
        <v>3192</v>
      </c>
      <c r="D3194" s="7">
        <v>69.214799999999997</v>
      </c>
      <c r="E3194" s="7">
        <f t="shared" si="98"/>
        <v>220933.6416</v>
      </c>
      <c r="F3194" s="7">
        <f t="shared" si="99"/>
        <v>10188864</v>
      </c>
      <c r="G3194" s="7"/>
    </row>
    <row r="3195" spans="1:7" x14ac:dyDescent="0.35">
      <c r="A3195" t="str">
        <f>"2017-11-07"</f>
        <v>2017-11-07</v>
      </c>
      <c r="B3195" t="str">
        <f>"67.5252"</f>
        <v>67.5252</v>
      </c>
      <c r="C3195">
        <v>3193</v>
      </c>
      <c r="D3195" s="7">
        <v>67.525199999999998</v>
      </c>
      <c r="E3195" s="7">
        <f t="shared" si="98"/>
        <v>215607.96359999999</v>
      </c>
      <c r="F3195" s="7">
        <f t="shared" si="99"/>
        <v>10195249</v>
      </c>
      <c r="G3195" s="7"/>
    </row>
    <row r="3196" spans="1:7" x14ac:dyDescent="0.35">
      <c r="A3196" t="str">
        <f>"2017-11-08"</f>
        <v>2017-11-08</v>
      </c>
      <c r="B3196" t="str">
        <f>"65.9401"</f>
        <v>65.9401</v>
      </c>
      <c r="C3196">
        <v>3194</v>
      </c>
      <c r="D3196" s="7">
        <v>65.940100000000001</v>
      </c>
      <c r="E3196" s="7">
        <f t="shared" si="98"/>
        <v>210612.67939999999</v>
      </c>
      <c r="F3196" s="7">
        <f t="shared" si="99"/>
        <v>10201636</v>
      </c>
      <c r="G3196" s="7"/>
    </row>
    <row r="3197" spans="1:7" x14ac:dyDescent="0.35">
      <c r="A3197" t="str">
        <f>"2017-11-09"</f>
        <v>2017-11-09</v>
      </c>
      <c r="B3197" t="str">
        <f>"65.781"</f>
        <v>65.781</v>
      </c>
      <c r="C3197">
        <v>3195</v>
      </c>
      <c r="D3197" s="7">
        <v>65.781000000000006</v>
      </c>
      <c r="E3197" s="7">
        <f t="shared" si="98"/>
        <v>210170.29500000001</v>
      </c>
      <c r="F3197" s="7">
        <f t="shared" si="99"/>
        <v>10208025</v>
      </c>
      <c r="G3197" s="7"/>
    </row>
    <row r="3198" spans="1:7" x14ac:dyDescent="0.35">
      <c r="A3198" t="str">
        <f>"2017-11-10"</f>
        <v>2017-11-10</v>
      </c>
      <c r="B3198" t="str">
        <f>"63.3745"</f>
        <v>63.3745</v>
      </c>
      <c r="C3198">
        <v>3196</v>
      </c>
      <c r="D3198" s="7">
        <v>63.374499999999998</v>
      </c>
      <c r="E3198" s="7">
        <f t="shared" si="98"/>
        <v>202544.902</v>
      </c>
      <c r="F3198" s="7">
        <f t="shared" si="99"/>
        <v>10214416</v>
      </c>
      <c r="G3198" s="7"/>
    </row>
    <row r="3199" spans="1:7" x14ac:dyDescent="0.35">
      <c r="A3199" t="str">
        <f>"2017-11-13"</f>
        <v>2017-11-13</v>
      </c>
      <c r="B3199" t="str">
        <f>"61.7909"</f>
        <v>61.7909</v>
      </c>
      <c r="C3199">
        <v>3197</v>
      </c>
      <c r="D3199" s="7">
        <v>61.790900000000001</v>
      </c>
      <c r="E3199" s="7">
        <f t="shared" si="98"/>
        <v>197545.5073</v>
      </c>
      <c r="F3199" s="7">
        <f t="shared" si="99"/>
        <v>10220809</v>
      </c>
      <c r="G3199" s="7"/>
    </row>
    <row r="3200" spans="1:7" x14ac:dyDescent="0.35">
      <c r="A3200" t="str">
        <f>"2017-11-14"</f>
        <v>2017-11-14</v>
      </c>
      <c r="B3200" t="str">
        <f>"65.5011"</f>
        <v>65.5011</v>
      </c>
      <c r="C3200">
        <v>3198</v>
      </c>
      <c r="D3200" s="7">
        <v>65.501099999999994</v>
      </c>
      <c r="E3200" s="7">
        <f t="shared" si="98"/>
        <v>209472.51779999997</v>
      </c>
      <c r="F3200" s="7">
        <f t="shared" si="99"/>
        <v>10227204</v>
      </c>
      <c r="G3200" s="7"/>
    </row>
    <row r="3201" spans="1:7" x14ac:dyDescent="0.35">
      <c r="A3201" t="str">
        <f>"2017-11-15"</f>
        <v>2017-11-15</v>
      </c>
      <c r="B3201" t="str">
        <f>"63.3238"</f>
        <v>63.3238</v>
      </c>
      <c r="C3201">
        <v>3199</v>
      </c>
      <c r="D3201" s="7">
        <v>63.323799999999999</v>
      </c>
      <c r="E3201" s="7">
        <f t="shared" si="98"/>
        <v>202572.83619999999</v>
      </c>
      <c r="F3201" s="7">
        <f t="shared" si="99"/>
        <v>10233601</v>
      </c>
      <c r="G3201" s="7"/>
    </row>
    <row r="3202" spans="1:7" x14ac:dyDescent="0.35">
      <c r="A3202" t="str">
        <f>"2017-11-17"</f>
        <v>2017-11-17</v>
      </c>
      <c r="B3202" t="str">
        <f>"64.9921"</f>
        <v>64.9921</v>
      </c>
      <c r="C3202">
        <v>3200</v>
      </c>
      <c r="D3202" s="7">
        <v>64.992099999999994</v>
      </c>
      <c r="E3202" s="7">
        <f t="shared" si="98"/>
        <v>207974.71999999997</v>
      </c>
      <c r="F3202" s="7">
        <f t="shared" si="99"/>
        <v>10240000</v>
      </c>
      <c r="G3202" s="7"/>
    </row>
    <row r="3203" spans="1:7" x14ac:dyDescent="0.35">
      <c r="A3203" t="str">
        <f>"2017-11-20"</f>
        <v>2017-11-20</v>
      </c>
      <c r="B3203" t="str">
        <f>"64.7862"</f>
        <v>64.7862</v>
      </c>
      <c r="C3203">
        <v>3201</v>
      </c>
      <c r="D3203" s="7">
        <v>64.786199999999994</v>
      </c>
      <c r="E3203" s="7">
        <f t="shared" si="98"/>
        <v>207380.62619999997</v>
      </c>
      <c r="F3203" s="7">
        <f t="shared" si="99"/>
        <v>10246401</v>
      </c>
      <c r="G3203" s="7"/>
    </row>
    <row r="3204" spans="1:7" x14ac:dyDescent="0.35">
      <c r="A3204" t="str">
        <f>"2017-11-21"</f>
        <v>2017-11-21</v>
      </c>
      <c r="B3204" t="str">
        <f>"66.778"</f>
        <v>66.778</v>
      </c>
      <c r="C3204">
        <v>3202</v>
      </c>
      <c r="D3204" s="7">
        <v>66.778000000000006</v>
      </c>
      <c r="E3204" s="7">
        <f t="shared" ref="E3204:E3267" si="100">C3204*D3204</f>
        <v>213823.15600000002</v>
      </c>
      <c r="F3204" s="7">
        <f t="shared" ref="F3204:F3267" si="101">C3204*C3204</f>
        <v>10252804</v>
      </c>
      <c r="G3204" s="7"/>
    </row>
    <row r="3205" spans="1:7" x14ac:dyDescent="0.35">
      <c r="A3205" t="str">
        <f>"2017-11-22"</f>
        <v>2017-11-22</v>
      </c>
      <c r="B3205" t="str">
        <f>"67.494"</f>
        <v>67.494</v>
      </c>
      <c r="C3205">
        <v>3203</v>
      </c>
      <c r="D3205" s="7">
        <v>67.494</v>
      </c>
      <c r="E3205" s="7">
        <f t="shared" si="100"/>
        <v>216183.28200000001</v>
      </c>
      <c r="F3205" s="7">
        <f t="shared" si="101"/>
        <v>10259209</v>
      </c>
      <c r="G3205" s="7"/>
    </row>
    <row r="3206" spans="1:7" x14ac:dyDescent="0.35">
      <c r="A3206" t="str">
        <f>"2017-11-24"</f>
        <v>2017-11-24</v>
      </c>
      <c r="B3206" t="str">
        <f>"70.2143"</f>
        <v>70.2143</v>
      </c>
      <c r="C3206">
        <v>3204</v>
      </c>
      <c r="D3206" s="7">
        <v>70.214299999999994</v>
      </c>
      <c r="E3206" s="7">
        <f t="shared" si="100"/>
        <v>224966.61719999998</v>
      </c>
      <c r="F3206" s="7">
        <f t="shared" si="101"/>
        <v>10265616</v>
      </c>
      <c r="G3206" s="7"/>
    </row>
    <row r="3207" spans="1:7" x14ac:dyDescent="0.35">
      <c r="A3207" t="str">
        <f>"2017-11-27"</f>
        <v>2017-11-27</v>
      </c>
      <c r="B3207" t="str">
        <f>"72.0476"</f>
        <v>72.0476</v>
      </c>
      <c r="C3207">
        <v>3205</v>
      </c>
      <c r="D3207" s="7">
        <v>72.047600000000003</v>
      </c>
      <c r="E3207" s="7">
        <f t="shared" si="100"/>
        <v>230912.55800000002</v>
      </c>
      <c r="F3207" s="7">
        <f t="shared" si="101"/>
        <v>10272025</v>
      </c>
      <c r="G3207" s="7"/>
    </row>
    <row r="3208" spans="1:7" x14ac:dyDescent="0.35">
      <c r="A3208" t="str">
        <f>"2017-11-28"</f>
        <v>2017-11-28</v>
      </c>
      <c r="B3208" t="str">
        <f>"68.778"</f>
        <v>68.778</v>
      </c>
      <c r="C3208">
        <v>3206</v>
      </c>
      <c r="D3208" s="7">
        <v>68.778000000000006</v>
      </c>
      <c r="E3208" s="7">
        <f t="shared" si="100"/>
        <v>220502.26800000001</v>
      </c>
      <c r="F3208" s="7">
        <f t="shared" si="101"/>
        <v>10278436</v>
      </c>
      <c r="G3208" s="7"/>
    </row>
    <row r="3209" spans="1:7" x14ac:dyDescent="0.35">
      <c r="A3209" t="str">
        <f>"2017-11-29"</f>
        <v>2017-11-29</v>
      </c>
      <c r="B3209" t="str">
        <f>"72.8192"</f>
        <v>72.8192</v>
      </c>
      <c r="C3209">
        <v>3207</v>
      </c>
      <c r="D3209" s="7">
        <v>72.819199999999995</v>
      </c>
      <c r="E3209" s="7">
        <f t="shared" si="100"/>
        <v>233531.17439999999</v>
      </c>
      <c r="F3209" s="7">
        <f t="shared" si="101"/>
        <v>10284849</v>
      </c>
      <c r="G3209" s="7"/>
    </row>
    <row r="3210" spans="1:7" x14ac:dyDescent="0.35">
      <c r="A3210" t="str">
        <f>"2017-11-30"</f>
        <v>2017-11-30</v>
      </c>
      <c r="B3210" t="str">
        <f>"75.7079"</f>
        <v>75.7079</v>
      </c>
      <c r="C3210">
        <v>3208</v>
      </c>
      <c r="D3210" s="7">
        <v>75.707899999999995</v>
      </c>
      <c r="E3210" s="7">
        <f t="shared" si="100"/>
        <v>242870.94319999998</v>
      </c>
      <c r="F3210" s="7">
        <f t="shared" si="101"/>
        <v>10291264</v>
      </c>
      <c r="G3210" s="7"/>
    </row>
    <row r="3211" spans="1:7" x14ac:dyDescent="0.35">
      <c r="A3211" t="str">
        <f>"2017-12-01"</f>
        <v>2017-12-01</v>
      </c>
      <c r="B3211" t="str">
        <f>"77.6292"</f>
        <v>77.6292</v>
      </c>
      <c r="C3211">
        <v>3209</v>
      </c>
      <c r="D3211" s="7">
        <v>77.629199999999997</v>
      </c>
      <c r="E3211" s="7">
        <f t="shared" si="100"/>
        <v>249112.10279999999</v>
      </c>
      <c r="F3211" s="7">
        <f t="shared" si="101"/>
        <v>10297681</v>
      </c>
      <c r="G3211" s="7"/>
    </row>
    <row r="3212" spans="1:7" x14ac:dyDescent="0.35">
      <c r="A3212" t="str">
        <f>"2017-12-04"</f>
        <v>2017-12-04</v>
      </c>
      <c r="B3212" t="str">
        <f>"79.1136"</f>
        <v>79.1136</v>
      </c>
      <c r="C3212">
        <v>3210</v>
      </c>
      <c r="D3212" s="7">
        <v>79.113600000000005</v>
      </c>
      <c r="E3212" s="7">
        <f t="shared" si="100"/>
        <v>253954.65600000002</v>
      </c>
      <c r="F3212" s="7">
        <f t="shared" si="101"/>
        <v>10304100</v>
      </c>
      <c r="G3212" s="7"/>
    </row>
    <row r="3213" spans="1:7" x14ac:dyDescent="0.35">
      <c r="A3213" t="str">
        <f>"2017-12-05"</f>
        <v>2017-12-05</v>
      </c>
      <c r="B3213" t="str">
        <f>"81.4399"</f>
        <v>81.4399</v>
      </c>
      <c r="C3213">
        <v>3211</v>
      </c>
      <c r="D3213" s="7">
        <v>81.439899999999994</v>
      </c>
      <c r="E3213" s="7">
        <f t="shared" si="100"/>
        <v>261503.5189</v>
      </c>
      <c r="F3213" s="7">
        <f t="shared" si="101"/>
        <v>10310521</v>
      </c>
      <c r="G3213" s="7"/>
    </row>
    <row r="3214" spans="1:7" x14ac:dyDescent="0.35">
      <c r="A3214" t="str">
        <f>"2017-12-06"</f>
        <v>2017-12-06</v>
      </c>
      <c r="B3214" t="str">
        <f>"81.6211"</f>
        <v>81.6211</v>
      </c>
      <c r="C3214">
        <v>3212</v>
      </c>
      <c r="D3214" s="7">
        <v>81.621099999999998</v>
      </c>
      <c r="E3214" s="7">
        <f t="shared" si="100"/>
        <v>262166.97320000001</v>
      </c>
      <c r="F3214" s="7">
        <f t="shared" si="101"/>
        <v>10316944</v>
      </c>
      <c r="G3214" s="7"/>
    </row>
    <row r="3215" spans="1:7" x14ac:dyDescent="0.35">
      <c r="A3215" t="str">
        <f>"2017-12-07"</f>
        <v>2017-12-07</v>
      </c>
      <c r="B3215" t="str">
        <f>"86.0349"</f>
        <v>86.0349</v>
      </c>
      <c r="C3215">
        <v>3213</v>
      </c>
      <c r="D3215" s="7">
        <v>86.034899999999993</v>
      </c>
      <c r="E3215" s="7">
        <f t="shared" si="100"/>
        <v>276430.13370000001</v>
      </c>
      <c r="F3215" s="7">
        <f t="shared" si="101"/>
        <v>10323369</v>
      </c>
      <c r="G3215" s="7"/>
    </row>
    <row r="3216" spans="1:7" x14ac:dyDescent="0.35">
      <c r="A3216" t="str">
        <f>"2017-12-08"</f>
        <v>2017-12-08</v>
      </c>
      <c r="B3216" t="str">
        <f>"87.8283"</f>
        <v>87.8283</v>
      </c>
      <c r="C3216">
        <v>3214</v>
      </c>
      <c r="D3216" s="7">
        <v>87.828299999999999</v>
      </c>
      <c r="E3216" s="7">
        <f t="shared" si="100"/>
        <v>282280.15619999997</v>
      </c>
      <c r="F3216" s="7">
        <f t="shared" si="101"/>
        <v>10329796</v>
      </c>
      <c r="G3216" s="7"/>
    </row>
    <row r="3217" spans="1:7" x14ac:dyDescent="0.35">
      <c r="A3217" t="str">
        <f>"2017-12-11"</f>
        <v>2017-12-11</v>
      </c>
      <c r="B3217" t="str">
        <f>"87.4668"</f>
        <v>87.4668</v>
      </c>
      <c r="C3217">
        <v>3215</v>
      </c>
      <c r="D3217" s="7">
        <v>87.466800000000006</v>
      </c>
      <c r="E3217" s="7">
        <f t="shared" si="100"/>
        <v>281205.76200000005</v>
      </c>
      <c r="F3217" s="7">
        <f t="shared" si="101"/>
        <v>10336225</v>
      </c>
      <c r="G3217" s="7"/>
    </row>
    <row r="3218" spans="1:7" x14ac:dyDescent="0.35">
      <c r="A3218" t="str">
        <f>"2017-12-12"</f>
        <v>2017-12-12</v>
      </c>
      <c r="B3218" t="str">
        <f>"91.1188"</f>
        <v>91.1188</v>
      </c>
      <c r="C3218">
        <v>3216</v>
      </c>
      <c r="D3218" s="7">
        <v>91.118799999999993</v>
      </c>
      <c r="E3218" s="7">
        <f t="shared" si="100"/>
        <v>293038.06079999998</v>
      </c>
      <c r="F3218" s="7">
        <f t="shared" si="101"/>
        <v>10342656</v>
      </c>
      <c r="G3218" s="7"/>
    </row>
    <row r="3219" spans="1:7" x14ac:dyDescent="0.35">
      <c r="A3219" t="str">
        <f>"2017-12-13"</f>
        <v>2017-12-13</v>
      </c>
      <c r="B3219" t="str">
        <f>"88.6434"</f>
        <v>88.6434</v>
      </c>
      <c r="C3219">
        <v>3217</v>
      </c>
      <c r="D3219" s="7">
        <v>88.6434</v>
      </c>
      <c r="E3219" s="7">
        <f t="shared" si="100"/>
        <v>285165.81780000002</v>
      </c>
      <c r="F3219" s="7">
        <f t="shared" si="101"/>
        <v>10349089</v>
      </c>
      <c r="G3219" s="7"/>
    </row>
    <row r="3220" spans="1:7" x14ac:dyDescent="0.35">
      <c r="A3220" t="str">
        <f>"2017-12-14"</f>
        <v>2017-12-14</v>
      </c>
      <c r="B3220" t="str">
        <f>"93.7539"</f>
        <v>93.7539</v>
      </c>
      <c r="C3220">
        <v>3218</v>
      </c>
      <c r="D3220" s="7">
        <v>93.753900000000002</v>
      </c>
      <c r="E3220" s="7">
        <f t="shared" si="100"/>
        <v>301700.0502</v>
      </c>
      <c r="F3220" s="7">
        <f t="shared" si="101"/>
        <v>10355524</v>
      </c>
      <c r="G3220" s="7"/>
    </row>
    <row r="3221" spans="1:7" x14ac:dyDescent="0.35">
      <c r="A3221" t="str">
        <f>"2017-12-15"</f>
        <v>2017-12-15</v>
      </c>
      <c r="B3221" t="str">
        <f>"91.0386"</f>
        <v>91.0386</v>
      </c>
      <c r="C3221">
        <v>3219</v>
      </c>
      <c r="D3221" s="7">
        <v>91.038600000000002</v>
      </c>
      <c r="E3221" s="7">
        <f t="shared" si="100"/>
        <v>293053.25339999999</v>
      </c>
      <c r="F3221" s="7">
        <f t="shared" si="101"/>
        <v>10361961</v>
      </c>
      <c r="G3221" s="7"/>
    </row>
    <row r="3222" spans="1:7" x14ac:dyDescent="0.35">
      <c r="A3222" t="str">
        <f>"2017-12-18"</f>
        <v>2017-12-18</v>
      </c>
      <c r="B3222" t="str">
        <f>"93.4974"</f>
        <v>93.4974</v>
      </c>
      <c r="C3222">
        <v>3220</v>
      </c>
      <c r="D3222" s="7">
        <v>93.497399999999999</v>
      </c>
      <c r="E3222" s="7">
        <f t="shared" si="100"/>
        <v>301061.62799999997</v>
      </c>
      <c r="F3222" s="7">
        <f t="shared" si="101"/>
        <v>10368400</v>
      </c>
      <c r="G3222" s="7"/>
    </row>
    <row r="3223" spans="1:7" x14ac:dyDescent="0.35">
      <c r="A3223" t="str">
        <f>"2017-12-19"</f>
        <v>2017-12-19</v>
      </c>
      <c r="B3223" t="str">
        <f>"95.9476"</f>
        <v>95.9476</v>
      </c>
      <c r="C3223">
        <v>3221</v>
      </c>
      <c r="D3223" s="7">
        <v>95.947599999999994</v>
      </c>
      <c r="E3223" s="7">
        <f t="shared" si="100"/>
        <v>309047.21959999995</v>
      </c>
      <c r="F3223" s="7">
        <f t="shared" si="101"/>
        <v>10374841</v>
      </c>
      <c r="G3223" s="7"/>
    </row>
    <row r="3224" spans="1:7" x14ac:dyDescent="0.35">
      <c r="A3224" t="str">
        <f>"2017-12-20"</f>
        <v>2017-12-20</v>
      </c>
      <c r="B3224" t="str">
        <f>"97.1345"</f>
        <v>97.1345</v>
      </c>
      <c r="C3224">
        <v>3222</v>
      </c>
      <c r="D3224" s="7">
        <v>97.134500000000003</v>
      </c>
      <c r="E3224" s="7">
        <f t="shared" si="100"/>
        <v>312967.359</v>
      </c>
      <c r="F3224" s="7">
        <f t="shared" si="101"/>
        <v>10381284</v>
      </c>
      <c r="G3224" s="7"/>
    </row>
    <row r="3225" spans="1:7" x14ac:dyDescent="0.35">
      <c r="A3225" t="str">
        <f>"2017-12-21"</f>
        <v>2017-12-21</v>
      </c>
      <c r="B3225" t="str">
        <f>"99.1576"</f>
        <v>99.1576</v>
      </c>
      <c r="C3225">
        <v>3223</v>
      </c>
      <c r="D3225" s="7">
        <v>99.157600000000002</v>
      </c>
      <c r="E3225" s="7">
        <f t="shared" si="100"/>
        <v>319584.9448</v>
      </c>
      <c r="F3225" s="7">
        <f t="shared" si="101"/>
        <v>10387729</v>
      </c>
      <c r="G3225" s="7"/>
    </row>
    <row r="3226" spans="1:7" x14ac:dyDescent="0.35">
      <c r="A3226" t="str">
        <f>"2017-12-22"</f>
        <v>2017-12-22</v>
      </c>
      <c r="B3226" t="str">
        <f>"96.7799"</f>
        <v>96.7799</v>
      </c>
      <c r="C3226">
        <v>3224</v>
      </c>
      <c r="D3226" s="7">
        <v>96.779899999999998</v>
      </c>
      <c r="E3226" s="7">
        <f t="shared" si="100"/>
        <v>312018.39759999997</v>
      </c>
      <c r="F3226" s="7">
        <f t="shared" si="101"/>
        <v>10394176</v>
      </c>
      <c r="G3226" s="7"/>
    </row>
    <row r="3227" spans="1:7" x14ac:dyDescent="0.35">
      <c r="A3227" t="str">
        <f>"2017-12-26"</f>
        <v>2017-12-26</v>
      </c>
      <c r="B3227" t="str">
        <f>"96.2161"</f>
        <v>96.2161</v>
      </c>
      <c r="C3227">
        <v>3225</v>
      </c>
      <c r="D3227" s="7">
        <v>96.216099999999997</v>
      </c>
      <c r="E3227" s="7">
        <f t="shared" si="100"/>
        <v>310296.92249999999</v>
      </c>
      <c r="F3227" s="7">
        <f t="shared" si="101"/>
        <v>10400625</v>
      </c>
      <c r="G3227" s="7"/>
    </row>
    <row r="3228" spans="1:7" x14ac:dyDescent="0.35">
      <c r="A3228" t="str">
        <f>"2017-12-27"</f>
        <v>2017-12-27</v>
      </c>
      <c r="B3228" t="str">
        <f>"97.6342"</f>
        <v>97.6342</v>
      </c>
      <c r="C3228">
        <v>3226</v>
      </c>
      <c r="D3228" s="7">
        <v>97.634200000000007</v>
      </c>
      <c r="E3228" s="7">
        <f t="shared" si="100"/>
        <v>314967.92920000001</v>
      </c>
      <c r="F3228" s="7">
        <f t="shared" si="101"/>
        <v>10407076</v>
      </c>
      <c r="G3228" s="7"/>
    </row>
    <row r="3229" spans="1:7" x14ac:dyDescent="0.35">
      <c r="A3229" t="str">
        <f>"2017-12-28"</f>
        <v>2017-12-28</v>
      </c>
      <c r="B3229" t="str">
        <f>"99.04"</f>
        <v>99.04</v>
      </c>
      <c r="C3229">
        <v>3227</v>
      </c>
      <c r="D3229" s="7">
        <v>99.04</v>
      </c>
      <c r="E3229" s="7">
        <f t="shared" si="100"/>
        <v>319602.08</v>
      </c>
      <c r="F3229" s="7">
        <f t="shared" si="101"/>
        <v>10413529</v>
      </c>
      <c r="G3229" s="7"/>
    </row>
    <row r="3230" spans="1:7" x14ac:dyDescent="0.35">
      <c r="A3230" t="str">
        <f>"2017-12-29"</f>
        <v>2017-12-29</v>
      </c>
      <c r="B3230" t="str">
        <f>"98.9141"</f>
        <v>98.9141</v>
      </c>
      <c r="C3230">
        <v>3228</v>
      </c>
      <c r="D3230" s="7">
        <v>98.914100000000005</v>
      </c>
      <c r="E3230" s="7">
        <f t="shared" si="100"/>
        <v>319294.71480000002</v>
      </c>
      <c r="F3230" s="7">
        <f t="shared" si="101"/>
        <v>10419984</v>
      </c>
      <c r="G3230" s="7"/>
    </row>
    <row r="3231" spans="1:7" x14ac:dyDescent="0.35">
      <c r="A3231" t="str">
        <f>"2018-01-02"</f>
        <v>2018-01-02</v>
      </c>
      <c r="B3231" t="str">
        <f>"100.4232"</f>
        <v>100.4232</v>
      </c>
      <c r="C3231">
        <v>3229</v>
      </c>
      <c r="D3231" s="7">
        <v>100.42319999999999</v>
      </c>
      <c r="E3231" s="7">
        <f t="shared" si="100"/>
        <v>324266.51279999997</v>
      </c>
      <c r="F3231" s="7">
        <f t="shared" si="101"/>
        <v>10426441</v>
      </c>
      <c r="G3231" s="7"/>
    </row>
    <row r="3232" spans="1:7" x14ac:dyDescent="0.35">
      <c r="A3232" t="str">
        <f>"2018-01-03"</f>
        <v>2018-01-03</v>
      </c>
      <c r="B3232" t="str">
        <f>"101.6642"</f>
        <v>101.6642</v>
      </c>
      <c r="C3232">
        <v>3230</v>
      </c>
      <c r="D3232" s="7">
        <v>101.66419999999999</v>
      </c>
      <c r="E3232" s="7">
        <f t="shared" si="100"/>
        <v>328375.36599999998</v>
      </c>
      <c r="F3232" s="7">
        <f t="shared" si="101"/>
        <v>10432900</v>
      </c>
      <c r="G3232" s="7"/>
    </row>
    <row r="3233" spans="1:7" x14ac:dyDescent="0.35">
      <c r="A3233" t="str">
        <f>"2018-01-04"</f>
        <v>2018-01-04</v>
      </c>
      <c r="B3233" t="str">
        <f>"101.5765"</f>
        <v>101.5765</v>
      </c>
      <c r="C3233">
        <v>3231</v>
      </c>
      <c r="D3233" s="7">
        <v>101.5765</v>
      </c>
      <c r="E3233" s="7">
        <f t="shared" si="100"/>
        <v>328193.6715</v>
      </c>
      <c r="F3233" s="7">
        <f t="shared" si="101"/>
        <v>10439361</v>
      </c>
      <c r="G3233" s="7"/>
    </row>
    <row r="3234" spans="1:7" x14ac:dyDescent="0.35">
      <c r="A3234" t="str">
        <f>"2018-01-05"</f>
        <v>2018-01-05</v>
      </c>
      <c r="B3234" t="str">
        <f>"102.5794"</f>
        <v>102.5794</v>
      </c>
      <c r="C3234">
        <v>3232</v>
      </c>
      <c r="D3234" s="7">
        <v>102.57940000000001</v>
      </c>
      <c r="E3234" s="7">
        <f t="shared" si="100"/>
        <v>331536.62080000003</v>
      </c>
      <c r="F3234" s="7">
        <f t="shared" si="101"/>
        <v>10445824</v>
      </c>
      <c r="G3234" s="7"/>
    </row>
    <row r="3235" spans="1:7" x14ac:dyDescent="0.35">
      <c r="A3235" t="str">
        <f>"2018-01-08"</f>
        <v>2018-01-08</v>
      </c>
      <c r="B3235" t="str">
        <f>"102.952"</f>
        <v>102.952</v>
      </c>
      <c r="C3235">
        <v>3233</v>
      </c>
      <c r="D3235" s="7">
        <v>102.952</v>
      </c>
      <c r="E3235" s="7">
        <f t="shared" si="100"/>
        <v>332843.81599999999</v>
      </c>
      <c r="F3235" s="7">
        <f t="shared" si="101"/>
        <v>10452289</v>
      </c>
      <c r="G3235" s="7"/>
    </row>
    <row r="3236" spans="1:7" x14ac:dyDescent="0.35">
      <c r="A3236" t="str">
        <f>"2018-01-09"</f>
        <v>2018-01-09</v>
      </c>
      <c r="B3236" t="str">
        <f>"101.9709"</f>
        <v>101.9709</v>
      </c>
      <c r="C3236">
        <v>3234</v>
      </c>
      <c r="D3236" s="7">
        <v>101.9709</v>
      </c>
      <c r="E3236" s="7">
        <f t="shared" si="100"/>
        <v>329773.89059999998</v>
      </c>
      <c r="F3236" s="7">
        <f t="shared" si="101"/>
        <v>10458756</v>
      </c>
      <c r="G3236" s="7"/>
    </row>
    <row r="3237" spans="1:7" x14ac:dyDescent="0.35">
      <c r="A3237" t="str">
        <f>"2018-01-10"</f>
        <v>2018-01-10</v>
      </c>
      <c r="B3237" t="str">
        <f>"95.5437"</f>
        <v>95.5437</v>
      </c>
      <c r="C3237">
        <v>3235</v>
      </c>
      <c r="D3237" s="7">
        <v>95.543700000000001</v>
      </c>
      <c r="E3237" s="7">
        <f t="shared" si="100"/>
        <v>309083.86950000003</v>
      </c>
      <c r="F3237" s="7">
        <f t="shared" si="101"/>
        <v>10465225</v>
      </c>
      <c r="G3237" s="7"/>
    </row>
    <row r="3238" spans="1:7" x14ac:dyDescent="0.35">
      <c r="A3238" t="str">
        <f>"2018-01-11"</f>
        <v>2018-01-11</v>
      </c>
      <c r="B3238" t="str">
        <f>"97.0945"</f>
        <v>97.0945</v>
      </c>
      <c r="C3238">
        <v>3236</v>
      </c>
      <c r="D3238" s="7">
        <v>97.094499999999996</v>
      </c>
      <c r="E3238" s="7">
        <f t="shared" si="100"/>
        <v>314197.80199999997</v>
      </c>
      <c r="F3238" s="7">
        <f t="shared" si="101"/>
        <v>10471696</v>
      </c>
      <c r="G3238" s="7"/>
    </row>
    <row r="3239" spans="1:7" x14ac:dyDescent="0.35">
      <c r="A3239" t="str">
        <f>"2018-01-12"</f>
        <v>2018-01-12</v>
      </c>
      <c r="B3239" t="str">
        <f>"95.8143"</f>
        <v>95.8143</v>
      </c>
      <c r="C3239">
        <v>3237</v>
      </c>
      <c r="D3239" s="7">
        <v>95.814300000000003</v>
      </c>
      <c r="E3239" s="7">
        <f t="shared" si="100"/>
        <v>310150.88910000003</v>
      </c>
      <c r="F3239" s="7">
        <f t="shared" si="101"/>
        <v>10478169</v>
      </c>
      <c r="G3239" s="7"/>
    </row>
    <row r="3240" spans="1:7" x14ac:dyDescent="0.35">
      <c r="A3240" t="str">
        <f>"2018-01-16"</f>
        <v>2018-01-16</v>
      </c>
      <c r="B3240" t="str">
        <f>"95.0056"</f>
        <v>95.0056</v>
      </c>
      <c r="C3240">
        <v>3238</v>
      </c>
      <c r="D3240" s="7">
        <v>95.005600000000001</v>
      </c>
      <c r="E3240" s="7">
        <f t="shared" si="100"/>
        <v>307628.13280000002</v>
      </c>
      <c r="F3240" s="7">
        <f t="shared" si="101"/>
        <v>10484644</v>
      </c>
      <c r="G3240" s="7"/>
    </row>
    <row r="3241" spans="1:7" x14ac:dyDescent="0.35">
      <c r="A3241" t="str">
        <f>"2018-01-17"</f>
        <v>2018-01-17</v>
      </c>
      <c r="B3241" t="str">
        <f>"94.5475"</f>
        <v>94.5475</v>
      </c>
      <c r="C3241">
        <v>3239</v>
      </c>
      <c r="D3241" s="7">
        <v>94.547499999999999</v>
      </c>
      <c r="E3241" s="7">
        <f t="shared" si="100"/>
        <v>306239.35249999998</v>
      </c>
      <c r="F3241" s="7">
        <f t="shared" si="101"/>
        <v>10491121</v>
      </c>
      <c r="G3241" s="7"/>
    </row>
    <row r="3242" spans="1:7" x14ac:dyDescent="0.35">
      <c r="A3242" t="str">
        <f>"2018-01-18"</f>
        <v>2018-01-18</v>
      </c>
      <c r="B3242" t="str">
        <f>"94.4372"</f>
        <v>94.4372</v>
      </c>
      <c r="C3242">
        <v>3240</v>
      </c>
      <c r="D3242" s="7">
        <v>94.437200000000004</v>
      </c>
      <c r="E3242" s="7">
        <f t="shared" si="100"/>
        <v>305976.52799999999</v>
      </c>
      <c r="F3242" s="7">
        <f t="shared" si="101"/>
        <v>10497600</v>
      </c>
      <c r="G3242" s="7"/>
    </row>
    <row r="3243" spans="1:7" x14ac:dyDescent="0.35">
      <c r="A3243" t="str">
        <f>"2018-01-19"</f>
        <v>2018-01-19</v>
      </c>
      <c r="B3243" t="str">
        <f>"92.9649"</f>
        <v>92.9649</v>
      </c>
      <c r="C3243">
        <v>3241</v>
      </c>
      <c r="D3243" s="7">
        <v>92.9649</v>
      </c>
      <c r="E3243" s="7">
        <f t="shared" si="100"/>
        <v>301299.24089999998</v>
      </c>
      <c r="F3243" s="7">
        <f t="shared" si="101"/>
        <v>10504081</v>
      </c>
      <c r="G3243" s="7"/>
    </row>
    <row r="3244" spans="1:7" x14ac:dyDescent="0.35">
      <c r="A3244" t="str">
        <f>"2018-01-22"</f>
        <v>2018-01-22</v>
      </c>
      <c r="B3244" t="str">
        <f>"94.1968"</f>
        <v>94.1968</v>
      </c>
      <c r="C3244">
        <v>3242</v>
      </c>
      <c r="D3244" s="7">
        <v>94.196799999999996</v>
      </c>
      <c r="E3244" s="7">
        <f t="shared" si="100"/>
        <v>305386.02559999999</v>
      </c>
      <c r="F3244" s="7">
        <f t="shared" si="101"/>
        <v>10510564</v>
      </c>
      <c r="G3244" s="7"/>
    </row>
    <row r="3245" spans="1:7" x14ac:dyDescent="0.35">
      <c r="A3245" t="str">
        <f>"2018-01-23"</f>
        <v>2018-01-23</v>
      </c>
      <c r="B3245" t="str">
        <f>"96.3145"</f>
        <v>96.3145</v>
      </c>
      <c r="C3245">
        <v>3243</v>
      </c>
      <c r="D3245" s="7">
        <v>96.314499999999995</v>
      </c>
      <c r="E3245" s="7">
        <f t="shared" si="100"/>
        <v>312347.92349999998</v>
      </c>
      <c r="F3245" s="7">
        <f t="shared" si="101"/>
        <v>10517049</v>
      </c>
      <c r="G3245" s="7"/>
    </row>
    <row r="3246" spans="1:7" x14ac:dyDescent="0.35">
      <c r="A3246" t="str">
        <f>"2018-01-24"</f>
        <v>2018-01-24</v>
      </c>
      <c r="B3246" t="str">
        <f>"94.419"</f>
        <v>94.419</v>
      </c>
      <c r="C3246">
        <v>3244</v>
      </c>
      <c r="D3246" s="7">
        <v>94.418999999999997</v>
      </c>
      <c r="E3246" s="7">
        <f t="shared" si="100"/>
        <v>306295.23599999998</v>
      </c>
      <c r="F3246" s="7">
        <f t="shared" si="101"/>
        <v>10523536</v>
      </c>
      <c r="G3246" s="7"/>
    </row>
    <row r="3247" spans="1:7" x14ac:dyDescent="0.35">
      <c r="A3247" t="str">
        <f>"2018-01-25"</f>
        <v>2018-01-25</v>
      </c>
      <c r="B3247" t="str">
        <f>"92.4912"</f>
        <v>92.4912</v>
      </c>
      <c r="C3247">
        <v>3245</v>
      </c>
      <c r="D3247" s="7">
        <v>92.491200000000006</v>
      </c>
      <c r="E3247" s="7">
        <f t="shared" si="100"/>
        <v>300133.94400000002</v>
      </c>
      <c r="F3247" s="7">
        <f t="shared" si="101"/>
        <v>10530025</v>
      </c>
      <c r="G3247" s="7"/>
    </row>
    <row r="3248" spans="1:7" x14ac:dyDescent="0.35">
      <c r="A3248" t="str">
        <f>"2018-01-26"</f>
        <v>2018-01-26</v>
      </c>
      <c r="B3248" t="str">
        <f>"94.322"</f>
        <v>94.322</v>
      </c>
      <c r="C3248">
        <v>3246</v>
      </c>
      <c r="D3248" s="7">
        <v>94.322000000000003</v>
      </c>
      <c r="E3248" s="7">
        <f t="shared" si="100"/>
        <v>306169.212</v>
      </c>
      <c r="F3248" s="7">
        <f t="shared" si="101"/>
        <v>10536516</v>
      </c>
      <c r="G3248" s="7"/>
    </row>
    <row r="3249" spans="1:7" x14ac:dyDescent="0.35">
      <c r="A3249" t="str">
        <f>"2018-01-30"</f>
        <v>2018-01-30</v>
      </c>
      <c r="B3249" t="str">
        <f>"96.5764"</f>
        <v>96.5764</v>
      </c>
      <c r="C3249">
        <v>3247</v>
      </c>
      <c r="D3249" s="7">
        <v>96.576400000000007</v>
      </c>
      <c r="E3249" s="7">
        <f t="shared" si="100"/>
        <v>313583.57080000004</v>
      </c>
      <c r="F3249" s="7">
        <f t="shared" si="101"/>
        <v>10543009</v>
      </c>
      <c r="G3249" s="7"/>
    </row>
    <row r="3250" spans="1:7" x14ac:dyDescent="0.35">
      <c r="A3250" t="str">
        <f>"2018-01-31"</f>
        <v>2018-01-31</v>
      </c>
      <c r="B3250" t="str">
        <f>"101.3879"</f>
        <v>101.3879</v>
      </c>
      <c r="C3250">
        <v>3248</v>
      </c>
      <c r="D3250" s="7">
        <v>101.3879</v>
      </c>
      <c r="E3250" s="7">
        <f t="shared" si="100"/>
        <v>329307.89919999999</v>
      </c>
      <c r="F3250" s="7">
        <f t="shared" si="101"/>
        <v>10549504</v>
      </c>
      <c r="G3250" s="7"/>
    </row>
    <row r="3251" spans="1:7" x14ac:dyDescent="0.35">
      <c r="A3251" t="str">
        <f>"2018-02-01"</f>
        <v>2018-02-01</v>
      </c>
      <c r="B3251" t="str">
        <f>"103.3582"</f>
        <v>103.3582</v>
      </c>
      <c r="C3251">
        <v>3249</v>
      </c>
      <c r="D3251" s="7">
        <v>103.3582</v>
      </c>
      <c r="E3251" s="7">
        <f t="shared" si="100"/>
        <v>335810.79180000001</v>
      </c>
      <c r="F3251" s="7">
        <f t="shared" si="101"/>
        <v>10556001</v>
      </c>
      <c r="G3251" s="7"/>
    </row>
    <row r="3252" spans="1:7" x14ac:dyDescent="0.35">
      <c r="A3252" t="str">
        <f>"2018-02-02"</f>
        <v>2018-02-02</v>
      </c>
      <c r="B3252" t="str">
        <f>"103.8733"</f>
        <v>103.8733</v>
      </c>
      <c r="C3252">
        <v>3250</v>
      </c>
      <c r="D3252" s="7">
        <v>103.8733</v>
      </c>
      <c r="E3252" s="7">
        <f t="shared" si="100"/>
        <v>337588.22499999998</v>
      </c>
      <c r="F3252" s="7">
        <f t="shared" si="101"/>
        <v>10562500</v>
      </c>
      <c r="G3252" s="7"/>
    </row>
    <row r="3253" spans="1:7" x14ac:dyDescent="0.35">
      <c r="A3253" t="str">
        <f>"2018-02-05"</f>
        <v>2018-02-05</v>
      </c>
      <c r="B3253" t="str">
        <f>"107.0819"</f>
        <v>107.0819</v>
      </c>
      <c r="C3253">
        <v>3251</v>
      </c>
      <c r="D3253" s="7">
        <v>107.0819</v>
      </c>
      <c r="E3253" s="7">
        <f t="shared" si="100"/>
        <v>348123.25690000004</v>
      </c>
      <c r="F3253" s="7">
        <f t="shared" si="101"/>
        <v>10569001</v>
      </c>
      <c r="G3253" s="7"/>
    </row>
    <row r="3254" spans="1:7" x14ac:dyDescent="0.35">
      <c r="A3254" t="str">
        <f>"2018-02-06"</f>
        <v>2018-02-06</v>
      </c>
      <c r="B3254" t="str">
        <f>"106.1034"</f>
        <v>106.1034</v>
      </c>
      <c r="C3254">
        <v>3252</v>
      </c>
      <c r="D3254" s="7">
        <v>106.10339999999999</v>
      </c>
      <c r="E3254" s="7">
        <f t="shared" si="100"/>
        <v>345048.25679999997</v>
      </c>
      <c r="F3254" s="7">
        <f t="shared" si="101"/>
        <v>10575504</v>
      </c>
      <c r="G3254" s="7"/>
    </row>
    <row r="3255" spans="1:7" x14ac:dyDescent="0.35">
      <c r="A3255" t="str">
        <f>"2018-02-07"</f>
        <v>2018-02-07</v>
      </c>
      <c r="B3255" t="str">
        <f>"104.9425"</f>
        <v>104.9425</v>
      </c>
      <c r="C3255">
        <v>3253</v>
      </c>
      <c r="D3255" s="7">
        <v>104.9425</v>
      </c>
      <c r="E3255" s="7">
        <f t="shared" si="100"/>
        <v>341377.95250000001</v>
      </c>
      <c r="F3255" s="7">
        <f t="shared" si="101"/>
        <v>10582009</v>
      </c>
      <c r="G3255" s="7"/>
    </row>
    <row r="3256" spans="1:7" x14ac:dyDescent="0.35">
      <c r="A3256" t="str">
        <f>"2018-02-08"</f>
        <v>2018-02-08</v>
      </c>
      <c r="B3256" t="str">
        <f>"100.3136"</f>
        <v>100.3136</v>
      </c>
      <c r="C3256">
        <v>3254</v>
      </c>
      <c r="D3256" s="7">
        <v>100.31359999999999</v>
      </c>
      <c r="E3256" s="7">
        <f t="shared" si="100"/>
        <v>326420.45439999999</v>
      </c>
      <c r="F3256" s="7">
        <f t="shared" si="101"/>
        <v>10588516</v>
      </c>
      <c r="G3256" s="7"/>
    </row>
    <row r="3257" spans="1:7" x14ac:dyDescent="0.35">
      <c r="A3257" t="str">
        <f>"2018-02-09"</f>
        <v>2018-02-09</v>
      </c>
      <c r="B3257" t="str">
        <f>"104.7838"</f>
        <v>104.7838</v>
      </c>
      <c r="C3257">
        <v>3255</v>
      </c>
      <c r="D3257" s="7">
        <v>104.7838</v>
      </c>
      <c r="E3257" s="7">
        <f t="shared" si="100"/>
        <v>341071.26899999997</v>
      </c>
      <c r="F3257" s="7">
        <f t="shared" si="101"/>
        <v>10595025</v>
      </c>
      <c r="G3257" s="7"/>
    </row>
    <row r="3258" spans="1:7" x14ac:dyDescent="0.35">
      <c r="A3258" t="str">
        <f>"2018-02-12"</f>
        <v>2018-02-12</v>
      </c>
      <c r="B3258" t="str">
        <f>"105.7268"</f>
        <v>105.7268</v>
      </c>
      <c r="C3258">
        <v>3256</v>
      </c>
      <c r="D3258" s="7">
        <v>105.7268</v>
      </c>
      <c r="E3258" s="7">
        <f t="shared" si="100"/>
        <v>344246.4608</v>
      </c>
      <c r="F3258" s="7">
        <f t="shared" si="101"/>
        <v>10601536</v>
      </c>
      <c r="G3258" s="7"/>
    </row>
    <row r="3259" spans="1:7" x14ac:dyDescent="0.35">
      <c r="A3259" t="str">
        <f>"2018-02-13"</f>
        <v>2018-02-13</v>
      </c>
      <c r="B3259" t="str">
        <f>"104.2195"</f>
        <v>104.2195</v>
      </c>
      <c r="C3259">
        <v>3257</v>
      </c>
      <c r="D3259" s="7">
        <v>104.2195</v>
      </c>
      <c r="E3259" s="7">
        <f t="shared" si="100"/>
        <v>339442.91149999999</v>
      </c>
      <c r="F3259" s="7">
        <f t="shared" si="101"/>
        <v>10608049</v>
      </c>
      <c r="G3259" s="7"/>
    </row>
    <row r="3260" spans="1:7" x14ac:dyDescent="0.35">
      <c r="A3260" t="str">
        <f>"2018-02-14"</f>
        <v>2018-02-14</v>
      </c>
      <c r="B3260" t="str">
        <f>"99.5692"</f>
        <v>99.5692</v>
      </c>
      <c r="C3260">
        <v>3258</v>
      </c>
      <c r="D3260" s="7">
        <v>99.569199999999995</v>
      </c>
      <c r="E3260" s="7">
        <f t="shared" si="100"/>
        <v>324396.45360000001</v>
      </c>
      <c r="F3260" s="7">
        <f t="shared" si="101"/>
        <v>10614564</v>
      </c>
      <c r="G3260" s="7"/>
    </row>
    <row r="3261" spans="1:7" x14ac:dyDescent="0.35">
      <c r="A3261" t="str">
        <f>"2018-02-15"</f>
        <v>2018-02-15</v>
      </c>
      <c r="B3261" t="str">
        <f>"104.8028"</f>
        <v>104.8028</v>
      </c>
      <c r="C3261">
        <v>3259</v>
      </c>
      <c r="D3261" s="7">
        <v>104.8028</v>
      </c>
      <c r="E3261" s="7">
        <f t="shared" si="100"/>
        <v>341552.32520000002</v>
      </c>
      <c r="F3261" s="7">
        <f t="shared" si="101"/>
        <v>10621081</v>
      </c>
      <c r="G3261" s="7"/>
    </row>
    <row r="3262" spans="1:7" x14ac:dyDescent="0.35">
      <c r="A3262" t="str">
        <f>"2018-02-16"</f>
        <v>2018-02-16</v>
      </c>
      <c r="B3262" t="str">
        <f>"105.688"</f>
        <v>105.688</v>
      </c>
      <c r="C3262">
        <v>3260</v>
      </c>
      <c r="D3262" s="7">
        <v>105.688</v>
      </c>
      <c r="E3262" s="7">
        <f t="shared" si="100"/>
        <v>344542.88</v>
      </c>
      <c r="F3262" s="7">
        <f t="shared" si="101"/>
        <v>10627600</v>
      </c>
      <c r="G3262" s="7"/>
    </row>
    <row r="3263" spans="1:7" x14ac:dyDescent="0.35">
      <c r="A3263" t="str">
        <f>"2018-02-20"</f>
        <v>2018-02-20</v>
      </c>
      <c r="B3263" t="str">
        <f>"104.0129"</f>
        <v>104.0129</v>
      </c>
      <c r="C3263">
        <v>3261</v>
      </c>
      <c r="D3263" s="7">
        <v>104.0129</v>
      </c>
      <c r="E3263" s="7">
        <f t="shared" si="100"/>
        <v>339186.06690000003</v>
      </c>
      <c r="F3263" s="7">
        <f t="shared" si="101"/>
        <v>10634121</v>
      </c>
      <c r="G3263" s="7"/>
    </row>
    <row r="3264" spans="1:7" x14ac:dyDescent="0.35">
      <c r="A3264" t="str">
        <f>"2018-02-21"</f>
        <v>2018-02-21</v>
      </c>
      <c r="B3264" t="str">
        <f>"108.6852"</f>
        <v>108.6852</v>
      </c>
      <c r="C3264">
        <v>3262</v>
      </c>
      <c r="D3264" s="7">
        <v>108.68519999999999</v>
      </c>
      <c r="E3264" s="7">
        <f t="shared" si="100"/>
        <v>354531.12239999999</v>
      </c>
      <c r="F3264" s="7">
        <f t="shared" si="101"/>
        <v>10640644</v>
      </c>
      <c r="G3264" s="7"/>
    </row>
    <row r="3265" spans="1:7" x14ac:dyDescent="0.35">
      <c r="A3265" t="str">
        <f>"2018-02-22"</f>
        <v>2018-02-22</v>
      </c>
      <c r="B3265" t="str">
        <f>"109.0529"</f>
        <v>109.0529</v>
      </c>
      <c r="C3265">
        <v>3263</v>
      </c>
      <c r="D3265" s="7">
        <v>109.05289999999999</v>
      </c>
      <c r="E3265" s="7">
        <f t="shared" si="100"/>
        <v>355839.6127</v>
      </c>
      <c r="F3265" s="7">
        <f t="shared" si="101"/>
        <v>10647169</v>
      </c>
      <c r="G3265" s="7"/>
    </row>
    <row r="3266" spans="1:7" x14ac:dyDescent="0.35">
      <c r="A3266" t="str">
        <f>"2018-02-23"</f>
        <v>2018-02-23</v>
      </c>
      <c r="B3266" t="str">
        <f>"113.1141"</f>
        <v>113.1141</v>
      </c>
      <c r="C3266">
        <v>3264</v>
      </c>
      <c r="D3266" s="7">
        <v>113.11409999999999</v>
      </c>
      <c r="E3266" s="7">
        <f t="shared" si="100"/>
        <v>369204.42239999998</v>
      </c>
      <c r="F3266" s="7">
        <f t="shared" si="101"/>
        <v>10653696</v>
      </c>
      <c r="G3266" s="7"/>
    </row>
    <row r="3267" spans="1:7" x14ac:dyDescent="0.35">
      <c r="A3267" t="str">
        <f>"2018-02-26"</f>
        <v>2018-02-26</v>
      </c>
      <c r="B3267" t="str">
        <f>"116.7505"</f>
        <v>116.7505</v>
      </c>
      <c r="C3267">
        <v>3265</v>
      </c>
      <c r="D3267" s="7">
        <v>116.7505</v>
      </c>
      <c r="E3267" s="7">
        <f t="shared" si="100"/>
        <v>381190.38250000001</v>
      </c>
      <c r="F3267" s="7">
        <f t="shared" si="101"/>
        <v>10660225</v>
      </c>
      <c r="G3267" s="7"/>
    </row>
    <row r="3268" spans="1:7" x14ac:dyDescent="0.35">
      <c r="A3268" t="str">
        <f>"2018-02-27"</f>
        <v>2018-02-27</v>
      </c>
      <c r="B3268" t="str">
        <f>"116.4362"</f>
        <v>116.4362</v>
      </c>
      <c r="C3268">
        <v>3266</v>
      </c>
      <c r="D3268" s="7">
        <v>116.4362</v>
      </c>
      <c r="E3268" s="7">
        <f t="shared" ref="E3268:E3331" si="102">C3268*D3268</f>
        <v>380280.62920000002</v>
      </c>
      <c r="F3268" s="7">
        <f t="shared" ref="F3268:F3331" si="103">C3268*C3268</f>
        <v>10666756</v>
      </c>
      <c r="G3268" s="7"/>
    </row>
    <row r="3269" spans="1:7" x14ac:dyDescent="0.35">
      <c r="A3269" t="str">
        <f>"2018-02-28"</f>
        <v>2018-02-28</v>
      </c>
      <c r="B3269" t="str">
        <f>"117.8103"</f>
        <v>117.8103</v>
      </c>
      <c r="C3269">
        <v>3267</v>
      </c>
      <c r="D3269" s="7">
        <v>117.8103</v>
      </c>
      <c r="E3269" s="7">
        <f t="shared" si="102"/>
        <v>384886.2501</v>
      </c>
      <c r="F3269" s="7">
        <f t="shared" si="103"/>
        <v>10673289</v>
      </c>
      <c r="G3269" s="7"/>
    </row>
    <row r="3270" spans="1:7" x14ac:dyDescent="0.35">
      <c r="A3270" t="str">
        <f>"2018-03-01"</f>
        <v>2018-03-01</v>
      </c>
      <c r="B3270" t="str">
        <f>"122.5986"</f>
        <v>122.5986</v>
      </c>
      <c r="C3270">
        <v>3268</v>
      </c>
      <c r="D3270" s="7">
        <v>122.5986</v>
      </c>
      <c r="E3270" s="7">
        <f t="shared" si="102"/>
        <v>400652.22480000003</v>
      </c>
      <c r="F3270" s="7">
        <f t="shared" si="103"/>
        <v>10679824</v>
      </c>
      <c r="G3270" s="7"/>
    </row>
    <row r="3271" spans="1:7" x14ac:dyDescent="0.35">
      <c r="A3271" t="str">
        <f>"2018-03-02"</f>
        <v>2018-03-02</v>
      </c>
      <c r="B3271" t="str">
        <f>"115.4397"</f>
        <v>115.4397</v>
      </c>
      <c r="C3271">
        <v>3269</v>
      </c>
      <c r="D3271" s="7">
        <v>115.4397</v>
      </c>
      <c r="E3271" s="7">
        <f t="shared" si="102"/>
        <v>377372.37930000003</v>
      </c>
      <c r="F3271" s="7">
        <f t="shared" si="103"/>
        <v>10686361</v>
      </c>
      <c r="G3271" s="7"/>
    </row>
    <row r="3272" spans="1:7" x14ac:dyDescent="0.35">
      <c r="A3272" t="str">
        <f>"2018-03-05"</f>
        <v>2018-03-05</v>
      </c>
      <c r="B3272" t="str">
        <f>"116.0011"</f>
        <v>116.0011</v>
      </c>
      <c r="C3272">
        <v>3270</v>
      </c>
      <c r="D3272" s="7">
        <v>116.00109999999999</v>
      </c>
      <c r="E3272" s="7">
        <f t="shared" si="102"/>
        <v>379323.59700000001</v>
      </c>
      <c r="F3272" s="7">
        <f t="shared" si="103"/>
        <v>10692900</v>
      </c>
      <c r="G3272" s="7"/>
    </row>
    <row r="3273" spans="1:7" x14ac:dyDescent="0.35">
      <c r="A3273" t="str">
        <f>"2018-03-06"</f>
        <v>2018-03-06</v>
      </c>
      <c r="B3273" t="str">
        <f>"105.6407"</f>
        <v>105.6407</v>
      </c>
      <c r="C3273">
        <v>3271</v>
      </c>
      <c r="D3273" s="7">
        <v>105.6407</v>
      </c>
      <c r="E3273" s="7">
        <f t="shared" si="102"/>
        <v>345550.72969999997</v>
      </c>
      <c r="F3273" s="7">
        <f t="shared" si="103"/>
        <v>10699441</v>
      </c>
      <c r="G3273" s="7"/>
    </row>
    <row r="3274" spans="1:7" x14ac:dyDescent="0.35">
      <c r="A3274" t="str">
        <f>"2018-03-07"</f>
        <v>2018-03-07</v>
      </c>
      <c r="B3274" t="str">
        <f>"107.2554"</f>
        <v>107.2554</v>
      </c>
      <c r="C3274">
        <v>3272</v>
      </c>
      <c r="D3274" s="7">
        <v>107.25539999999999</v>
      </c>
      <c r="E3274" s="7">
        <f t="shared" si="102"/>
        <v>350939.66879999998</v>
      </c>
      <c r="F3274" s="7">
        <f t="shared" si="103"/>
        <v>10705984</v>
      </c>
      <c r="G3274" s="7"/>
    </row>
    <row r="3275" spans="1:7" x14ac:dyDescent="0.35">
      <c r="A3275" t="str">
        <f>"2018-03-08"</f>
        <v>2018-03-08</v>
      </c>
      <c r="B3275" t="str">
        <f>"104.7531"</f>
        <v>104.7531</v>
      </c>
      <c r="C3275">
        <v>3273</v>
      </c>
      <c r="D3275" s="7">
        <v>104.7531</v>
      </c>
      <c r="E3275" s="7">
        <f t="shared" si="102"/>
        <v>342856.89630000002</v>
      </c>
      <c r="F3275" s="7">
        <f t="shared" si="103"/>
        <v>10712529</v>
      </c>
      <c r="G3275" s="7"/>
    </row>
    <row r="3276" spans="1:7" x14ac:dyDescent="0.35">
      <c r="A3276" t="str">
        <f>"2018-03-09"</f>
        <v>2018-03-09</v>
      </c>
      <c r="B3276" t="str">
        <f>"102.9156"</f>
        <v>102.9156</v>
      </c>
      <c r="C3276">
        <v>3274</v>
      </c>
      <c r="D3276" s="7">
        <v>102.9156</v>
      </c>
      <c r="E3276" s="7">
        <f t="shared" si="102"/>
        <v>336945.67440000002</v>
      </c>
      <c r="F3276" s="7">
        <f t="shared" si="103"/>
        <v>10719076</v>
      </c>
      <c r="G3276" s="7"/>
    </row>
    <row r="3277" spans="1:7" x14ac:dyDescent="0.35">
      <c r="A3277" t="str">
        <f>"2018-03-12"</f>
        <v>2018-03-12</v>
      </c>
      <c r="B3277" t="str">
        <f>"108.4081"</f>
        <v>108.4081</v>
      </c>
      <c r="C3277">
        <v>3275</v>
      </c>
      <c r="D3277" s="7">
        <v>108.4081</v>
      </c>
      <c r="E3277" s="7">
        <f t="shared" si="102"/>
        <v>355036.52750000003</v>
      </c>
      <c r="F3277" s="7">
        <f t="shared" si="103"/>
        <v>10725625</v>
      </c>
      <c r="G3277" s="7"/>
    </row>
    <row r="3278" spans="1:7" x14ac:dyDescent="0.35">
      <c r="A3278" t="str">
        <f>"2018-03-13"</f>
        <v>2018-03-13</v>
      </c>
      <c r="B3278" t="str">
        <f>"109.7619"</f>
        <v>109.7619</v>
      </c>
      <c r="C3278">
        <v>3276</v>
      </c>
      <c r="D3278" s="7">
        <v>109.7619</v>
      </c>
      <c r="E3278" s="7">
        <f t="shared" si="102"/>
        <v>359579.98440000002</v>
      </c>
      <c r="F3278" s="7">
        <f t="shared" si="103"/>
        <v>10732176</v>
      </c>
      <c r="G3278" s="7"/>
    </row>
    <row r="3279" spans="1:7" x14ac:dyDescent="0.35">
      <c r="A3279" t="str">
        <f>"2018-03-14"</f>
        <v>2018-03-14</v>
      </c>
      <c r="B3279" t="str">
        <f>"111.7841"</f>
        <v>111.7841</v>
      </c>
      <c r="C3279">
        <v>3277</v>
      </c>
      <c r="D3279" s="7">
        <v>111.7841</v>
      </c>
      <c r="E3279" s="7">
        <f t="shared" si="102"/>
        <v>366316.49569999997</v>
      </c>
      <c r="F3279" s="7">
        <f t="shared" si="103"/>
        <v>10738729</v>
      </c>
      <c r="G3279" s="7"/>
    </row>
    <row r="3280" spans="1:7" x14ac:dyDescent="0.35">
      <c r="A3280" t="str">
        <f>"2018-03-15"</f>
        <v>2018-03-15</v>
      </c>
      <c r="B3280" t="str">
        <f>"110.3626"</f>
        <v>110.3626</v>
      </c>
      <c r="C3280">
        <v>3278</v>
      </c>
      <c r="D3280" s="7">
        <v>110.3626</v>
      </c>
      <c r="E3280" s="7">
        <f t="shared" si="102"/>
        <v>361768.60279999999</v>
      </c>
      <c r="F3280" s="7">
        <f t="shared" si="103"/>
        <v>10745284</v>
      </c>
      <c r="G3280" s="7"/>
    </row>
    <row r="3281" spans="1:7" x14ac:dyDescent="0.35">
      <c r="A3281" t="str">
        <f>"2018-03-16"</f>
        <v>2018-03-16</v>
      </c>
      <c r="B3281" t="str">
        <f>"111.4843"</f>
        <v>111.4843</v>
      </c>
      <c r="C3281">
        <v>3279</v>
      </c>
      <c r="D3281" s="7">
        <v>111.4843</v>
      </c>
      <c r="E3281" s="7">
        <f t="shared" si="102"/>
        <v>365557.0197</v>
      </c>
      <c r="F3281" s="7">
        <f t="shared" si="103"/>
        <v>10751841</v>
      </c>
      <c r="G3281" s="7"/>
    </row>
    <row r="3282" spans="1:7" x14ac:dyDescent="0.35">
      <c r="A3282" t="str">
        <f>"2018-03-19"</f>
        <v>2018-03-19</v>
      </c>
      <c r="B3282" t="str">
        <f>"107.9058"</f>
        <v>107.9058</v>
      </c>
      <c r="C3282">
        <v>3280</v>
      </c>
      <c r="D3282" s="7">
        <v>107.9058</v>
      </c>
      <c r="E3282" s="7">
        <f t="shared" si="102"/>
        <v>353931.02399999998</v>
      </c>
      <c r="F3282" s="7">
        <f t="shared" si="103"/>
        <v>10758400</v>
      </c>
      <c r="G3282" s="7"/>
    </row>
    <row r="3283" spans="1:7" x14ac:dyDescent="0.35">
      <c r="A3283" t="str">
        <f>"2018-03-20"</f>
        <v>2018-03-20</v>
      </c>
      <c r="B3283" t="str">
        <f>"113.4636"</f>
        <v>113.4636</v>
      </c>
      <c r="C3283">
        <v>3281</v>
      </c>
      <c r="D3283" s="7">
        <v>113.4636</v>
      </c>
      <c r="E3283" s="7">
        <f t="shared" si="102"/>
        <v>372274.07160000002</v>
      </c>
      <c r="F3283" s="7">
        <f t="shared" si="103"/>
        <v>10764961</v>
      </c>
      <c r="G3283" s="7"/>
    </row>
    <row r="3284" spans="1:7" x14ac:dyDescent="0.35">
      <c r="A3284" t="str">
        <f>"2018-03-21"</f>
        <v>2018-03-21</v>
      </c>
      <c r="B3284" t="str">
        <f>"113.3772"</f>
        <v>113.3772</v>
      </c>
      <c r="C3284">
        <v>3282</v>
      </c>
      <c r="D3284" s="7">
        <v>113.3772</v>
      </c>
      <c r="E3284" s="7">
        <f t="shared" si="102"/>
        <v>372103.97039999999</v>
      </c>
      <c r="F3284" s="7">
        <f t="shared" si="103"/>
        <v>10771524</v>
      </c>
      <c r="G3284" s="7"/>
    </row>
    <row r="3285" spans="1:7" x14ac:dyDescent="0.35">
      <c r="A3285" t="str">
        <f>"2018-03-22"</f>
        <v>2018-03-22</v>
      </c>
      <c r="B3285" t="str">
        <f>"112.8883"</f>
        <v>112.8883</v>
      </c>
      <c r="C3285">
        <v>3283</v>
      </c>
      <c r="D3285" s="7">
        <v>112.8883</v>
      </c>
      <c r="E3285" s="7">
        <f t="shared" si="102"/>
        <v>370612.28889999999</v>
      </c>
      <c r="F3285" s="7">
        <f t="shared" si="103"/>
        <v>10778089</v>
      </c>
      <c r="G3285" s="7"/>
    </row>
    <row r="3286" spans="1:7" x14ac:dyDescent="0.35">
      <c r="A3286" t="str">
        <f>"2018-03-23"</f>
        <v>2018-03-23</v>
      </c>
      <c r="B3286" t="str">
        <f>"109.0546"</f>
        <v>109.0546</v>
      </c>
      <c r="C3286">
        <v>3284</v>
      </c>
      <c r="D3286" s="7">
        <v>109.05459999999999</v>
      </c>
      <c r="E3286" s="7">
        <f t="shared" si="102"/>
        <v>358135.3064</v>
      </c>
      <c r="F3286" s="7">
        <f t="shared" si="103"/>
        <v>10784656</v>
      </c>
      <c r="G3286" s="7"/>
    </row>
    <row r="3287" spans="1:7" x14ac:dyDescent="0.35">
      <c r="A3287" t="str">
        <f>"2018-03-26"</f>
        <v>2018-03-26</v>
      </c>
      <c r="B3287" t="str">
        <f>"110.8036"</f>
        <v>110.8036</v>
      </c>
      <c r="C3287">
        <v>3285</v>
      </c>
      <c r="D3287" s="7">
        <v>110.8036</v>
      </c>
      <c r="E3287" s="7">
        <f t="shared" si="102"/>
        <v>363989.826</v>
      </c>
      <c r="F3287" s="7">
        <f t="shared" si="103"/>
        <v>10791225</v>
      </c>
      <c r="G3287" s="7"/>
    </row>
    <row r="3288" spans="1:7" x14ac:dyDescent="0.35">
      <c r="A3288" t="str">
        <f>"2018-03-27"</f>
        <v>2018-03-27</v>
      </c>
      <c r="B3288" t="str">
        <f>"111.0479"</f>
        <v>111.0479</v>
      </c>
      <c r="C3288">
        <v>3286</v>
      </c>
      <c r="D3288" s="7">
        <v>111.0479</v>
      </c>
      <c r="E3288" s="7">
        <f t="shared" si="102"/>
        <v>364903.39939999999</v>
      </c>
      <c r="F3288" s="7">
        <f t="shared" si="103"/>
        <v>10797796</v>
      </c>
      <c r="G3288" s="7"/>
    </row>
    <row r="3289" spans="1:7" x14ac:dyDescent="0.35">
      <c r="A3289" t="str">
        <f>"2018-03-28"</f>
        <v>2018-03-28</v>
      </c>
      <c r="B3289" t="str">
        <f>"109.3209"</f>
        <v>109.3209</v>
      </c>
      <c r="C3289">
        <v>3287</v>
      </c>
      <c r="D3289" s="7">
        <v>109.32089999999999</v>
      </c>
      <c r="E3289" s="7">
        <f t="shared" si="102"/>
        <v>359337.79829999997</v>
      </c>
      <c r="F3289" s="7">
        <f t="shared" si="103"/>
        <v>10804369</v>
      </c>
      <c r="G3289" s="7"/>
    </row>
    <row r="3290" spans="1:7" x14ac:dyDescent="0.35">
      <c r="A3290" t="str">
        <f>"2018-03-29"</f>
        <v>2018-03-29</v>
      </c>
      <c r="B3290" t="str">
        <f>"113.662"</f>
        <v>113.662</v>
      </c>
      <c r="C3290">
        <v>3288</v>
      </c>
      <c r="D3290" s="7">
        <v>113.66200000000001</v>
      </c>
      <c r="E3290" s="7">
        <f t="shared" si="102"/>
        <v>373720.65600000002</v>
      </c>
      <c r="F3290" s="7">
        <f t="shared" si="103"/>
        <v>10810944</v>
      </c>
      <c r="G3290" s="7"/>
    </row>
    <row r="3291" spans="1:7" x14ac:dyDescent="0.35">
      <c r="A3291" t="str">
        <f>"2018-04-02"</f>
        <v>2018-04-02</v>
      </c>
      <c r="B3291" t="str">
        <f>"111.7172"</f>
        <v>111.7172</v>
      </c>
      <c r="C3291">
        <v>3289</v>
      </c>
      <c r="D3291" s="7">
        <v>111.71720000000001</v>
      </c>
      <c r="E3291" s="7">
        <f t="shared" si="102"/>
        <v>367437.87080000003</v>
      </c>
      <c r="F3291" s="7">
        <f t="shared" si="103"/>
        <v>10817521</v>
      </c>
      <c r="G3291" s="7"/>
    </row>
    <row r="3292" spans="1:7" x14ac:dyDescent="0.35">
      <c r="A3292" t="str">
        <f>"2018-04-03"</f>
        <v>2018-04-03</v>
      </c>
      <c r="B3292" t="str">
        <f>"113.9533"</f>
        <v>113.9533</v>
      </c>
      <c r="C3292">
        <v>3290</v>
      </c>
      <c r="D3292" s="7">
        <v>113.9533</v>
      </c>
      <c r="E3292" s="7">
        <f t="shared" si="102"/>
        <v>374906.35700000002</v>
      </c>
      <c r="F3292" s="7">
        <f t="shared" si="103"/>
        <v>10824100</v>
      </c>
      <c r="G3292" s="7"/>
    </row>
    <row r="3293" spans="1:7" x14ac:dyDescent="0.35">
      <c r="A3293" t="str">
        <f>"2018-04-04"</f>
        <v>2018-04-04</v>
      </c>
      <c r="B3293" t="str">
        <f>"112.9397"</f>
        <v>112.9397</v>
      </c>
      <c r="C3293">
        <v>3291</v>
      </c>
      <c r="D3293" s="7">
        <v>112.9397</v>
      </c>
      <c r="E3293" s="7">
        <f t="shared" si="102"/>
        <v>371684.5527</v>
      </c>
      <c r="F3293" s="7">
        <f t="shared" si="103"/>
        <v>10830681</v>
      </c>
      <c r="G3293" s="7"/>
    </row>
    <row r="3294" spans="1:7" x14ac:dyDescent="0.35">
      <c r="A3294" t="str">
        <f>"2018-04-05"</f>
        <v>2018-04-05</v>
      </c>
      <c r="B3294" t="str">
        <f>"114.3472"</f>
        <v>114.3472</v>
      </c>
      <c r="C3294">
        <v>3292</v>
      </c>
      <c r="D3294" s="7">
        <v>114.3472</v>
      </c>
      <c r="E3294" s="7">
        <f t="shared" si="102"/>
        <v>376430.98239999998</v>
      </c>
      <c r="F3294" s="7">
        <f t="shared" si="103"/>
        <v>10837264</v>
      </c>
      <c r="G3294" s="7"/>
    </row>
    <row r="3295" spans="1:7" x14ac:dyDescent="0.35">
      <c r="A3295" t="str">
        <f>"2018-04-06"</f>
        <v>2018-04-06</v>
      </c>
      <c r="B3295" t="str">
        <f>"113.6588"</f>
        <v>113.6588</v>
      </c>
      <c r="C3295">
        <v>3293</v>
      </c>
      <c r="D3295" s="7">
        <v>113.6588</v>
      </c>
      <c r="E3295" s="7">
        <f t="shared" si="102"/>
        <v>374278.42839999998</v>
      </c>
      <c r="F3295" s="7">
        <f t="shared" si="103"/>
        <v>10843849</v>
      </c>
      <c r="G3295" s="7"/>
    </row>
    <row r="3296" spans="1:7" x14ac:dyDescent="0.35">
      <c r="A3296" t="str">
        <f>"2018-04-09"</f>
        <v>2018-04-09</v>
      </c>
      <c r="B3296" t="str">
        <f>"113.2419"</f>
        <v>113.2419</v>
      </c>
      <c r="C3296">
        <v>3294</v>
      </c>
      <c r="D3296" s="7">
        <v>113.2419</v>
      </c>
      <c r="E3296" s="7">
        <f t="shared" si="102"/>
        <v>373018.8186</v>
      </c>
      <c r="F3296" s="7">
        <f t="shared" si="103"/>
        <v>10850436</v>
      </c>
      <c r="G3296" s="7"/>
    </row>
    <row r="3297" spans="1:7" x14ac:dyDescent="0.35">
      <c r="A3297" t="str">
        <f>"2018-04-10"</f>
        <v>2018-04-10</v>
      </c>
      <c r="B3297" t="str">
        <f>"109.416"</f>
        <v>109.416</v>
      </c>
      <c r="C3297">
        <v>3295</v>
      </c>
      <c r="D3297" s="7">
        <v>109.416</v>
      </c>
      <c r="E3297" s="7">
        <f t="shared" si="102"/>
        <v>360525.72</v>
      </c>
      <c r="F3297" s="7">
        <f t="shared" si="103"/>
        <v>10857025</v>
      </c>
      <c r="G3297" s="7"/>
    </row>
    <row r="3298" spans="1:7" x14ac:dyDescent="0.35">
      <c r="A3298" t="str">
        <f>"2018-04-11"</f>
        <v>2018-04-11</v>
      </c>
      <c r="B3298" t="str">
        <f>"104.0019"</f>
        <v>104.0019</v>
      </c>
      <c r="C3298">
        <v>3296</v>
      </c>
      <c r="D3298" s="7">
        <v>104.00190000000001</v>
      </c>
      <c r="E3298" s="7">
        <f t="shared" si="102"/>
        <v>342790.26240000001</v>
      </c>
      <c r="F3298" s="7">
        <f t="shared" si="103"/>
        <v>10863616</v>
      </c>
      <c r="G3298" s="7"/>
    </row>
    <row r="3299" spans="1:7" x14ac:dyDescent="0.35">
      <c r="A3299" t="str">
        <f>"2018-04-12"</f>
        <v>2018-04-12</v>
      </c>
      <c r="B3299" t="str">
        <f>"104.3883"</f>
        <v>104.3883</v>
      </c>
      <c r="C3299">
        <v>3297</v>
      </c>
      <c r="D3299" s="7">
        <v>104.3883</v>
      </c>
      <c r="E3299" s="7">
        <f t="shared" si="102"/>
        <v>344168.22509999998</v>
      </c>
      <c r="F3299" s="7">
        <f t="shared" si="103"/>
        <v>10870209</v>
      </c>
      <c r="G3299" s="7"/>
    </row>
    <row r="3300" spans="1:7" x14ac:dyDescent="0.35">
      <c r="A3300" t="str">
        <f>"2018-04-13"</f>
        <v>2018-04-13</v>
      </c>
      <c r="B3300" t="str">
        <f>"103.1061"</f>
        <v>103.1061</v>
      </c>
      <c r="C3300">
        <v>3298</v>
      </c>
      <c r="D3300" s="7">
        <v>103.1061</v>
      </c>
      <c r="E3300" s="7">
        <f t="shared" si="102"/>
        <v>340043.9178</v>
      </c>
      <c r="F3300" s="7">
        <f t="shared" si="103"/>
        <v>10876804</v>
      </c>
      <c r="G3300" s="7"/>
    </row>
    <row r="3301" spans="1:7" x14ac:dyDescent="0.35">
      <c r="A3301" t="str">
        <f>"2018-04-16"</f>
        <v>2018-04-16</v>
      </c>
      <c r="B3301" t="str">
        <f>"108.0543"</f>
        <v>108.0543</v>
      </c>
      <c r="C3301">
        <v>3299</v>
      </c>
      <c r="D3301" s="7">
        <v>108.0543</v>
      </c>
      <c r="E3301" s="7">
        <f t="shared" si="102"/>
        <v>356471.13569999998</v>
      </c>
      <c r="F3301" s="7">
        <f t="shared" si="103"/>
        <v>10883401</v>
      </c>
      <c r="G3301" s="7"/>
    </row>
    <row r="3302" spans="1:7" x14ac:dyDescent="0.35">
      <c r="A3302" t="str">
        <f>"2018-04-17"</f>
        <v>2018-04-17</v>
      </c>
      <c r="B3302" t="str">
        <f>"102.7741"</f>
        <v>102.7741</v>
      </c>
      <c r="C3302">
        <v>3300</v>
      </c>
      <c r="D3302" s="7">
        <v>102.7741</v>
      </c>
      <c r="E3302" s="7">
        <f t="shared" si="102"/>
        <v>339154.53</v>
      </c>
      <c r="F3302" s="7">
        <f t="shared" si="103"/>
        <v>10890000</v>
      </c>
      <c r="G3302" s="7"/>
    </row>
    <row r="3303" spans="1:7" x14ac:dyDescent="0.35">
      <c r="A3303" t="str">
        <f>"2018-04-18"</f>
        <v>2018-04-18</v>
      </c>
      <c r="B3303" t="str">
        <f>"107.023"</f>
        <v>107.023</v>
      </c>
      <c r="C3303">
        <v>3301</v>
      </c>
      <c r="D3303" s="7">
        <v>107.023</v>
      </c>
      <c r="E3303" s="7">
        <f t="shared" si="102"/>
        <v>353282.92300000001</v>
      </c>
      <c r="F3303" s="7">
        <f t="shared" si="103"/>
        <v>10896601</v>
      </c>
      <c r="G3303" s="7"/>
    </row>
    <row r="3304" spans="1:7" x14ac:dyDescent="0.35">
      <c r="A3304" t="str">
        <f>"2018-04-19"</f>
        <v>2018-04-19</v>
      </c>
      <c r="B3304" t="str">
        <f>"108.6016"</f>
        <v>108.6016</v>
      </c>
      <c r="C3304">
        <v>3302</v>
      </c>
      <c r="D3304" s="7">
        <v>108.6016</v>
      </c>
      <c r="E3304" s="7">
        <f t="shared" si="102"/>
        <v>358602.48320000002</v>
      </c>
      <c r="F3304" s="7">
        <f t="shared" si="103"/>
        <v>10903204</v>
      </c>
      <c r="G3304" s="7"/>
    </row>
    <row r="3305" spans="1:7" x14ac:dyDescent="0.35">
      <c r="A3305" t="str">
        <f>"2018-04-20"</f>
        <v>2018-04-20</v>
      </c>
      <c r="B3305" t="str">
        <f>"104.9044"</f>
        <v>104.9044</v>
      </c>
      <c r="C3305">
        <v>3303</v>
      </c>
      <c r="D3305" s="7">
        <v>104.9044</v>
      </c>
      <c r="E3305" s="7">
        <f t="shared" si="102"/>
        <v>346499.23319999996</v>
      </c>
      <c r="F3305" s="7">
        <f t="shared" si="103"/>
        <v>10909809</v>
      </c>
      <c r="G3305" s="7"/>
    </row>
    <row r="3306" spans="1:7" x14ac:dyDescent="0.35">
      <c r="A3306" t="str">
        <f>"2018-04-23"</f>
        <v>2018-04-23</v>
      </c>
      <c r="B3306" t="str">
        <f>"105.1812"</f>
        <v>105.1812</v>
      </c>
      <c r="C3306">
        <v>3304</v>
      </c>
      <c r="D3306" s="7">
        <v>105.1812</v>
      </c>
      <c r="E3306" s="7">
        <f t="shared" si="102"/>
        <v>347518.68479999999</v>
      </c>
      <c r="F3306" s="7">
        <f t="shared" si="103"/>
        <v>10916416</v>
      </c>
      <c r="G3306" s="7"/>
    </row>
    <row r="3307" spans="1:7" x14ac:dyDescent="0.35">
      <c r="A3307" t="str">
        <f>"2018-04-24"</f>
        <v>2018-04-24</v>
      </c>
      <c r="B3307" t="str">
        <f>"99.868"</f>
        <v>99.868</v>
      </c>
      <c r="C3307">
        <v>3305</v>
      </c>
      <c r="D3307" s="7">
        <v>99.867999999999995</v>
      </c>
      <c r="E3307" s="7">
        <f t="shared" si="102"/>
        <v>330063.74</v>
      </c>
      <c r="F3307" s="7">
        <f t="shared" si="103"/>
        <v>10923025</v>
      </c>
      <c r="G3307" s="7"/>
    </row>
    <row r="3308" spans="1:7" x14ac:dyDescent="0.35">
      <c r="A3308" t="str">
        <f>"2018-04-25"</f>
        <v>2018-04-25</v>
      </c>
      <c r="B3308" t="str">
        <f>"99.3181"</f>
        <v>99.3181</v>
      </c>
      <c r="C3308">
        <v>3306</v>
      </c>
      <c r="D3308" s="7">
        <v>99.318100000000001</v>
      </c>
      <c r="E3308" s="7">
        <f t="shared" si="102"/>
        <v>328345.63860000001</v>
      </c>
      <c r="F3308" s="7">
        <f t="shared" si="103"/>
        <v>10929636</v>
      </c>
      <c r="G3308" s="7"/>
    </row>
    <row r="3309" spans="1:7" x14ac:dyDescent="0.35">
      <c r="A3309" t="str">
        <f>"2018-04-26"</f>
        <v>2018-04-26</v>
      </c>
      <c r="B3309" t="str">
        <f>"98.9508"</f>
        <v>98.9508</v>
      </c>
      <c r="C3309">
        <v>3307</v>
      </c>
      <c r="D3309" s="7">
        <v>98.950800000000001</v>
      </c>
      <c r="E3309" s="7">
        <f t="shared" si="102"/>
        <v>327230.29560000001</v>
      </c>
      <c r="F3309" s="7">
        <f t="shared" si="103"/>
        <v>10936249</v>
      </c>
      <c r="G3309" s="7"/>
    </row>
    <row r="3310" spans="1:7" x14ac:dyDescent="0.35">
      <c r="A3310" t="str">
        <f>"2018-04-27"</f>
        <v>2018-04-27</v>
      </c>
      <c r="B3310" t="str">
        <f>"100.8167"</f>
        <v>100.8167</v>
      </c>
      <c r="C3310">
        <v>3308</v>
      </c>
      <c r="D3310" s="7">
        <v>100.8167</v>
      </c>
      <c r="E3310" s="7">
        <f t="shared" si="102"/>
        <v>333501.64360000001</v>
      </c>
      <c r="F3310" s="7">
        <f t="shared" si="103"/>
        <v>10942864</v>
      </c>
      <c r="G3310" s="7"/>
    </row>
    <row r="3311" spans="1:7" x14ac:dyDescent="0.35">
      <c r="A3311" t="str">
        <f>"2018-04-30"</f>
        <v>2018-04-30</v>
      </c>
      <c r="B3311" t="str">
        <f>"97.4027"</f>
        <v>97.4027</v>
      </c>
      <c r="C3311">
        <v>3309</v>
      </c>
      <c r="D3311" s="7">
        <v>97.402699999999996</v>
      </c>
      <c r="E3311" s="7">
        <f t="shared" si="102"/>
        <v>322305.5343</v>
      </c>
      <c r="F3311" s="7">
        <f t="shared" si="103"/>
        <v>10949481</v>
      </c>
      <c r="G3311" s="7"/>
    </row>
    <row r="3312" spans="1:7" x14ac:dyDescent="0.35">
      <c r="A3312" t="str">
        <f>"2018-05-01"</f>
        <v>2018-05-01</v>
      </c>
      <c r="B3312" t="str">
        <f>"98.2081"</f>
        <v>98.2081</v>
      </c>
      <c r="C3312">
        <v>3310</v>
      </c>
      <c r="D3312" s="7">
        <v>98.208100000000002</v>
      </c>
      <c r="E3312" s="7">
        <f t="shared" si="102"/>
        <v>325068.81099999999</v>
      </c>
      <c r="F3312" s="7">
        <f t="shared" si="103"/>
        <v>10956100</v>
      </c>
      <c r="G3312" s="7"/>
    </row>
    <row r="3313" spans="1:7" x14ac:dyDescent="0.35">
      <c r="A3313" t="str">
        <f>"2018-05-02"</f>
        <v>2018-05-02</v>
      </c>
      <c r="B3313" t="str">
        <f>"99.1382"</f>
        <v>99.1382</v>
      </c>
      <c r="C3313">
        <v>3311</v>
      </c>
      <c r="D3313" s="7">
        <v>99.138199999999998</v>
      </c>
      <c r="E3313" s="7">
        <f t="shared" si="102"/>
        <v>328246.58019999997</v>
      </c>
      <c r="F3313" s="7">
        <f t="shared" si="103"/>
        <v>10962721</v>
      </c>
      <c r="G3313" s="7"/>
    </row>
    <row r="3314" spans="1:7" x14ac:dyDescent="0.35">
      <c r="A3314" t="str">
        <f>"2018-05-03"</f>
        <v>2018-05-03</v>
      </c>
      <c r="B3314" t="str">
        <f>"95.0303"</f>
        <v>95.0303</v>
      </c>
      <c r="C3314">
        <v>3312</v>
      </c>
      <c r="D3314" s="7">
        <v>95.030299999999997</v>
      </c>
      <c r="E3314" s="7">
        <f t="shared" si="102"/>
        <v>314740.35359999997</v>
      </c>
      <c r="F3314" s="7">
        <f t="shared" si="103"/>
        <v>10969344</v>
      </c>
      <c r="G3314" s="7"/>
    </row>
    <row r="3315" spans="1:7" x14ac:dyDescent="0.35">
      <c r="A3315" t="str">
        <f>"2018-05-04"</f>
        <v>2018-05-04</v>
      </c>
      <c r="B3315" t="str">
        <f>"92.6297"</f>
        <v>92.6297</v>
      </c>
      <c r="C3315">
        <v>3313</v>
      </c>
      <c r="D3315" s="7">
        <v>92.6297</v>
      </c>
      <c r="E3315" s="7">
        <f t="shared" si="102"/>
        <v>306882.1961</v>
      </c>
      <c r="F3315" s="7">
        <f t="shared" si="103"/>
        <v>10975969</v>
      </c>
      <c r="G3315" s="7"/>
    </row>
    <row r="3316" spans="1:7" x14ac:dyDescent="0.35">
      <c r="A3316" t="str">
        <f>"2018-05-07"</f>
        <v>2018-05-07</v>
      </c>
      <c r="B3316" t="str">
        <f>"92.764"</f>
        <v>92.764</v>
      </c>
      <c r="C3316">
        <v>3314</v>
      </c>
      <c r="D3316" s="7">
        <v>92.763999999999996</v>
      </c>
      <c r="E3316" s="7">
        <f t="shared" si="102"/>
        <v>307419.89600000001</v>
      </c>
      <c r="F3316" s="7">
        <f t="shared" si="103"/>
        <v>10982596</v>
      </c>
      <c r="G3316" s="7"/>
    </row>
    <row r="3317" spans="1:7" x14ac:dyDescent="0.35">
      <c r="A3317" t="str">
        <f>"2018-05-08"</f>
        <v>2018-05-08</v>
      </c>
      <c r="B3317" t="str">
        <f>"89.0733"</f>
        <v>89.0733</v>
      </c>
      <c r="C3317">
        <v>3315</v>
      </c>
      <c r="D3317" s="7">
        <v>89.073300000000003</v>
      </c>
      <c r="E3317" s="7">
        <f t="shared" si="102"/>
        <v>295277.98950000003</v>
      </c>
      <c r="F3317" s="7">
        <f t="shared" si="103"/>
        <v>10989225</v>
      </c>
      <c r="G3317" s="7"/>
    </row>
    <row r="3318" spans="1:7" x14ac:dyDescent="0.35">
      <c r="A3318" t="str">
        <f>"2018-05-09"</f>
        <v>2018-05-09</v>
      </c>
      <c r="B3318" t="str">
        <f>"89.9246"</f>
        <v>89.9246</v>
      </c>
      <c r="C3318">
        <v>3316</v>
      </c>
      <c r="D3318" s="7">
        <v>89.924599999999998</v>
      </c>
      <c r="E3318" s="7">
        <f t="shared" si="102"/>
        <v>298189.97359999997</v>
      </c>
      <c r="F3318" s="7">
        <f t="shared" si="103"/>
        <v>10995856</v>
      </c>
      <c r="G3318" s="7"/>
    </row>
    <row r="3319" spans="1:7" x14ac:dyDescent="0.35">
      <c r="A3319" t="str">
        <f>"2018-05-10"</f>
        <v>2018-05-10</v>
      </c>
      <c r="B3319" t="str">
        <f>"90.7464"</f>
        <v>90.7464</v>
      </c>
      <c r="C3319">
        <v>3317</v>
      </c>
      <c r="D3319" s="7">
        <v>90.746399999999994</v>
      </c>
      <c r="E3319" s="7">
        <f t="shared" si="102"/>
        <v>301005.8088</v>
      </c>
      <c r="F3319" s="7">
        <f t="shared" si="103"/>
        <v>11002489</v>
      </c>
      <c r="G3319" s="7"/>
    </row>
    <row r="3320" spans="1:7" x14ac:dyDescent="0.35">
      <c r="A3320" t="str">
        <f>"2018-05-11"</f>
        <v>2018-05-11</v>
      </c>
      <c r="B3320" t="str">
        <f>"90.8605"</f>
        <v>90.8605</v>
      </c>
      <c r="C3320">
        <v>3318</v>
      </c>
      <c r="D3320" s="7">
        <v>90.860500000000002</v>
      </c>
      <c r="E3320" s="7">
        <f t="shared" si="102"/>
        <v>301475.13900000002</v>
      </c>
      <c r="F3320" s="7">
        <f t="shared" si="103"/>
        <v>11009124</v>
      </c>
      <c r="G3320" s="7"/>
    </row>
    <row r="3321" spans="1:7" x14ac:dyDescent="0.35">
      <c r="A3321" t="str">
        <f>"2018-05-14"</f>
        <v>2018-05-14</v>
      </c>
      <c r="B3321" t="str">
        <f>"91.8377"</f>
        <v>91.8377</v>
      </c>
      <c r="C3321">
        <v>3319</v>
      </c>
      <c r="D3321" s="7">
        <v>91.837699999999998</v>
      </c>
      <c r="E3321" s="7">
        <f t="shared" si="102"/>
        <v>304809.32630000002</v>
      </c>
      <c r="F3321" s="7">
        <f t="shared" si="103"/>
        <v>11015761</v>
      </c>
      <c r="G3321" s="7"/>
    </row>
    <row r="3322" spans="1:7" x14ac:dyDescent="0.35">
      <c r="A3322" t="str">
        <f>"2018-05-15"</f>
        <v>2018-05-15</v>
      </c>
      <c r="B3322" t="str">
        <f>"92.627"</f>
        <v>92.627</v>
      </c>
      <c r="C3322">
        <v>3320</v>
      </c>
      <c r="D3322" s="7">
        <v>92.626999999999995</v>
      </c>
      <c r="E3322" s="7">
        <f t="shared" si="102"/>
        <v>307521.63999999996</v>
      </c>
      <c r="F3322" s="7">
        <f t="shared" si="103"/>
        <v>11022400</v>
      </c>
      <c r="G3322" s="7"/>
    </row>
    <row r="3323" spans="1:7" x14ac:dyDescent="0.35">
      <c r="A3323" t="str">
        <f>"2018-05-16"</f>
        <v>2018-05-16</v>
      </c>
      <c r="B3323" t="str">
        <f>"89.4735"</f>
        <v>89.4735</v>
      </c>
      <c r="C3323">
        <v>3321</v>
      </c>
      <c r="D3323" s="7">
        <v>89.473500000000001</v>
      </c>
      <c r="E3323" s="7">
        <f t="shared" si="102"/>
        <v>297141.49349999998</v>
      </c>
      <c r="F3323" s="7">
        <f t="shared" si="103"/>
        <v>11029041</v>
      </c>
      <c r="G3323" s="7"/>
    </row>
    <row r="3324" spans="1:7" x14ac:dyDescent="0.35">
      <c r="A3324" t="str">
        <f>"2018-05-17"</f>
        <v>2018-05-17</v>
      </c>
      <c r="B3324" t="str">
        <f>"88.5352"</f>
        <v>88.5352</v>
      </c>
      <c r="C3324">
        <v>3322</v>
      </c>
      <c r="D3324" s="7">
        <v>88.535200000000003</v>
      </c>
      <c r="E3324" s="7">
        <f t="shared" si="102"/>
        <v>294113.93440000003</v>
      </c>
      <c r="F3324" s="7">
        <f t="shared" si="103"/>
        <v>11035684</v>
      </c>
      <c r="G3324" s="7"/>
    </row>
    <row r="3325" spans="1:7" x14ac:dyDescent="0.35">
      <c r="A3325" t="str">
        <f>"2018-05-18"</f>
        <v>2018-05-18</v>
      </c>
      <c r="B3325" t="str">
        <f>"88.0802"</f>
        <v>88.0802</v>
      </c>
      <c r="C3325">
        <v>3323</v>
      </c>
      <c r="D3325" s="7">
        <v>88.080200000000005</v>
      </c>
      <c r="E3325" s="7">
        <f t="shared" si="102"/>
        <v>292690.50460000004</v>
      </c>
      <c r="F3325" s="7">
        <f t="shared" si="103"/>
        <v>11042329</v>
      </c>
      <c r="G3325" s="7"/>
    </row>
    <row r="3326" spans="1:7" x14ac:dyDescent="0.35">
      <c r="A3326" t="str">
        <f>"2018-05-21"</f>
        <v>2018-05-21</v>
      </c>
      <c r="B3326" t="str">
        <f>"90.6196"</f>
        <v>90.6196</v>
      </c>
      <c r="C3326">
        <v>3324</v>
      </c>
      <c r="D3326" s="7">
        <v>90.619600000000005</v>
      </c>
      <c r="E3326" s="7">
        <f t="shared" si="102"/>
        <v>301219.55040000001</v>
      </c>
      <c r="F3326" s="7">
        <f t="shared" si="103"/>
        <v>11048976</v>
      </c>
      <c r="G3326" s="7"/>
    </row>
    <row r="3327" spans="1:7" x14ac:dyDescent="0.35">
      <c r="A3327" t="str">
        <f>"2018-05-22"</f>
        <v>2018-05-22</v>
      </c>
      <c r="B3327" t="str">
        <f>"88.0502"</f>
        <v>88.0502</v>
      </c>
      <c r="C3327">
        <v>3325</v>
      </c>
      <c r="D3327" s="7">
        <v>88.050200000000004</v>
      </c>
      <c r="E3327" s="7">
        <f t="shared" si="102"/>
        <v>292766.91500000004</v>
      </c>
      <c r="F3327" s="7">
        <f t="shared" si="103"/>
        <v>11055625</v>
      </c>
      <c r="G3327" s="7"/>
    </row>
    <row r="3328" spans="1:7" x14ac:dyDescent="0.35">
      <c r="A3328" t="str">
        <f>"2018-05-23"</f>
        <v>2018-05-23</v>
      </c>
      <c r="B3328" t="str">
        <f>"84.6861"</f>
        <v>84.6861</v>
      </c>
      <c r="C3328">
        <v>3326</v>
      </c>
      <c r="D3328" s="7">
        <v>84.686099999999996</v>
      </c>
      <c r="E3328" s="7">
        <f t="shared" si="102"/>
        <v>281665.96859999996</v>
      </c>
      <c r="F3328" s="7">
        <f t="shared" si="103"/>
        <v>11062276</v>
      </c>
      <c r="G3328" s="7"/>
    </row>
    <row r="3329" spans="1:7" x14ac:dyDescent="0.35">
      <c r="A3329" t="str">
        <f>"2018-05-24"</f>
        <v>2018-05-24</v>
      </c>
      <c r="B3329" t="str">
        <f>"81.7143"</f>
        <v>81.7143</v>
      </c>
      <c r="C3329">
        <v>3327</v>
      </c>
      <c r="D3329" s="7">
        <v>81.714299999999994</v>
      </c>
      <c r="E3329" s="7">
        <f t="shared" si="102"/>
        <v>271863.47609999997</v>
      </c>
      <c r="F3329" s="7">
        <f t="shared" si="103"/>
        <v>11068929</v>
      </c>
      <c r="G3329" s="7"/>
    </row>
    <row r="3330" spans="1:7" x14ac:dyDescent="0.35">
      <c r="A3330" t="str">
        <f>"2018-05-25"</f>
        <v>2018-05-25</v>
      </c>
      <c r="B3330" t="str">
        <f>"83.2956"</f>
        <v>83.2956</v>
      </c>
      <c r="C3330">
        <v>3328</v>
      </c>
      <c r="D3330" s="7">
        <v>83.295599999999993</v>
      </c>
      <c r="E3330" s="7">
        <f t="shared" si="102"/>
        <v>277207.75679999997</v>
      </c>
      <c r="F3330" s="7">
        <f t="shared" si="103"/>
        <v>11075584</v>
      </c>
      <c r="G3330" s="7"/>
    </row>
    <row r="3331" spans="1:7" x14ac:dyDescent="0.35">
      <c r="A3331" t="str">
        <f>"2018-05-29"</f>
        <v>2018-05-29</v>
      </c>
      <c r="B3331" t="str">
        <f>"91.4127"</f>
        <v>91.4127</v>
      </c>
      <c r="C3331">
        <v>3329</v>
      </c>
      <c r="D3331" s="7">
        <v>91.412700000000001</v>
      </c>
      <c r="E3331" s="7">
        <f t="shared" si="102"/>
        <v>304312.87829999998</v>
      </c>
      <c r="F3331" s="7">
        <f t="shared" si="103"/>
        <v>11082241</v>
      </c>
      <c r="G3331" s="7"/>
    </row>
    <row r="3332" spans="1:7" x14ac:dyDescent="0.35">
      <c r="A3332" t="str">
        <f>"2018-05-30"</f>
        <v>2018-05-30</v>
      </c>
      <c r="B3332" t="str">
        <f>"90.8726"</f>
        <v>90.8726</v>
      </c>
      <c r="C3332">
        <v>3330</v>
      </c>
      <c r="D3332" s="7">
        <v>90.872600000000006</v>
      </c>
      <c r="E3332" s="7">
        <f t="shared" ref="E3332:E3395" si="104">C3332*D3332</f>
        <v>302605.75800000003</v>
      </c>
      <c r="F3332" s="7">
        <f t="shared" ref="F3332:F3395" si="105">C3332*C3332</f>
        <v>11088900</v>
      </c>
      <c r="G3332" s="7"/>
    </row>
    <row r="3333" spans="1:7" x14ac:dyDescent="0.35">
      <c r="A3333" t="str">
        <f>"2018-05-31"</f>
        <v>2018-05-31</v>
      </c>
      <c r="B3333" t="str">
        <f>"89.087"</f>
        <v>89.087</v>
      </c>
      <c r="C3333">
        <v>3331</v>
      </c>
      <c r="D3333" s="7">
        <v>89.087000000000003</v>
      </c>
      <c r="E3333" s="7">
        <f t="shared" si="104"/>
        <v>296748.79700000002</v>
      </c>
      <c r="F3333" s="7">
        <f t="shared" si="105"/>
        <v>11095561</v>
      </c>
      <c r="G3333" s="7"/>
    </row>
    <row r="3334" spans="1:7" x14ac:dyDescent="0.35">
      <c r="A3334" t="str">
        <f>"2018-06-01"</f>
        <v>2018-06-01</v>
      </c>
      <c r="B3334" t="str">
        <f>"87.8555"</f>
        <v>87.8555</v>
      </c>
      <c r="C3334">
        <v>3332</v>
      </c>
      <c r="D3334" s="7">
        <v>87.855500000000006</v>
      </c>
      <c r="E3334" s="7">
        <f t="shared" si="104"/>
        <v>292734.52600000001</v>
      </c>
      <c r="F3334" s="7">
        <f t="shared" si="105"/>
        <v>11102224</v>
      </c>
      <c r="G3334" s="7"/>
    </row>
    <row r="3335" spans="1:7" x14ac:dyDescent="0.35">
      <c r="A3335" t="str">
        <f>"2018-06-04"</f>
        <v>2018-06-04</v>
      </c>
      <c r="B3335" t="str">
        <f>"84.4316"</f>
        <v>84.4316</v>
      </c>
      <c r="C3335">
        <v>3333</v>
      </c>
      <c r="D3335" s="7">
        <v>84.431600000000003</v>
      </c>
      <c r="E3335" s="7">
        <f t="shared" si="104"/>
        <v>281410.52280000004</v>
      </c>
      <c r="F3335" s="7">
        <f t="shared" si="105"/>
        <v>11108889</v>
      </c>
      <c r="G3335" s="7"/>
    </row>
    <row r="3336" spans="1:7" x14ac:dyDescent="0.35">
      <c r="A3336" t="str">
        <f>"2018-06-05"</f>
        <v>2018-06-05</v>
      </c>
      <c r="B3336" t="str">
        <f>"83.6532"</f>
        <v>83.6532</v>
      </c>
      <c r="C3336">
        <v>3334</v>
      </c>
      <c r="D3336" s="7">
        <v>83.653199999999998</v>
      </c>
      <c r="E3336" s="7">
        <f t="shared" si="104"/>
        <v>278899.76880000002</v>
      </c>
      <c r="F3336" s="7">
        <f t="shared" si="105"/>
        <v>11115556</v>
      </c>
      <c r="G3336" s="7"/>
    </row>
    <row r="3337" spans="1:7" x14ac:dyDescent="0.35">
      <c r="A3337" t="str">
        <f>"2018-06-06"</f>
        <v>2018-06-06</v>
      </c>
      <c r="B3337" t="str">
        <f>"79.7413"</f>
        <v>79.7413</v>
      </c>
      <c r="C3337">
        <v>3335</v>
      </c>
      <c r="D3337" s="7">
        <v>79.741299999999995</v>
      </c>
      <c r="E3337" s="7">
        <f t="shared" si="104"/>
        <v>265937.23550000001</v>
      </c>
      <c r="F3337" s="7">
        <f t="shared" si="105"/>
        <v>11122225</v>
      </c>
      <c r="G3337" s="7"/>
    </row>
    <row r="3338" spans="1:7" x14ac:dyDescent="0.35">
      <c r="A3338" t="str">
        <f>"2018-06-07"</f>
        <v>2018-06-07</v>
      </c>
      <c r="B3338" t="str">
        <f>"79.6223"</f>
        <v>79.6223</v>
      </c>
      <c r="C3338">
        <v>3336</v>
      </c>
      <c r="D3338" s="7">
        <v>79.622299999999996</v>
      </c>
      <c r="E3338" s="7">
        <f t="shared" si="104"/>
        <v>265619.99280000001</v>
      </c>
      <c r="F3338" s="7">
        <f t="shared" si="105"/>
        <v>11128896</v>
      </c>
      <c r="G3338" s="7"/>
    </row>
    <row r="3339" spans="1:7" x14ac:dyDescent="0.35">
      <c r="A3339" t="str">
        <f>"2018-06-08"</f>
        <v>2018-06-08</v>
      </c>
      <c r="B3339" t="str">
        <f>"72.0915"</f>
        <v>72.0915</v>
      </c>
      <c r="C3339">
        <v>3337</v>
      </c>
      <c r="D3339" s="7">
        <v>72.091499999999996</v>
      </c>
      <c r="E3339" s="7">
        <f t="shared" si="104"/>
        <v>240569.33549999999</v>
      </c>
      <c r="F3339" s="7">
        <f t="shared" si="105"/>
        <v>11135569</v>
      </c>
      <c r="G3339" s="7"/>
    </row>
    <row r="3340" spans="1:7" x14ac:dyDescent="0.35">
      <c r="A3340" t="str">
        <f>"2018-06-11"</f>
        <v>2018-06-11</v>
      </c>
      <c r="B3340" t="str">
        <f>"75.4387"</f>
        <v>75.4387</v>
      </c>
      <c r="C3340">
        <v>3338</v>
      </c>
      <c r="D3340" s="7">
        <v>75.438699999999997</v>
      </c>
      <c r="E3340" s="7">
        <f t="shared" si="104"/>
        <v>251814.3806</v>
      </c>
      <c r="F3340" s="7">
        <f t="shared" si="105"/>
        <v>11142244</v>
      </c>
      <c r="G3340" s="7"/>
    </row>
    <row r="3341" spans="1:7" x14ac:dyDescent="0.35">
      <c r="A3341" t="str">
        <f>"2018-06-12"</f>
        <v>2018-06-12</v>
      </c>
      <c r="B3341" t="str">
        <f>"70.333"</f>
        <v>70.333</v>
      </c>
      <c r="C3341">
        <v>3339</v>
      </c>
      <c r="D3341" s="7">
        <v>70.332999999999998</v>
      </c>
      <c r="E3341" s="7">
        <f t="shared" si="104"/>
        <v>234841.88699999999</v>
      </c>
      <c r="F3341" s="7">
        <f t="shared" si="105"/>
        <v>11148921</v>
      </c>
      <c r="G3341" s="7"/>
    </row>
    <row r="3342" spans="1:7" x14ac:dyDescent="0.35">
      <c r="A3342" t="str">
        <f>"2018-06-13"</f>
        <v>2018-06-13</v>
      </c>
      <c r="B3342" t="str">
        <f>"67.0303"</f>
        <v>67.0303</v>
      </c>
      <c r="C3342">
        <v>3340</v>
      </c>
      <c r="D3342" s="7">
        <v>67.030299999999997</v>
      </c>
      <c r="E3342" s="7">
        <f t="shared" si="104"/>
        <v>223881.20199999999</v>
      </c>
      <c r="F3342" s="7">
        <f t="shared" si="105"/>
        <v>11155600</v>
      </c>
      <c r="G3342" s="7"/>
    </row>
    <row r="3343" spans="1:7" x14ac:dyDescent="0.35">
      <c r="A3343" t="str">
        <f>"2018-06-14"</f>
        <v>2018-06-14</v>
      </c>
      <c r="B3343" t="str">
        <f>"65.7848"</f>
        <v>65.7848</v>
      </c>
      <c r="C3343">
        <v>3341</v>
      </c>
      <c r="D3343" s="7">
        <v>65.784800000000004</v>
      </c>
      <c r="E3343" s="7">
        <f t="shared" si="104"/>
        <v>219787.01680000001</v>
      </c>
      <c r="F3343" s="7">
        <f t="shared" si="105"/>
        <v>11162281</v>
      </c>
      <c r="G3343" s="7"/>
    </row>
    <row r="3344" spans="1:7" x14ac:dyDescent="0.35">
      <c r="A3344" t="str">
        <f>"2018-06-15"</f>
        <v>2018-06-15</v>
      </c>
      <c r="B3344" t="str">
        <f>"66.2118"</f>
        <v>66.2118</v>
      </c>
      <c r="C3344">
        <v>3342</v>
      </c>
      <c r="D3344" s="7">
        <v>66.211799999999997</v>
      </c>
      <c r="E3344" s="7">
        <f t="shared" si="104"/>
        <v>221279.83559999999</v>
      </c>
      <c r="F3344" s="7">
        <f t="shared" si="105"/>
        <v>11168964</v>
      </c>
      <c r="G3344" s="7"/>
    </row>
    <row r="3345" spans="1:7" x14ac:dyDescent="0.35">
      <c r="A3345" t="str">
        <f>"2018-06-18"</f>
        <v>2018-06-18</v>
      </c>
      <c r="B3345" t="str">
        <f>"64.4709"</f>
        <v>64.4709</v>
      </c>
      <c r="C3345">
        <v>3343</v>
      </c>
      <c r="D3345" s="7">
        <v>64.4709</v>
      </c>
      <c r="E3345" s="7">
        <f t="shared" si="104"/>
        <v>215526.2187</v>
      </c>
      <c r="F3345" s="7">
        <f t="shared" si="105"/>
        <v>11175649</v>
      </c>
      <c r="G3345" s="7"/>
    </row>
    <row r="3346" spans="1:7" x14ac:dyDescent="0.35">
      <c r="A3346" t="str">
        <f>"2018-06-19"</f>
        <v>2018-06-19</v>
      </c>
      <c r="B3346" t="str">
        <f>"66.359"</f>
        <v>66.359</v>
      </c>
      <c r="C3346">
        <v>3344</v>
      </c>
      <c r="D3346" s="7">
        <v>66.358999999999995</v>
      </c>
      <c r="E3346" s="7">
        <f t="shared" si="104"/>
        <v>221904.49599999998</v>
      </c>
      <c r="F3346" s="7">
        <f t="shared" si="105"/>
        <v>11182336</v>
      </c>
      <c r="G3346" s="7"/>
    </row>
    <row r="3347" spans="1:7" x14ac:dyDescent="0.35">
      <c r="A3347" t="str">
        <f>"2018-06-20"</f>
        <v>2018-06-20</v>
      </c>
      <c r="B3347" t="str">
        <f>"65.2496"</f>
        <v>65.2496</v>
      </c>
      <c r="C3347">
        <v>3345</v>
      </c>
      <c r="D3347" s="7">
        <v>65.249600000000001</v>
      </c>
      <c r="E3347" s="7">
        <f t="shared" si="104"/>
        <v>218259.91200000001</v>
      </c>
      <c r="F3347" s="7">
        <f t="shared" si="105"/>
        <v>11189025</v>
      </c>
      <c r="G3347" s="7"/>
    </row>
    <row r="3348" spans="1:7" x14ac:dyDescent="0.35">
      <c r="A3348" t="str">
        <f>"2018-06-21"</f>
        <v>2018-06-21</v>
      </c>
      <c r="B3348" t="str">
        <f>"67.0667"</f>
        <v>67.0667</v>
      </c>
      <c r="C3348">
        <v>3346</v>
      </c>
      <c r="D3348" s="7">
        <v>67.066699999999997</v>
      </c>
      <c r="E3348" s="7">
        <f t="shared" si="104"/>
        <v>224405.17819999999</v>
      </c>
      <c r="F3348" s="7">
        <f t="shared" si="105"/>
        <v>11195716</v>
      </c>
      <c r="G3348" s="7"/>
    </row>
    <row r="3349" spans="1:7" x14ac:dyDescent="0.35">
      <c r="A3349" t="str">
        <f>"2018-06-22"</f>
        <v>2018-06-22</v>
      </c>
      <c r="B3349" t="str">
        <f>"66.5993"</f>
        <v>66.5993</v>
      </c>
      <c r="C3349">
        <v>3347</v>
      </c>
      <c r="D3349" s="7">
        <v>66.599299999999999</v>
      </c>
      <c r="E3349" s="7">
        <f t="shared" si="104"/>
        <v>222907.85709999999</v>
      </c>
      <c r="F3349" s="7">
        <f t="shared" si="105"/>
        <v>11202409</v>
      </c>
      <c r="G3349" s="7"/>
    </row>
    <row r="3350" spans="1:7" x14ac:dyDescent="0.35">
      <c r="A3350" t="str">
        <f>"2018-06-25"</f>
        <v>2018-06-25</v>
      </c>
      <c r="B3350" t="str">
        <f>"67.0019"</f>
        <v>67.0019</v>
      </c>
      <c r="C3350">
        <v>3348</v>
      </c>
      <c r="D3350" s="7">
        <v>67.001900000000006</v>
      </c>
      <c r="E3350" s="7">
        <f t="shared" si="104"/>
        <v>224322.36120000001</v>
      </c>
      <c r="F3350" s="7">
        <f t="shared" si="105"/>
        <v>11209104</v>
      </c>
      <c r="G3350" s="7"/>
    </row>
    <row r="3351" spans="1:7" x14ac:dyDescent="0.35">
      <c r="A3351" t="str">
        <f>"2018-06-26"</f>
        <v>2018-06-26</v>
      </c>
      <c r="B3351" t="str">
        <f>"68.5476"</f>
        <v>68.5476</v>
      </c>
      <c r="C3351">
        <v>3349</v>
      </c>
      <c r="D3351" s="7">
        <v>68.547600000000003</v>
      </c>
      <c r="E3351" s="7">
        <f t="shared" si="104"/>
        <v>229565.9124</v>
      </c>
      <c r="F3351" s="7">
        <f t="shared" si="105"/>
        <v>11215801</v>
      </c>
      <c r="G3351" s="7"/>
    </row>
    <row r="3352" spans="1:7" x14ac:dyDescent="0.35">
      <c r="A3352" t="str">
        <f>"2018-06-27"</f>
        <v>2018-06-27</v>
      </c>
      <c r="B3352" t="str">
        <f>"74.0941"</f>
        <v>74.0941</v>
      </c>
      <c r="C3352">
        <v>3350</v>
      </c>
      <c r="D3352" s="7">
        <v>74.094099999999997</v>
      </c>
      <c r="E3352" s="7">
        <f t="shared" si="104"/>
        <v>248215.23499999999</v>
      </c>
      <c r="F3352" s="7">
        <f t="shared" si="105"/>
        <v>11222500</v>
      </c>
      <c r="G3352" s="7"/>
    </row>
    <row r="3353" spans="1:7" x14ac:dyDescent="0.35">
      <c r="A3353" t="str">
        <f>"2018-06-28"</f>
        <v>2018-06-28</v>
      </c>
      <c r="B3353" t="str">
        <f>"73.7881"</f>
        <v>73.7881</v>
      </c>
      <c r="C3353">
        <v>3351</v>
      </c>
      <c r="D3353" s="7">
        <v>73.7881</v>
      </c>
      <c r="E3353" s="7">
        <f t="shared" si="104"/>
        <v>247263.92310000001</v>
      </c>
      <c r="F3353" s="7">
        <f t="shared" si="105"/>
        <v>11229201</v>
      </c>
      <c r="G3353" s="7"/>
    </row>
    <row r="3354" spans="1:7" x14ac:dyDescent="0.35">
      <c r="A3354" t="str">
        <f>"2018-06-29"</f>
        <v>2018-06-29</v>
      </c>
      <c r="B3354" t="str">
        <f>"73.0466"</f>
        <v>73.0466</v>
      </c>
      <c r="C3354">
        <v>3352</v>
      </c>
      <c r="D3354" s="7">
        <v>73.046599999999998</v>
      </c>
      <c r="E3354" s="7">
        <f t="shared" si="104"/>
        <v>244852.20319999999</v>
      </c>
      <c r="F3354" s="7">
        <f t="shared" si="105"/>
        <v>11235904</v>
      </c>
      <c r="G3354" s="7"/>
    </row>
    <row r="3355" spans="1:7" x14ac:dyDescent="0.35">
      <c r="A3355" t="str">
        <f>"2018-07-02"</f>
        <v>2018-07-02</v>
      </c>
      <c r="B3355" t="str">
        <f>"76.3575"</f>
        <v>76.3575</v>
      </c>
      <c r="C3355">
        <v>3353</v>
      </c>
      <c r="D3355" s="7">
        <v>76.357500000000002</v>
      </c>
      <c r="E3355" s="7">
        <f t="shared" si="104"/>
        <v>256026.69750000001</v>
      </c>
      <c r="F3355" s="7">
        <f t="shared" si="105"/>
        <v>11242609</v>
      </c>
      <c r="G3355" s="7"/>
    </row>
    <row r="3356" spans="1:7" x14ac:dyDescent="0.35">
      <c r="A3356" t="str">
        <f>"2018-07-03"</f>
        <v>2018-07-03</v>
      </c>
      <c r="B3356" t="str">
        <f>"74.4006"</f>
        <v>74.4006</v>
      </c>
      <c r="C3356">
        <v>3354</v>
      </c>
      <c r="D3356" s="7">
        <v>74.400599999999997</v>
      </c>
      <c r="E3356" s="7">
        <f t="shared" si="104"/>
        <v>249539.61239999998</v>
      </c>
      <c r="F3356" s="7">
        <f t="shared" si="105"/>
        <v>11249316</v>
      </c>
      <c r="G3356" s="7"/>
    </row>
    <row r="3357" spans="1:7" x14ac:dyDescent="0.35">
      <c r="A3357" t="str">
        <f>"2018-07-05"</f>
        <v>2018-07-05</v>
      </c>
      <c r="B3357" t="str">
        <f>"76.0227"</f>
        <v>76.0227</v>
      </c>
      <c r="C3357">
        <v>3355</v>
      </c>
      <c r="D3357" s="7">
        <v>76.0227</v>
      </c>
      <c r="E3357" s="7">
        <f t="shared" si="104"/>
        <v>255056.15849999999</v>
      </c>
      <c r="F3357" s="7">
        <f t="shared" si="105"/>
        <v>11256025</v>
      </c>
      <c r="G3357" s="7"/>
    </row>
    <row r="3358" spans="1:7" x14ac:dyDescent="0.35">
      <c r="A3358" t="str">
        <f>"2018-07-06"</f>
        <v>2018-07-06</v>
      </c>
      <c r="B3358" t="str">
        <f>"77.5011"</f>
        <v>77.5011</v>
      </c>
      <c r="C3358">
        <v>3356</v>
      </c>
      <c r="D3358" s="7">
        <v>77.501099999999994</v>
      </c>
      <c r="E3358" s="7">
        <f t="shared" si="104"/>
        <v>260093.69159999999</v>
      </c>
      <c r="F3358" s="7">
        <f t="shared" si="105"/>
        <v>11262736</v>
      </c>
      <c r="G3358" s="7"/>
    </row>
    <row r="3359" spans="1:7" x14ac:dyDescent="0.35">
      <c r="A3359" t="str">
        <f>"2018-07-09"</f>
        <v>2018-07-09</v>
      </c>
      <c r="B3359" t="str">
        <f>"81.1524"</f>
        <v>81.1524</v>
      </c>
      <c r="C3359">
        <v>3357</v>
      </c>
      <c r="D3359" s="7">
        <v>81.1524</v>
      </c>
      <c r="E3359" s="7">
        <f t="shared" si="104"/>
        <v>272428.60680000001</v>
      </c>
      <c r="F3359" s="7">
        <f t="shared" si="105"/>
        <v>11269449</v>
      </c>
      <c r="G3359" s="7"/>
    </row>
    <row r="3360" spans="1:7" x14ac:dyDescent="0.35">
      <c r="A3360" t="str">
        <f>"2018-07-10"</f>
        <v>2018-07-10</v>
      </c>
      <c r="B3360" t="str">
        <f>"75.2781"</f>
        <v>75.2781</v>
      </c>
      <c r="C3360">
        <v>3358</v>
      </c>
      <c r="D3360" s="7">
        <v>75.278099999999995</v>
      </c>
      <c r="E3360" s="7">
        <f t="shared" si="104"/>
        <v>252783.85979999998</v>
      </c>
      <c r="F3360" s="7">
        <f t="shared" si="105"/>
        <v>11276164</v>
      </c>
      <c r="G3360" s="7"/>
    </row>
    <row r="3361" spans="1:7" x14ac:dyDescent="0.35">
      <c r="A3361" t="str">
        <f>"2018-07-11"</f>
        <v>2018-07-11</v>
      </c>
      <c r="B3361" t="str">
        <f>"71.821"</f>
        <v>71.821</v>
      </c>
      <c r="C3361">
        <v>3359</v>
      </c>
      <c r="D3361" s="7">
        <v>71.820999999999998</v>
      </c>
      <c r="E3361" s="7">
        <f t="shared" si="104"/>
        <v>241246.739</v>
      </c>
      <c r="F3361" s="7">
        <f t="shared" si="105"/>
        <v>11282881</v>
      </c>
      <c r="G3361" s="7"/>
    </row>
    <row r="3362" spans="1:7" x14ac:dyDescent="0.35">
      <c r="A3362" t="str">
        <f>"2018-07-12"</f>
        <v>2018-07-12</v>
      </c>
      <c r="B3362" t="str">
        <f>"72.854"</f>
        <v>72.854</v>
      </c>
      <c r="C3362">
        <v>3360</v>
      </c>
      <c r="D3362" s="7">
        <v>72.853999999999999</v>
      </c>
      <c r="E3362" s="7">
        <f t="shared" si="104"/>
        <v>244789.44</v>
      </c>
      <c r="F3362" s="7">
        <f t="shared" si="105"/>
        <v>11289600</v>
      </c>
      <c r="G3362" s="7"/>
    </row>
    <row r="3363" spans="1:7" x14ac:dyDescent="0.35">
      <c r="A3363" t="str">
        <f>"2018-07-13"</f>
        <v>2018-07-13</v>
      </c>
      <c r="B3363" t="str">
        <f>"75.7242"</f>
        <v>75.7242</v>
      </c>
      <c r="C3363">
        <v>3361</v>
      </c>
      <c r="D3363" s="7">
        <v>75.724199999999996</v>
      </c>
      <c r="E3363" s="7">
        <f t="shared" si="104"/>
        <v>254509.03619999997</v>
      </c>
      <c r="F3363" s="7">
        <f t="shared" si="105"/>
        <v>11296321</v>
      </c>
      <c r="G3363" s="7"/>
    </row>
    <row r="3364" spans="1:7" x14ac:dyDescent="0.35">
      <c r="A3364" t="str">
        <f>"2018-07-16"</f>
        <v>2018-07-16</v>
      </c>
      <c r="B3364" t="str">
        <f>"78.135"</f>
        <v>78.135</v>
      </c>
      <c r="C3364">
        <v>3362</v>
      </c>
      <c r="D3364" s="7">
        <v>78.135000000000005</v>
      </c>
      <c r="E3364" s="7">
        <f t="shared" si="104"/>
        <v>262689.87</v>
      </c>
      <c r="F3364" s="7">
        <f t="shared" si="105"/>
        <v>11303044</v>
      </c>
      <c r="G3364" s="7"/>
    </row>
    <row r="3365" spans="1:7" x14ac:dyDescent="0.35">
      <c r="A3365" t="str">
        <f>"2018-07-17"</f>
        <v>2018-07-17</v>
      </c>
      <c r="B3365" t="str">
        <f>"83.1419"</f>
        <v>83.1419</v>
      </c>
      <c r="C3365">
        <v>3363</v>
      </c>
      <c r="D3365" s="7">
        <v>83.141900000000007</v>
      </c>
      <c r="E3365" s="7">
        <f t="shared" si="104"/>
        <v>279606.20970000001</v>
      </c>
      <c r="F3365" s="7">
        <f t="shared" si="105"/>
        <v>11309769</v>
      </c>
      <c r="G3365" s="7"/>
    </row>
    <row r="3366" spans="1:7" x14ac:dyDescent="0.35">
      <c r="A3366" t="str">
        <f>"2018-07-18"</f>
        <v>2018-07-18</v>
      </c>
      <c r="B3366" t="str">
        <f>"85.0687"</f>
        <v>85.0687</v>
      </c>
      <c r="C3366">
        <v>3364</v>
      </c>
      <c r="D3366" s="7">
        <v>85.068700000000007</v>
      </c>
      <c r="E3366" s="7">
        <f t="shared" si="104"/>
        <v>286171.10680000001</v>
      </c>
      <c r="F3366" s="7">
        <f t="shared" si="105"/>
        <v>11316496</v>
      </c>
      <c r="G3366" s="7"/>
    </row>
    <row r="3367" spans="1:7" x14ac:dyDescent="0.35">
      <c r="A3367" t="str">
        <f>"2018-07-19"</f>
        <v>2018-07-19</v>
      </c>
      <c r="B3367" t="str">
        <f>"85.309"</f>
        <v>85.309</v>
      </c>
      <c r="C3367">
        <v>3365</v>
      </c>
      <c r="D3367" s="7">
        <v>85.308999999999997</v>
      </c>
      <c r="E3367" s="7">
        <f t="shared" si="104"/>
        <v>287064.78499999997</v>
      </c>
      <c r="F3367" s="7">
        <f t="shared" si="105"/>
        <v>11323225</v>
      </c>
      <c r="G3367" s="7"/>
    </row>
    <row r="3368" spans="1:7" x14ac:dyDescent="0.35">
      <c r="A3368" t="str">
        <f>"2018-07-20"</f>
        <v>2018-07-20</v>
      </c>
      <c r="B3368" t="str">
        <f>"84.6764"</f>
        <v>84.6764</v>
      </c>
      <c r="C3368">
        <v>3366</v>
      </c>
      <c r="D3368" s="7">
        <v>84.676400000000001</v>
      </c>
      <c r="E3368" s="7">
        <f t="shared" si="104"/>
        <v>285020.76240000001</v>
      </c>
      <c r="F3368" s="7">
        <f t="shared" si="105"/>
        <v>11329956</v>
      </c>
      <c r="G3368" s="7"/>
    </row>
    <row r="3369" spans="1:7" x14ac:dyDescent="0.35">
      <c r="A3369" t="str">
        <f>"2018-07-23"</f>
        <v>2018-07-23</v>
      </c>
      <c r="B3369" t="str">
        <f>"88.0213"</f>
        <v>88.0213</v>
      </c>
      <c r="C3369">
        <v>3367</v>
      </c>
      <c r="D3369" s="7">
        <v>88.021299999999997</v>
      </c>
      <c r="E3369" s="7">
        <f t="shared" si="104"/>
        <v>296367.71710000001</v>
      </c>
      <c r="F3369" s="7">
        <f t="shared" si="105"/>
        <v>11336689</v>
      </c>
      <c r="G3369" s="7"/>
    </row>
    <row r="3370" spans="1:7" x14ac:dyDescent="0.35">
      <c r="A3370" t="str">
        <f>"2018-07-24"</f>
        <v>2018-07-24</v>
      </c>
      <c r="B3370" t="str">
        <f>"85.6253"</f>
        <v>85.6253</v>
      </c>
      <c r="C3370">
        <v>3368</v>
      </c>
      <c r="D3370" s="7">
        <v>85.625299999999996</v>
      </c>
      <c r="E3370" s="7">
        <f t="shared" si="104"/>
        <v>288386.01039999997</v>
      </c>
      <c r="F3370" s="7">
        <f t="shared" si="105"/>
        <v>11343424</v>
      </c>
      <c r="G3370" s="7"/>
    </row>
    <row r="3371" spans="1:7" x14ac:dyDescent="0.35">
      <c r="A3371" t="str">
        <f>"2018-07-25"</f>
        <v>2018-07-25</v>
      </c>
      <c r="B3371" t="str">
        <f>"88.4371"</f>
        <v>88.4371</v>
      </c>
      <c r="C3371">
        <v>3369</v>
      </c>
      <c r="D3371" s="7">
        <v>88.437100000000001</v>
      </c>
      <c r="E3371" s="7">
        <f t="shared" si="104"/>
        <v>297944.58990000002</v>
      </c>
      <c r="F3371" s="7">
        <f t="shared" si="105"/>
        <v>11350161</v>
      </c>
      <c r="G3371" s="7"/>
    </row>
    <row r="3372" spans="1:7" x14ac:dyDescent="0.35">
      <c r="A3372" t="str">
        <f>"2018-07-26"</f>
        <v>2018-07-26</v>
      </c>
      <c r="B3372" t="str">
        <f>"87.0032"</f>
        <v>87.0032</v>
      </c>
      <c r="C3372">
        <v>3370</v>
      </c>
      <c r="D3372" s="7">
        <v>87.003200000000007</v>
      </c>
      <c r="E3372" s="7">
        <f t="shared" si="104"/>
        <v>293200.78400000004</v>
      </c>
      <c r="F3372" s="7">
        <f t="shared" si="105"/>
        <v>11356900</v>
      </c>
      <c r="G3372" s="7"/>
    </row>
    <row r="3373" spans="1:7" x14ac:dyDescent="0.35">
      <c r="A3373" t="str">
        <f>"2018-07-27"</f>
        <v>2018-07-27</v>
      </c>
      <c r="B3373" t="str">
        <f>"87.0837"</f>
        <v>87.0837</v>
      </c>
      <c r="C3373">
        <v>3371</v>
      </c>
      <c r="D3373" s="7">
        <v>87.083699999999993</v>
      </c>
      <c r="E3373" s="7">
        <f t="shared" si="104"/>
        <v>293559.15269999998</v>
      </c>
      <c r="F3373" s="7">
        <f t="shared" si="105"/>
        <v>11363641</v>
      </c>
      <c r="G3373" s="7"/>
    </row>
    <row r="3374" spans="1:7" x14ac:dyDescent="0.35">
      <c r="A3374" t="str">
        <f>"2018-07-30"</f>
        <v>2018-07-30</v>
      </c>
      <c r="B3374" t="str">
        <f>"88.2457"</f>
        <v>88.2457</v>
      </c>
      <c r="C3374">
        <v>3372</v>
      </c>
      <c r="D3374" s="7">
        <v>88.245699999999999</v>
      </c>
      <c r="E3374" s="7">
        <f t="shared" si="104"/>
        <v>297564.50040000002</v>
      </c>
      <c r="F3374" s="7">
        <f t="shared" si="105"/>
        <v>11370384</v>
      </c>
      <c r="G3374" s="7"/>
    </row>
    <row r="3375" spans="1:7" x14ac:dyDescent="0.35">
      <c r="A3375" t="str">
        <f>"2018-07-31"</f>
        <v>2018-07-31</v>
      </c>
      <c r="B3375" t="str">
        <f>"89.9"</f>
        <v>89.9</v>
      </c>
      <c r="C3375">
        <v>3373</v>
      </c>
      <c r="D3375" s="7">
        <v>89.9</v>
      </c>
      <c r="E3375" s="7">
        <f t="shared" si="104"/>
        <v>303232.7</v>
      </c>
      <c r="F3375" s="7">
        <f t="shared" si="105"/>
        <v>11377129</v>
      </c>
      <c r="G3375" s="7"/>
    </row>
    <row r="3376" spans="1:7" x14ac:dyDescent="0.35">
      <c r="A3376" t="str">
        <f>"2018-08-01"</f>
        <v>2018-08-01</v>
      </c>
      <c r="B3376" t="str">
        <f>"88.9041"</f>
        <v>88.9041</v>
      </c>
      <c r="C3376">
        <v>3374</v>
      </c>
      <c r="D3376" s="7">
        <v>88.9041</v>
      </c>
      <c r="E3376" s="7">
        <f t="shared" si="104"/>
        <v>299962.43339999998</v>
      </c>
      <c r="F3376" s="7">
        <f t="shared" si="105"/>
        <v>11383876</v>
      </c>
      <c r="G3376" s="7"/>
    </row>
    <row r="3377" spans="1:7" x14ac:dyDescent="0.35">
      <c r="A3377" t="str">
        <f>"2018-08-02"</f>
        <v>2018-08-02</v>
      </c>
      <c r="B3377" t="str">
        <f>"87.2196"</f>
        <v>87.2196</v>
      </c>
      <c r="C3377">
        <v>3375</v>
      </c>
      <c r="D3377" s="7">
        <v>87.2196</v>
      </c>
      <c r="E3377" s="7">
        <f t="shared" si="104"/>
        <v>294366.15000000002</v>
      </c>
      <c r="F3377" s="7">
        <f t="shared" si="105"/>
        <v>11390625</v>
      </c>
      <c r="G3377" s="7"/>
    </row>
    <row r="3378" spans="1:7" x14ac:dyDescent="0.35">
      <c r="A3378" t="str">
        <f>"2018-08-03"</f>
        <v>2018-08-03</v>
      </c>
      <c r="B3378" t="str">
        <f>"87.4912"</f>
        <v>87.4912</v>
      </c>
      <c r="C3378">
        <v>3376</v>
      </c>
      <c r="D3378" s="7">
        <v>87.491200000000006</v>
      </c>
      <c r="E3378" s="7">
        <f t="shared" si="104"/>
        <v>295370.29120000004</v>
      </c>
      <c r="F3378" s="7">
        <f t="shared" si="105"/>
        <v>11397376</v>
      </c>
      <c r="G3378" s="7"/>
    </row>
    <row r="3379" spans="1:7" x14ac:dyDescent="0.35">
      <c r="A3379" t="str">
        <f>"2018-08-06"</f>
        <v>2018-08-06</v>
      </c>
      <c r="B3379" t="str">
        <f>"85.767"</f>
        <v>85.767</v>
      </c>
      <c r="C3379">
        <v>3377</v>
      </c>
      <c r="D3379" s="7">
        <v>85.766999999999996</v>
      </c>
      <c r="E3379" s="7">
        <f t="shared" si="104"/>
        <v>289635.15899999999</v>
      </c>
      <c r="F3379" s="7">
        <f t="shared" si="105"/>
        <v>11404129</v>
      </c>
      <c r="G3379" s="7"/>
    </row>
    <row r="3380" spans="1:7" x14ac:dyDescent="0.35">
      <c r="A3380" t="str">
        <f>"2018-08-07"</f>
        <v>2018-08-07</v>
      </c>
      <c r="B3380" t="str">
        <f>"84.4504"</f>
        <v>84.4504</v>
      </c>
      <c r="C3380">
        <v>3378</v>
      </c>
      <c r="D3380" s="7">
        <v>84.450400000000002</v>
      </c>
      <c r="E3380" s="7">
        <f t="shared" si="104"/>
        <v>285273.45120000001</v>
      </c>
      <c r="F3380" s="7">
        <f t="shared" si="105"/>
        <v>11410884</v>
      </c>
      <c r="G3380" s="7"/>
    </row>
    <row r="3381" spans="1:7" x14ac:dyDescent="0.35">
      <c r="A3381" t="str">
        <f>"2018-08-08"</f>
        <v>2018-08-08</v>
      </c>
      <c r="B3381" t="str">
        <f>"84.5719"</f>
        <v>84.5719</v>
      </c>
      <c r="C3381">
        <v>3379</v>
      </c>
      <c r="D3381" s="7">
        <v>84.571899999999999</v>
      </c>
      <c r="E3381" s="7">
        <f t="shared" si="104"/>
        <v>285768.45010000002</v>
      </c>
      <c r="F3381" s="7">
        <f t="shared" si="105"/>
        <v>11417641</v>
      </c>
      <c r="G3381" s="7"/>
    </row>
    <row r="3382" spans="1:7" x14ac:dyDescent="0.35">
      <c r="A3382" t="str">
        <f>"2018-08-09"</f>
        <v>2018-08-09</v>
      </c>
      <c r="B3382" t="str">
        <f>"84.021"</f>
        <v>84.021</v>
      </c>
      <c r="C3382">
        <v>3380</v>
      </c>
      <c r="D3382" s="7">
        <v>84.021000000000001</v>
      </c>
      <c r="E3382" s="7">
        <f t="shared" si="104"/>
        <v>283990.98</v>
      </c>
      <c r="F3382" s="7">
        <f t="shared" si="105"/>
        <v>11424400</v>
      </c>
      <c r="G3382" s="7"/>
    </row>
    <row r="3383" spans="1:7" x14ac:dyDescent="0.35">
      <c r="A3383" t="str">
        <f>"2018-08-10"</f>
        <v>2018-08-10</v>
      </c>
      <c r="B3383" t="str">
        <f>"78.9149"</f>
        <v>78.9149</v>
      </c>
      <c r="C3383">
        <v>3381</v>
      </c>
      <c r="D3383" s="7">
        <v>78.914900000000003</v>
      </c>
      <c r="E3383" s="7">
        <f t="shared" si="104"/>
        <v>266811.2769</v>
      </c>
      <c r="F3383" s="7">
        <f t="shared" si="105"/>
        <v>11431161</v>
      </c>
      <c r="G3383" s="7"/>
    </row>
    <row r="3384" spans="1:7" x14ac:dyDescent="0.35">
      <c r="A3384" t="str">
        <f>"2018-08-13"</f>
        <v>2018-08-13</v>
      </c>
      <c r="B3384" t="str">
        <f>"63.3785"</f>
        <v>63.3785</v>
      </c>
      <c r="C3384">
        <v>3382</v>
      </c>
      <c r="D3384" s="7">
        <v>63.378500000000003</v>
      </c>
      <c r="E3384" s="7">
        <f t="shared" si="104"/>
        <v>214346.087</v>
      </c>
      <c r="F3384" s="7">
        <f t="shared" si="105"/>
        <v>11437924</v>
      </c>
      <c r="G3384" s="7"/>
    </row>
    <row r="3385" spans="1:7" x14ac:dyDescent="0.35">
      <c r="A3385" t="str">
        <f>"2018-08-14"</f>
        <v>2018-08-14</v>
      </c>
      <c r="B3385" t="str">
        <f>"64.3796"</f>
        <v>64.3796</v>
      </c>
      <c r="C3385">
        <v>3383</v>
      </c>
      <c r="D3385" s="7">
        <v>64.379599999999996</v>
      </c>
      <c r="E3385" s="7">
        <f t="shared" si="104"/>
        <v>217796.1868</v>
      </c>
      <c r="F3385" s="7">
        <f t="shared" si="105"/>
        <v>11444689</v>
      </c>
      <c r="G3385" s="7"/>
    </row>
    <row r="3386" spans="1:7" x14ac:dyDescent="0.35">
      <c r="A3386" t="str">
        <f>"2018-08-15"</f>
        <v>2018-08-15</v>
      </c>
      <c r="B3386" t="str">
        <f>"65.9242"</f>
        <v>65.9242</v>
      </c>
      <c r="C3386">
        <v>3384</v>
      </c>
      <c r="D3386" s="7">
        <v>65.924199999999999</v>
      </c>
      <c r="E3386" s="7">
        <f t="shared" si="104"/>
        <v>223087.49280000001</v>
      </c>
      <c r="F3386" s="7">
        <f t="shared" si="105"/>
        <v>11451456</v>
      </c>
      <c r="G3386" s="7"/>
    </row>
    <row r="3387" spans="1:7" x14ac:dyDescent="0.35">
      <c r="A3387" t="str">
        <f>"2018-08-16"</f>
        <v>2018-08-16</v>
      </c>
      <c r="B3387" t="str">
        <f>"69.3398"</f>
        <v>69.3398</v>
      </c>
      <c r="C3387">
        <v>3385</v>
      </c>
      <c r="D3387" s="7">
        <v>69.339799999999997</v>
      </c>
      <c r="E3387" s="7">
        <f t="shared" si="104"/>
        <v>234715.223</v>
      </c>
      <c r="F3387" s="7">
        <f t="shared" si="105"/>
        <v>11458225</v>
      </c>
      <c r="G3387" s="7"/>
    </row>
    <row r="3388" spans="1:7" x14ac:dyDescent="0.35">
      <c r="A3388" t="str">
        <f>"2018-08-17"</f>
        <v>2018-08-17</v>
      </c>
      <c r="B3388" t="str">
        <f>"69.0416"</f>
        <v>69.0416</v>
      </c>
      <c r="C3388">
        <v>3386</v>
      </c>
      <c r="D3388" s="7">
        <v>69.041600000000003</v>
      </c>
      <c r="E3388" s="7">
        <f t="shared" si="104"/>
        <v>233774.85760000002</v>
      </c>
      <c r="F3388" s="7">
        <f t="shared" si="105"/>
        <v>11464996</v>
      </c>
      <c r="G3388" s="7"/>
    </row>
    <row r="3389" spans="1:7" x14ac:dyDescent="0.35">
      <c r="A3389" t="str">
        <f>"2018-08-20"</f>
        <v>2018-08-20</v>
      </c>
      <c r="B3389" t="str">
        <f>"69.7946"</f>
        <v>69.7946</v>
      </c>
      <c r="C3389">
        <v>3387</v>
      </c>
      <c r="D3389" s="7">
        <v>69.794600000000003</v>
      </c>
      <c r="E3389" s="7">
        <f t="shared" si="104"/>
        <v>236394.31020000001</v>
      </c>
      <c r="F3389" s="7">
        <f t="shared" si="105"/>
        <v>11471769</v>
      </c>
      <c r="G3389" s="7"/>
    </row>
    <row r="3390" spans="1:7" x14ac:dyDescent="0.35">
      <c r="A3390" t="str">
        <f>"2018-08-21"</f>
        <v>2018-08-21</v>
      </c>
      <c r="B3390" t="str">
        <f>"68.4245"</f>
        <v>68.4245</v>
      </c>
      <c r="C3390">
        <v>3388</v>
      </c>
      <c r="D3390" s="7">
        <v>68.424499999999995</v>
      </c>
      <c r="E3390" s="7">
        <f t="shared" si="104"/>
        <v>231822.20599999998</v>
      </c>
      <c r="F3390" s="7">
        <f t="shared" si="105"/>
        <v>11478544</v>
      </c>
      <c r="G3390" s="7"/>
    </row>
    <row r="3391" spans="1:7" x14ac:dyDescent="0.35">
      <c r="A3391" t="str">
        <f>"2018-08-22"</f>
        <v>2018-08-22</v>
      </c>
      <c r="B3391" t="str">
        <f>"68.4238"</f>
        <v>68.4238</v>
      </c>
      <c r="C3391">
        <v>3389</v>
      </c>
      <c r="D3391" s="7">
        <v>68.4238</v>
      </c>
      <c r="E3391" s="7">
        <f t="shared" si="104"/>
        <v>231888.25820000001</v>
      </c>
      <c r="F3391" s="7">
        <f t="shared" si="105"/>
        <v>11485321</v>
      </c>
      <c r="G3391" s="7"/>
    </row>
    <row r="3392" spans="1:7" x14ac:dyDescent="0.35">
      <c r="A3392" t="str">
        <f>"2018-08-23"</f>
        <v>2018-08-23</v>
      </c>
      <c r="B3392" t="str">
        <f>"69.5513"</f>
        <v>69.5513</v>
      </c>
      <c r="C3392">
        <v>3390</v>
      </c>
      <c r="D3392" s="7">
        <v>69.551299999999998</v>
      </c>
      <c r="E3392" s="7">
        <f t="shared" si="104"/>
        <v>235778.90700000001</v>
      </c>
      <c r="F3392" s="7">
        <f t="shared" si="105"/>
        <v>11492100</v>
      </c>
      <c r="G3392" s="7"/>
    </row>
    <row r="3393" spans="1:7" x14ac:dyDescent="0.35">
      <c r="A3393" t="str">
        <f>"2018-08-24"</f>
        <v>2018-08-24</v>
      </c>
      <c r="B3393" t="str">
        <f>"67.6995"</f>
        <v>67.6995</v>
      </c>
      <c r="C3393">
        <v>3391</v>
      </c>
      <c r="D3393" s="7">
        <v>67.6995</v>
      </c>
      <c r="E3393" s="7">
        <f t="shared" si="104"/>
        <v>229569.00450000001</v>
      </c>
      <c r="F3393" s="7">
        <f t="shared" si="105"/>
        <v>11498881</v>
      </c>
      <c r="G3393" s="7"/>
    </row>
    <row r="3394" spans="1:7" x14ac:dyDescent="0.35">
      <c r="A3394" t="str">
        <f>"2018-08-27"</f>
        <v>2018-08-27</v>
      </c>
      <c r="B3394" t="str">
        <f>"70.7182"</f>
        <v>70.7182</v>
      </c>
      <c r="C3394">
        <v>3392</v>
      </c>
      <c r="D3394" s="7">
        <v>70.718199999999996</v>
      </c>
      <c r="E3394" s="7">
        <f t="shared" si="104"/>
        <v>239876.13439999998</v>
      </c>
      <c r="F3394" s="7">
        <f t="shared" si="105"/>
        <v>11505664</v>
      </c>
      <c r="G3394" s="7"/>
    </row>
    <row r="3395" spans="1:7" x14ac:dyDescent="0.35">
      <c r="A3395" t="str">
        <f>"2018-08-28"</f>
        <v>2018-08-28</v>
      </c>
      <c r="B3395" t="str">
        <f>"70.2273"</f>
        <v>70.2273</v>
      </c>
      <c r="C3395">
        <v>3393</v>
      </c>
      <c r="D3395" s="7">
        <v>70.2273</v>
      </c>
      <c r="E3395" s="7">
        <f t="shared" si="104"/>
        <v>238281.22889999999</v>
      </c>
      <c r="F3395" s="7">
        <f t="shared" si="105"/>
        <v>11512449</v>
      </c>
      <c r="G3395" s="7"/>
    </row>
    <row r="3396" spans="1:7" x14ac:dyDescent="0.35">
      <c r="A3396" t="str">
        <f>"2018-08-29"</f>
        <v>2018-08-29</v>
      </c>
      <c r="B3396" t="str">
        <f>"68.3678"</f>
        <v>68.3678</v>
      </c>
      <c r="C3396">
        <v>3394</v>
      </c>
      <c r="D3396" s="7">
        <v>68.367800000000003</v>
      </c>
      <c r="E3396" s="7">
        <f t="shared" ref="E3396:E3459" si="106">C3396*D3396</f>
        <v>232040.3132</v>
      </c>
      <c r="F3396" s="7">
        <f t="shared" ref="F3396:F3459" si="107">C3396*C3396</f>
        <v>11519236</v>
      </c>
      <c r="G3396" s="7"/>
    </row>
    <row r="3397" spans="1:7" x14ac:dyDescent="0.35">
      <c r="A3397" t="str">
        <f>"2018-08-30"</f>
        <v>2018-08-30</v>
      </c>
      <c r="B3397" t="str">
        <f>"66.5542"</f>
        <v>66.5542</v>
      </c>
      <c r="C3397">
        <v>3395</v>
      </c>
      <c r="D3397" s="7">
        <v>66.554199999999994</v>
      </c>
      <c r="E3397" s="7">
        <f t="shared" si="106"/>
        <v>225951.50899999999</v>
      </c>
      <c r="F3397" s="7">
        <f t="shared" si="107"/>
        <v>11526025</v>
      </c>
      <c r="G3397" s="7"/>
    </row>
    <row r="3398" spans="1:7" x14ac:dyDescent="0.35">
      <c r="A3398" t="str">
        <f>"2018-08-31"</f>
        <v>2018-08-31</v>
      </c>
      <c r="B3398" t="str">
        <f>"62.6461"</f>
        <v>62.6461</v>
      </c>
      <c r="C3398">
        <v>3396</v>
      </c>
      <c r="D3398" s="7">
        <v>62.646099999999997</v>
      </c>
      <c r="E3398" s="7">
        <f t="shared" si="106"/>
        <v>212746.1556</v>
      </c>
      <c r="F3398" s="7">
        <f t="shared" si="107"/>
        <v>11532816</v>
      </c>
      <c r="G3398" s="7"/>
    </row>
    <row r="3399" spans="1:7" x14ac:dyDescent="0.35">
      <c r="A3399" t="str">
        <f>"2018-09-04"</f>
        <v>2018-09-04</v>
      </c>
      <c r="B3399" t="str">
        <f>"66.5941"</f>
        <v>66.5941</v>
      </c>
      <c r="C3399">
        <v>3397</v>
      </c>
      <c r="D3399" s="7">
        <v>66.594099999999997</v>
      </c>
      <c r="E3399" s="7">
        <f t="shared" si="106"/>
        <v>226220.15769999998</v>
      </c>
      <c r="F3399" s="7">
        <f t="shared" si="107"/>
        <v>11539609</v>
      </c>
      <c r="G3399" s="7"/>
    </row>
    <row r="3400" spans="1:7" x14ac:dyDescent="0.35">
      <c r="A3400" t="str">
        <f>"2018-09-05"</f>
        <v>2018-09-05</v>
      </c>
      <c r="B3400" t="str">
        <f>"67.3579"</f>
        <v>67.3579</v>
      </c>
      <c r="C3400">
        <v>3398</v>
      </c>
      <c r="D3400" s="7">
        <v>67.357900000000001</v>
      </c>
      <c r="E3400" s="7">
        <f t="shared" si="106"/>
        <v>228882.14420000001</v>
      </c>
      <c r="F3400" s="7">
        <f t="shared" si="107"/>
        <v>11546404</v>
      </c>
      <c r="G3400" s="7"/>
    </row>
    <row r="3401" spans="1:7" x14ac:dyDescent="0.35">
      <c r="A3401" t="str">
        <f>"2018-09-06"</f>
        <v>2018-09-06</v>
      </c>
      <c r="B3401" t="str">
        <f>"67.706"</f>
        <v>67.706</v>
      </c>
      <c r="C3401">
        <v>3399</v>
      </c>
      <c r="D3401" s="7">
        <v>67.706000000000003</v>
      </c>
      <c r="E3401" s="7">
        <f t="shared" si="106"/>
        <v>230132.69400000002</v>
      </c>
      <c r="F3401" s="7">
        <f t="shared" si="107"/>
        <v>11553201</v>
      </c>
      <c r="G3401" s="7"/>
    </row>
    <row r="3402" spans="1:7" x14ac:dyDescent="0.35">
      <c r="A3402" t="str">
        <f>"2018-09-07"</f>
        <v>2018-09-07</v>
      </c>
      <c r="B3402" t="str">
        <f>"67.9596"</f>
        <v>67.9596</v>
      </c>
      <c r="C3402">
        <v>3400</v>
      </c>
      <c r="D3402" s="7">
        <v>67.959599999999995</v>
      </c>
      <c r="E3402" s="7">
        <f t="shared" si="106"/>
        <v>231062.63999999998</v>
      </c>
      <c r="F3402" s="7">
        <f t="shared" si="107"/>
        <v>11560000</v>
      </c>
      <c r="G3402" s="7"/>
    </row>
    <row r="3403" spans="1:7" x14ac:dyDescent="0.35">
      <c r="A3403" t="str">
        <f>"2018-09-10"</f>
        <v>2018-09-10</v>
      </c>
      <c r="B3403" t="str">
        <f>"69.1407"</f>
        <v>69.1407</v>
      </c>
      <c r="C3403">
        <v>3401</v>
      </c>
      <c r="D3403" s="7">
        <v>69.140699999999995</v>
      </c>
      <c r="E3403" s="7">
        <f t="shared" si="106"/>
        <v>235147.52069999999</v>
      </c>
      <c r="F3403" s="7">
        <f t="shared" si="107"/>
        <v>11566801</v>
      </c>
      <c r="G3403" s="7"/>
    </row>
    <row r="3404" spans="1:7" x14ac:dyDescent="0.35">
      <c r="A3404" t="str">
        <f>"2018-09-11"</f>
        <v>2018-09-11</v>
      </c>
      <c r="B3404" t="str">
        <f>"72.0848"</f>
        <v>72.0848</v>
      </c>
      <c r="C3404">
        <v>3402</v>
      </c>
      <c r="D3404" s="7">
        <v>72.084800000000001</v>
      </c>
      <c r="E3404" s="7">
        <f t="shared" si="106"/>
        <v>245232.4896</v>
      </c>
      <c r="F3404" s="7">
        <f t="shared" si="107"/>
        <v>11573604</v>
      </c>
      <c r="G3404" s="7"/>
    </row>
    <row r="3405" spans="1:7" x14ac:dyDescent="0.35">
      <c r="A3405" t="str">
        <f>"2018-09-12"</f>
        <v>2018-09-12</v>
      </c>
      <c r="B3405" t="str">
        <f>"72.2267"</f>
        <v>72.2267</v>
      </c>
      <c r="C3405">
        <v>3403</v>
      </c>
      <c r="D3405" s="7">
        <v>72.226699999999994</v>
      </c>
      <c r="E3405" s="7">
        <f t="shared" si="106"/>
        <v>245787.46009999997</v>
      </c>
      <c r="F3405" s="7">
        <f t="shared" si="107"/>
        <v>11580409</v>
      </c>
      <c r="G3405" s="7"/>
    </row>
    <row r="3406" spans="1:7" x14ac:dyDescent="0.35">
      <c r="A3406" t="str">
        <f>"2018-09-13"</f>
        <v>2018-09-13</v>
      </c>
      <c r="B3406" t="str">
        <f>"74.0643"</f>
        <v>74.0643</v>
      </c>
      <c r="C3406">
        <v>3404</v>
      </c>
      <c r="D3406" s="7">
        <v>74.064300000000003</v>
      </c>
      <c r="E3406" s="7">
        <f t="shared" si="106"/>
        <v>252114.87720000002</v>
      </c>
      <c r="F3406" s="7">
        <f t="shared" si="107"/>
        <v>11587216</v>
      </c>
      <c r="G3406" s="7"/>
    </row>
    <row r="3407" spans="1:7" x14ac:dyDescent="0.35">
      <c r="A3407" t="str">
        <f>"2018-09-14"</f>
        <v>2018-09-14</v>
      </c>
      <c r="B3407" t="str">
        <f>"75.4251"</f>
        <v>75.4251</v>
      </c>
      <c r="C3407">
        <v>3405</v>
      </c>
      <c r="D3407" s="7">
        <v>75.4251</v>
      </c>
      <c r="E3407" s="7">
        <f t="shared" si="106"/>
        <v>256822.46549999999</v>
      </c>
      <c r="F3407" s="7">
        <f t="shared" si="107"/>
        <v>11594025</v>
      </c>
      <c r="G3407" s="7"/>
    </row>
    <row r="3408" spans="1:7" x14ac:dyDescent="0.35">
      <c r="A3408" t="str">
        <f>"2018-09-17"</f>
        <v>2018-09-17</v>
      </c>
      <c r="B3408" t="str">
        <f>"74.6467"</f>
        <v>74.6467</v>
      </c>
      <c r="C3408">
        <v>3406</v>
      </c>
      <c r="D3408" s="7">
        <v>74.646699999999996</v>
      </c>
      <c r="E3408" s="7">
        <f t="shared" si="106"/>
        <v>254246.66019999998</v>
      </c>
      <c r="F3408" s="7">
        <f t="shared" si="107"/>
        <v>11600836</v>
      </c>
      <c r="G3408" s="7"/>
    </row>
    <row r="3409" spans="1:7" x14ac:dyDescent="0.35">
      <c r="A3409" t="str">
        <f>"2018-09-18"</f>
        <v>2018-09-18</v>
      </c>
      <c r="B3409" t="str">
        <f>"74.638"</f>
        <v>74.638</v>
      </c>
      <c r="C3409">
        <v>3407</v>
      </c>
      <c r="D3409" s="7">
        <v>74.638000000000005</v>
      </c>
      <c r="E3409" s="7">
        <f t="shared" si="106"/>
        <v>254291.66600000003</v>
      </c>
      <c r="F3409" s="7">
        <f t="shared" si="107"/>
        <v>11607649</v>
      </c>
      <c r="G3409" s="7"/>
    </row>
    <row r="3410" spans="1:7" x14ac:dyDescent="0.35">
      <c r="A3410" t="str">
        <f>"2018-09-19"</f>
        <v>2018-09-19</v>
      </c>
      <c r="B3410" t="str">
        <f>"74.438"</f>
        <v>74.438</v>
      </c>
      <c r="C3410">
        <v>3408</v>
      </c>
      <c r="D3410" s="7">
        <v>74.438000000000002</v>
      </c>
      <c r="E3410" s="7">
        <f t="shared" si="106"/>
        <v>253684.704</v>
      </c>
      <c r="F3410" s="7">
        <f t="shared" si="107"/>
        <v>11614464</v>
      </c>
      <c r="G3410" s="7"/>
    </row>
    <row r="3411" spans="1:7" x14ac:dyDescent="0.35">
      <c r="A3411" t="str">
        <f>"2018-09-20"</f>
        <v>2018-09-20</v>
      </c>
      <c r="B3411" t="str">
        <f>"74.6261"</f>
        <v>74.6261</v>
      </c>
      <c r="C3411">
        <v>3409</v>
      </c>
      <c r="D3411" s="7">
        <v>74.626099999999994</v>
      </c>
      <c r="E3411" s="7">
        <f t="shared" si="106"/>
        <v>254400.37489999997</v>
      </c>
      <c r="F3411" s="7">
        <f t="shared" si="107"/>
        <v>11621281</v>
      </c>
      <c r="G3411" s="7"/>
    </row>
    <row r="3412" spans="1:7" x14ac:dyDescent="0.35">
      <c r="A3412" t="str">
        <f>"2018-09-21"</f>
        <v>2018-09-21</v>
      </c>
      <c r="B3412" t="str">
        <f>"77.3613"</f>
        <v>77.3613</v>
      </c>
      <c r="C3412">
        <v>3410</v>
      </c>
      <c r="D3412" s="7">
        <v>77.3613</v>
      </c>
      <c r="E3412" s="7">
        <f t="shared" si="106"/>
        <v>263802.033</v>
      </c>
      <c r="F3412" s="7">
        <f t="shared" si="107"/>
        <v>11628100</v>
      </c>
      <c r="G3412" s="7"/>
    </row>
    <row r="3413" spans="1:7" x14ac:dyDescent="0.35">
      <c r="A3413" t="str">
        <f>"2018-09-24"</f>
        <v>2018-09-24</v>
      </c>
      <c r="B3413" t="str">
        <f>"79.2744"</f>
        <v>79.2744</v>
      </c>
      <c r="C3413">
        <v>3411</v>
      </c>
      <c r="D3413" s="7">
        <v>79.2744</v>
      </c>
      <c r="E3413" s="7">
        <f t="shared" si="106"/>
        <v>270404.97840000002</v>
      </c>
      <c r="F3413" s="7">
        <f t="shared" si="107"/>
        <v>11634921</v>
      </c>
      <c r="G3413" s="7"/>
    </row>
    <row r="3414" spans="1:7" x14ac:dyDescent="0.35">
      <c r="A3414" t="str">
        <f>"2018-09-25"</f>
        <v>2018-09-25</v>
      </c>
      <c r="B3414" t="str">
        <f>"79.4441"</f>
        <v>79.4441</v>
      </c>
      <c r="C3414">
        <v>3412</v>
      </c>
      <c r="D3414" s="7">
        <v>79.444100000000006</v>
      </c>
      <c r="E3414" s="7">
        <f t="shared" si="106"/>
        <v>271063.26920000004</v>
      </c>
      <c r="F3414" s="7">
        <f t="shared" si="107"/>
        <v>11641744</v>
      </c>
      <c r="G3414" s="7"/>
    </row>
    <row r="3415" spans="1:7" x14ac:dyDescent="0.35">
      <c r="A3415" t="str">
        <f>"2018-09-26"</f>
        <v>2018-09-26</v>
      </c>
      <c r="B3415" t="str">
        <f>"80.8588"</f>
        <v>80.8588</v>
      </c>
      <c r="C3415">
        <v>3413</v>
      </c>
      <c r="D3415" s="7">
        <v>80.858800000000002</v>
      </c>
      <c r="E3415" s="7">
        <f t="shared" si="106"/>
        <v>275971.08439999999</v>
      </c>
      <c r="F3415" s="7">
        <f t="shared" si="107"/>
        <v>11648569</v>
      </c>
      <c r="G3415" s="7"/>
    </row>
    <row r="3416" spans="1:7" x14ac:dyDescent="0.35">
      <c r="A3416" t="str">
        <f>"2018-09-27"</f>
        <v>2018-09-27</v>
      </c>
      <c r="B3416" t="str">
        <f>"82.4442"</f>
        <v>82.4442</v>
      </c>
      <c r="C3416">
        <v>3414</v>
      </c>
      <c r="D3416" s="7">
        <v>82.444199999999995</v>
      </c>
      <c r="E3416" s="7">
        <f t="shared" si="106"/>
        <v>281464.4988</v>
      </c>
      <c r="F3416" s="7">
        <f t="shared" si="107"/>
        <v>11655396</v>
      </c>
      <c r="G3416" s="7"/>
    </row>
    <row r="3417" spans="1:7" x14ac:dyDescent="0.35">
      <c r="A3417" t="str">
        <f>"2018-09-28"</f>
        <v>2018-09-28</v>
      </c>
      <c r="B3417" t="str">
        <f>"83.1943"</f>
        <v>83.1943</v>
      </c>
      <c r="C3417">
        <v>3415</v>
      </c>
      <c r="D3417" s="7">
        <v>83.194299999999998</v>
      </c>
      <c r="E3417" s="7">
        <f t="shared" si="106"/>
        <v>284108.53450000001</v>
      </c>
      <c r="F3417" s="7">
        <f t="shared" si="107"/>
        <v>11662225</v>
      </c>
      <c r="G3417" s="7"/>
    </row>
    <row r="3418" spans="1:7" x14ac:dyDescent="0.35">
      <c r="A3418" t="str">
        <f>"2018-10-01"</f>
        <v>2018-10-01</v>
      </c>
      <c r="B3418" t="str">
        <f>"80.806"</f>
        <v>80.806</v>
      </c>
      <c r="C3418">
        <v>3416</v>
      </c>
      <c r="D3418" s="7">
        <v>80.805999999999997</v>
      </c>
      <c r="E3418" s="7">
        <f t="shared" si="106"/>
        <v>276033.29599999997</v>
      </c>
      <c r="F3418" s="7">
        <f t="shared" si="107"/>
        <v>11669056</v>
      </c>
      <c r="G3418" s="7"/>
    </row>
    <row r="3419" spans="1:7" x14ac:dyDescent="0.35">
      <c r="A3419" t="str">
        <f>"2018-10-02"</f>
        <v>2018-10-02</v>
      </c>
      <c r="B3419" t="str">
        <f>"78.8548"</f>
        <v>78.8548</v>
      </c>
      <c r="C3419">
        <v>3417</v>
      </c>
      <c r="D3419" s="7">
        <v>78.854799999999997</v>
      </c>
      <c r="E3419" s="7">
        <f t="shared" si="106"/>
        <v>269446.85159999999</v>
      </c>
      <c r="F3419" s="7">
        <f t="shared" si="107"/>
        <v>11675889</v>
      </c>
      <c r="G3419" s="7"/>
    </row>
    <row r="3420" spans="1:7" x14ac:dyDescent="0.35">
      <c r="A3420" t="str">
        <f>"2018-10-03"</f>
        <v>2018-10-03</v>
      </c>
      <c r="B3420" t="str">
        <f>"76.9871"</f>
        <v>76.9871</v>
      </c>
      <c r="C3420">
        <v>3418</v>
      </c>
      <c r="D3420" s="7">
        <v>76.987099999999998</v>
      </c>
      <c r="E3420" s="7">
        <f t="shared" si="106"/>
        <v>263141.90779999999</v>
      </c>
      <c r="F3420" s="7">
        <f t="shared" si="107"/>
        <v>11682724</v>
      </c>
      <c r="G3420" s="7"/>
    </row>
    <row r="3421" spans="1:7" x14ac:dyDescent="0.35">
      <c r="A3421" t="str">
        <f>"2018-10-04"</f>
        <v>2018-10-04</v>
      </c>
      <c r="B3421" t="str">
        <f>"73.6247"</f>
        <v>73.6247</v>
      </c>
      <c r="C3421">
        <v>3419</v>
      </c>
      <c r="D3421" s="7">
        <v>73.624700000000004</v>
      </c>
      <c r="E3421" s="7">
        <f t="shared" si="106"/>
        <v>251722.8493</v>
      </c>
      <c r="F3421" s="7">
        <f t="shared" si="107"/>
        <v>11689561</v>
      </c>
      <c r="G3421" s="7"/>
    </row>
    <row r="3422" spans="1:7" x14ac:dyDescent="0.35">
      <c r="A3422" t="str">
        <f>"2018-10-05"</f>
        <v>2018-10-05</v>
      </c>
      <c r="B3422" t="str">
        <f>"73.5514"</f>
        <v>73.5514</v>
      </c>
      <c r="C3422">
        <v>3420</v>
      </c>
      <c r="D3422" s="7">
        <v>73.551400000000001</v>
      </c>
      <c r="E3422" s="7">
        <f t="shared" si="106"/>
        <v>251545.788</v>
      </c>
      <c r="F3422" s="7">
        <f t="shared" si="107"/>
        <v>11696400</v>
      </c>
      <c r="G3422" s="7"/>
    </row>
    <row r="3423" spans="1:7" x14ac:dyDescent="0.35">
      <c r="A3423" t="str">
        <f>"2018-10-08"</f>
        <v>2018-10-08</v>
      </c>
      <c r="B3423" t="str">
        <f>"75.8786"</f>
        <v>75.8786</v>
      </c>
      <c r="C3423">
        <v>3421</v>
      </c>
      <c r="D3423" s="7">
        <v>75.878600000000006</v>
      </c>
      <c r="E3423" s="7">
        <f t="shared" si="106"/>
        <v>259580.69060000003</v>
      </c>
      <c r="F3423" s="7">
        <f t="shared" si="107"/>
        <v>11703241</v>
      </c>
      <c r="G3423" s="7"/>
    </row>
    <row r="3424" spans="1:7" x14ac:dyDescent="0.35">
      <c r="A3424" t="str">
        <f>"2018-10-09"</f>
        <v>2018-10-09</v>
      </c>
      <c r="B3424" t="str">
        <f>"75.5836"</f>
        <v>75.5836</v>
      </c>
      <c r="C3424">
        <v>3422</v>
      </c>
      <c r="D3424" s="7">
        <v>75.583600000000004</v>
      </c>
      <c r="E3424" s="7">
        <f t="shared" si="106"/>
        <v>258647.07920000001</v>
      </c>
      <c r="F3424" s="7">
        <f t="shared" si="107"/>
        <v>11710084</v>
      </c>
      <c r="G3424" s="7"/>
    </row>
    <row r="3425" spans="1:7" x14ac:dyDescent="0.35">
      <c r="A3425" t="str">
        <f>"2018-10-10"</f>
        <v>2018-10-10</v>
      </c>
      <c r="B3425" t="str">
        <f>"71.5804"</f>
        <v>71.5804</v>
      </c>
      <c r="C3425">
        <v>3423</v>
      </c>
      <c r="D3425" s="7">
        <v>71.580399999999997</v>
      </c>
      <c r="E3425" s="7">
        <f t="shared" si="106"/>
        <v>245019.70919999998</v>
      </c>
      <c r="F3425" s="7">
        <f t="shared" si="107"/>
        <v>11716929</v>
      </c>
      <c r="G3425" s="7"/>
    </row>
    <row r="3426" spans="1:7" x14ac:dyDescent="0.35">
      <c r="A3426" t="str">
        <f>"2018-10-11"</f>
        <v>2018-10-11</v>
      </c>
      <c r="B3426" t="str">
        <f>"68.6939"</f>
        <v>68.6939</v>
      </c>
      <c r="C3426">
        <v>3424</v>
      </c>
      <c r="D3426" s="7">
        <v>68.693899999999999</v>
      </c>
      <c r="E3426" s="7">
        <f t="shared" si="106"/>
        <v>235207.9136</v>
      </c>
      <c r="F3426" s="7">
        <f t="shared" si="107"/>
        <v>11723776</v>
      </c>
      <c r="G3426" s="7"/>
    </row>
    <row r="3427" spans="1:7" x14ac:dyDescent="0.35">
      <c r="A3427" t="str">
        <f>"2018-10-12"</f>
        <v>2018-10-12</v>
      </c>
      <c r="B3427" t="str">
        <f>"74.7805"</f>
        <v>74.7805</v>
      </c>
      <c r="C3427">
        <v>3425</v>
      </c>
      <c r="D3427" s="7">
        <v>74.780500000000004</v>
      </c>
      <c r="E3427" s="7">
        <f t="shared" si="106"/>
        <v>256123.21250000002</v>
      </c>
      <c r="F3427" s="7">
        <f t="shared" si="107"/>
        <v>11730625</v>
      </c>
      <c r="G3427" s="7"/>
    </row>
    <row r="3428" spans="1:7" x14ac:dyDescent="0.35">
      <c r="A3428" t="str">
        <f>"2018-10-15"</f>
        <v>2018-10-15</v>
      </c>
      <c r="B3428" t="str">
        <f>"77.9409"</f>
        <v>77.9409</v>
      </c>
      <c r="C3428">
        <v>3426</v>
      </c>
      <c r="D3428" s="7">
        <v>77.940899999999999</v>
      </c>
      <c r="E3428" s="7">
        <f t="shared" si="106"/>
        <v>267025.52340000001</v>
      </c>
      <c r="F3428" s="7">
        <f t="shared" si="107"/>
        <v>11737476</v>
      </c>
      <c r="G3428" s="7"/>
    </row>
    <row r="3429" spans="1:7" x14ac:dyDescent="0.35">
      <c r="A3429" t="str">
        <f>"2018-10-16"</f>
        <v>2018-10-16</v>
      </c>
      <c r="B3429" t="str">
        <f>"76.3334"</f>
        <v>76.3334</v>
      </c>
      <c r="C3429">
        <v>3427</v>
      </c>
      <c r="D3429" s="7">
        <v>76.333399999999997</v>
      </c>
      <c r="E3429" s="7">
        <f t="shared" si="106"/>
        <v>261594.5618</v>
      </c>
      <c r="F3429" s="7">
        <f t="shared" si="107"/>
        <v>11744329</v>
      </c>
      <c r="G3429" s="7"/>
    </row>
    <row r="3430" spans="1:7" x14ac:dyDescent="0.35">
      <c r="A3430" t="str">
        <f>"2018-10-17"</f>
        <v>2018-10-17</v>
      </c>
      <c r="B3430" t="str">
        <f>"73.9091"</f>
        <v>73.9091</v>
      </c>
      <c r="C3430">
        <v>3428</v>
      </c>
      <c r="D3430" s="7">
        <v>73.909099999999995</v>
      </c>
      <c r="E3430" s="7">
        <f t="shared" si="106"/>
        <v>253360.39479999998</v>
      </c>
      <c r="F3430" s="7">
        <f t="shared" si="107"/>
        <v>11751184</v>
      </c>
      <c r="G3430" s="7"/>
    </row>
    <row r="3431" spans="1:7" x14ac:dyDescent="0.35">
      <c r="A3431" t="str">
        <f>"2018-10-18"</f>
        <v>2018-10-18</v>
      </c>
      <c r="B3431" t="str">
        <f>"75.1597"</f>
        <v>75.1597</v>
      </c>
      <c r="C3431">
        <v>3429</v>
      </c>
      <c r="D3431" s="7">
        <v>75.159700000000001</v>
      </c>
      <c r="E3431" s="7">
        <f t="shared" si="106"/>
        <v>257722.61129999999</v>
      </c>
      <c r="F3431" s="7">
        <f t="shared" si="107"/>
        <v>11758041</v>
      </c>
      <c r="G3431" s="7"/>
    </row>
    <row r="3432" spans="1:7" x14ac:dyDescent="0.35">
      <c r="A3432" t="str">
        <f>"2018-10-19"</f>
        <v>2018-10-19</v>
      </c>
      <c r="B3432" t="str">
        <f>"72.7443"</f>
        <v>72.7443</v>
      </c>
      <c r="C3432">
        <v>3430</v>
      </c>
      <c r="D3432" s="7">
        <v>72.744299999999996</v>
      </c>
      <c r="E3432" s="7">
        <f t="shared" si="106"/>
        <v>249512.94899999999</v>
      </c>
      <c r="F3432" s="7">
        <f t="shared" si="107"/>
        <v>11764900</v>
      </c>
      <c r="G3432" s="7"/>
    </row>
    <row r="3433" spans="1:7" x14ac:dyDescent="0.35">
      <c r="A3433" t="str">
        <f>"2018-10-22"</f>
        <v>2018-10-22</v>
      </c>
      <c r="B3433" t="str">
        <f>"70.7201"</f>
        <v>70.7201</v>
      </c>
      <c r="C3433">
        <v>3431</v>
      </c>
      <c r="D3433" s="7">
        <v>70.720100000000002</v>
      </c>
      <c r="E3433" s="7">
        <f t="shared" si="106"/>
        <v>242640.66310000001</v>
      </c>
      <c r="F3433" s="7">
        <f t="shared" si="107"/>
        <v>11771761</v>
      </c>
      <c r="G3433" s="7"/>
    </row>
    <row r="3434" spans="1:7" x14ac:dyDescent="0.35">
      <c r="A3434" t="str">
        <f>"2018-10-23"</f>
        <v>2018-10-23</v>
      </c>
      <c r="B3434" t="str">
        <f>"68.9871"</f>
        <v>68.9871</v>
      </c>
      <c r="C3434">
        <v>3432</v>
      </c>
      <c r="D3434" s="7">
        <v>68.987099999999998</v>
      </c>
      <c r="E3434" s="7">
        <f t="shared" si="106"/>
        <v>236763.72719999999</v>
      </c>
      <c r="F3434" s="7">
        <f t="shared" si="107"/>
        <v>11778624</v>
      </c>
      <c r="G3434" s="7"/>
    </row>
    <row r="3435" spans="1:7" x14ac:dyDescent="0.35">
      <c r="A3435" t="str">
        <f>"2018-10-24"</f>
        <v>2018-10-24</v>
      </c>
      <c r="B3435" t="str">
        <f>"68.5857"</f>
        <v>68.5857</v>
      </c>
      <c r="C3435">
        <v>3433</v>
      </c>
      <c r="D3435" s="7">
        <v>68.585700000000003</v>
      </c>
      <c r="E3435" s="7">
        <f t="shared" si="106"/>
        <v>235454.70810000002</v>
      </c>
      <c r="F3435" s="7">
        <f t="shared" si="107"/>
        <v>11785489</v>
      </c>
      <c r="G3435" s="7"/>
    </row>
    <row r="3436" spans="1:7" x14ac:dyDescent="0.35">
      <c r="A3436" t="str">
        <f>"2018-10-25"</f>
        <v>2018-10-25</v>
      </c>
      <c r="B3436" t="str">
        <f>"70.6694"</f>
        <v>70.6694</v>
      </c>
      <c r="C3436">
        <v>3434</v>
      </c>
      <c r="D3436" s="7">
        <v>70.669399999999996</v>
      </c>
      <c r="E3436" s="7">
        <f t="shared" si="106"/>
        <v>242678.71959999998</v>
      </c>
      <c r="F3436" s="7">
        <f t="shared" si="107"/>
        <v>11792356</v>
      </c>
      <c r="G3436" s="7"/>
    </row>
    <row r="3437" spans="1:7" x14ac:dyDescent="0.35">
      <c r="A3437" t="str">
        <f>"2018-10-26"</f>
        <v>2018-10-26</v>
      </c>
      <c r="B3437" t="str">
        <f>"69.4535"</f>
        <v>69.4535</v>
      </c>
      <c r="C3437">
        <v>3435</v>
      </c>
      <c r="D3437" s="7">
        <v>69.453500000000005</v>
      </c>
      <c r="E3437" s="7">
        <f t="shared" si="106"/>
        <v>238572.77250000002</v>
      </c>
      <c r="F3437" s="7">
        <f t="shared" si="107"/>
        <v>11799225</v>
      </c>
      <c r="G3437" s="7"/>
    </row>
    <row r="3438" spans="1:7" x14ac:dyDescent="0.35">
      <c r="A3438" t="str">
        <f>"2018-10-29"</f>
        <v>2018-10-29</v>
      </c>
      <c r="B3438" t="str">
        <f>"70.4851"</f>
        <v>70.4851</v>
      </c>
      <c r="C3438">
        <v>3436</v>
      </c>
      <c r="D3438" s="7">
        <v>70.485100000000003</v>
      </c>
      <c r="E3438" s="7">
        <f t="shared" si="106"/>
        <v>242186.80360000001</v>
      </c>
      <c r="F3438" s="7">
        <f t="shared" si="107"/>
        <v>11806096</v>
      </c>
      <c r="G3438" s="7"/>
    </row>
    <row r="3439" spans="1:7" x14ac:dyDescent="0.35">
      <c r="A3439" t="str">
        <f>"2018-10-30"</f>
        <v>2018-10-30</v>
      </c>
      <c r="B3439" t="str">
        <f>"66.9917"</f>
        <v>66.9917</v>
      </c>
      <c r="C3439">
        <v>3437</v>
      </c>
      <c r="D3439" s="7">
        <v>66.991699999999994</v>
      </c>
      <c r="E3439" s="7">
        <f t="shared" si="106"/>
        <v>230250.47289999999</v>
      </c>
      <c r="F3439" s="7">
        <f t="shared" si="107"/>
        <v>11812969</v>
      </c>
      <c r="G3439" s="7"/>
    </row>
    <row r="3440" spans="1:7" x14ac:dyDescent="0.35">
      <c r="A3440" t="str">
        <f>"2018-10-31"</f>
        <v>2018-10-31</v>
      </c>
      <c r="B3440" t="str">
        <f>"65.5821"</f>
        <v>65.5821</v>
      </c>
      <c r="C3440">
        <v>3438</v>
      </c>
      <c r="D3440" s="7">
        <v>65.582099999999997</v>
      </c>
      <c r="E3440" s="7">
        <f t="shared" si="106"/>
        <v>225471.2598</v>
      </c>
      <c r="F3440" s="7">
        <f t="shared" si="107"/>
        <v>11819844</v>
      </c>
      <c r="G3440" s="7"/>
    </row>
    <row r="3441" spans="1:7" x14ac:dyDescent="0.35">
      <c r="A3441" t="str">
        <f>"2018-11-01"</f>
        <v>2018-11-01</v>
      </c>
      <c r="B3441" t="str">
        <f>"65.8859"</f>
        <v>65.8859</v>
      </c>
      <c r="C3441">
        <v>3439</v>
      </c>
      <c r="D3441" s="7">
        <v>65.885900000000007</v>
      </c>
      <c r="E3441" s="7">
        <f t="shared" si="106"/>
        <v>226581.61010000002</v>
      </c>
      <c r="F3441" s="7">
        <f t="shared" si="107"/>
        <v>11826721</v>
      </c>
      <c r="G3441" s="7"/>
    </row>
    <row r="3442" spans="1:7" x14ac:dyDescent="0.35">
      <c r="A3442" t="str">
        <f>"2018-11-02"</f>
        <v>2018-11-02</v>
      </c>
      <c r="B3442" t="str">
        <f>"69.2462"</f>
        <v>69.2462</v>
      </c>
      <c r="C3442">
        <v>3440</v>
      </c>
      <c r="D3442" s="7">
        <v>69.246200000000002</v>
      </c>
      <c r="E3442" s="7">
        <f t="shared" si="106"/>
        <v>238206.92800000001</v>
      </c>
      <c r="F3442" s="7">
        <f t="shared" si="107"/>
        <v>11833600</v>
      </c>
      <c r="G3442" s="7"/>
    </row>
    <row r="3443" spans="1:7" x14ac:dyDescent="0.35">
      <c r="A3443" t="str">
        <f>"2018-11-05"</f>
        <v>2018-11-05</v>
      </c>
      <c r="B3443" t="str">
        <f>"71.1571"</f>
        <v>71.1571</v>
      </c>
      <c r="C3443">
        <v>3441</v>
      </c>
      <c r="D3443" s="7">
        <v>71.1571</v>
      </c>
      <c r="E3443" s="7">
        <f t="shared" si="106"/>
        <v>244851.58110000001</v>
      </c>
      <c r="F3443" s="7">
        <f t="shared" si="107"/>
        <v>11840481</v>
      </c>
      <c r="G3443" s="7"/>
    </row>
    <row r="3444" spans="1:7" x14ac:dyDescent="0.35">
      <c r="A3444" t="str">
        <f>"2018-11-06"</f>
        <v>2018-11-06</v>
      </c>
      <c r="B3444" t="str">
        <f>"70.3213"</f>
        <v>70.3213</v>
      </c>
      <c r="C3444">
        <v>3442</v>
      </c>
      <c r="D3444" s="7">
        <v>70.321299999999994</v>
      </c>
      <c r="E3444" s="7">
        <f t="shared" si="106"/>
        <v>242045.91459999999</v>
      </c>
      <c r="F3444" s="7">
        <f t="shared" si="107"/>
        <v>11847364</v>
      </c>
      <c r="G3444" s="7"/>
    </row>
    <row r="3445" spans="1:7" x14ac:dyDescent="0.35">
      <c r="A3445" t="str">
        <f>"2018-11-07"</f>
        <v>2018-11-07</v>
      </c>
      <c r="B3445" t="str">
        <f>"73.7619"</f>
        <v>73.7619</v>
      </c>
      <c r="C3445">
        <v>3443</v>
      </c>
      <c r="D3445" s="7">
        <v>73.761899999999997</v>
      </c>
      <c r="E3445" s="7">
        <f t="shared" si="106"/>
        <v>253962.22169999999</v>
      </c>
      <c r="F3445" s="7">
        <f t="shared" si="107"/>
        <v>11854249</v>
      </c>
      <c r="G3445" s="7"/>
    </row>
    <row r="3446" spans="1:7" x14ac:dyDescent="0.35">
      <c r="A3446" t="str">
        <f>"2018-11-08"</f>
        <v>2018-11-08</v>
      </c>
      <c r="B3446" t="str">
        <f>"69.4704"</f>
        <v>69.4704</v>
      </c>
      <c r="C3446">
        <v>3444</v>
      </c>
      <c r="D3446" s="7">
        <v>69.470399999999998</v>
      </c>
      <c r="E3446" s="7">
        <f t="shared" si="106"/>
        <v>239256.0576</v>
      </c>
      <c r="F3446" s="7">
        <f t="shared" si="107"/>
        <v>11861136</v>
      </c>
      <c r="G3446" s="7"/>
    </row>
    <row r="3447" spans="1:7" x14ac:dyDescent="0.35">
      <c r="A3447" t="str">
        <f>"2018-11-09"</f>
        <v>2018-11-09</v>
      </c>
      <c r="B3447" t="str">
        <f>"71.6715"</f>
        <v>71.6715</v>
      </c>
      <c r="C3447">
        <v>3445</v>
      </c>
      <c r="D3447" s="7">
        <v>71.671499999999995</v>
      </c>
      <c r="E3447" s="7">
        <f t="shared" si="106"/>
        <v>246908.31749999998</v>
      </c>
      <c r="F3447" s="7">
        <f t="shared" si="107"/>
        <v>11868025</v>
      </c>
      <c r="G3447" s="7"/>
    </row>
    <row r="3448" spans="1:7" x14ac:dyDescent="0.35">
      <c r="A3448" t="str">
        <f>"2018-11-12"</f>
        <v>2018-11-12</v>
      </c>
      <c r="B3448" t="str">
        <f>"70.2191"</f>
        <v>70.2191</v>
      </c>
      <c r="C3448">
        <v>3446</v>
      </c>
      <c r="D3448" s="7">
        <v>70.219099999999997</v>
      </c>
      <c r="E3448" s="7">
        <f t="shared" si="106"/>
        <v>241975.01859999998</v>
      </c>
      <c r="F3448" s="7">
        <f t="shared" si="107"/>
        <v>11874916</v>
      </c>
      <c r="G3448" s="7"/>
    </row>
    <row r="3449" spans="1:7" x14ac:dyDescent="0.35">
      <c r="A3449" t="str">
        <f>"2018-11-13"</f>
        <v>2018-11-13</v>
      </c>
      <c r="B3449" t="str">
        <f>"73.5189"</f>
        <v>73.5189</v>
      </c>
      <c r="C3449">
        <v>3447</v>
      </c>
      <c r="D3449" s="7">
        <v>73.518900000000002</v>
      </c>
      <c r="E3449" s="7">
        <f t="shared" si="106"/>
        <v>253419.6483</v>
      </c>
      <c r="F3449" s="7">
        <f t="shared" si="107"/>
        <v>11881809</v>
      </c>
      <c r="G3449" s="7"/>
    </row>
    <row r="3450" spans="1:7" x14ac:dyDescent="0.35">
      <c r="A3450" t="str">
        <f>"2018-11-14"</f>
        <v>2018-11-14</v>
      </c>
      <c r="B3450" t="str">
        <f>"75.8682"</f>
        <v>75.8682</v>
      </c>
      <c r="C3450">
        <v>3448</v>
      </c>
      <c r="D3450" s="7">
        <v>75.868200000000002</v>
      </c>
      <c r="E3450" s="7">
        <f t="shared" si="106"/>
        <v>261593.55360000001</v>
      </c>
      <c r="F3450" s="7">
        <f t="shared" si="107"/>
        <v>11888704</v>
      </c>
      <c r="G3450" s="7"/>
    </row>
    <row r="3451" spans="1:7" x14ac:dyDescent="0.35">
      <c r="A3451" t="str">
        <f>"2018-11-15"</f>
        <v>2018-11-15</v>
      </c>
      <c r="B3451" t="str">
        <f>"76.1349"</f>
        <v>76.1349</v>
      </c>
      <c r="C3451">
        <v>3449</v>
      </c>
      <c r="D3451" s="7">
        <v>76.134900000000002</v>
      </c>
      <c r="E3451" s="7">
        <f t="shared" si="106"/>
        <v>262589.27010000002</v>
      </c>
      <c r="F3451" s="7">
        <f t="shared" si="107"/>
        <v>11895601</v>
      </c>
      <c r="G3451" s="7"/>
    </row>
    <row r="3452" spans="1:7" x14ac:dyDescent="0.35">
      <c r="A3452" t="str">
        <f>"2018-11-16"</f>
        <v>2018-11-16</v>
      </c>
      <c r="B3452" t="str">
        <f>"75.4339"</f>
        <v>75.4339</v>
      </c>
      <c r="C3452">
        <v>3450</v>
      </c>
      <c r="D3452" s="7">
        <v>75.433899999999994</v>
      </c>
      <c r="E3452" s="7">
        <f t="shared" si="106"/>
        <v>260246.95499999999</v>
      </c>
      <c r="F3452" s="7">
        <f t="shared" si="107"/>
        <v>11902500</v>
      </c>
      <c r="G3452" s="7"/>
    </row>
    <row r="3453" spans="1:7" x14ac:dyDescent="0.35">
      <c r="A3453" t="str">
        <f>"2018-11-19"</f>
        <v>2018-11-19</v>
      </c>
      <c r="B3453" t="str">
        <f>"77.9429"</f>
        <v>77.9429</v>
      </c>
      <c r="C3453">
        <v>3451</v>
      </c>
      <c r="D3453" s="7">
        <v>77.942899999999995</v>
      </c>
      <c r="E3453" s="7">
        <f t="shared" si="106"/>
        <v>268980.94789999997</v>
      </c>
      <c r="F3453" s="7">
        <f t="shared" si="107"/>
        <v>11909401</v>
      </c>
      <c r="G3453" s="7"/>
    </row>
    <row r="3454" spans="1:7" x14ac:dyDescent="0.35">
      <c r="A3454" t="str">
        <f>"2018-11-20"</f>
        <v>2018-11-20</v>
      </c>
      <c r="B3454" t="str">
        <f>"76.2297"</f>
        <v>76.2297</v>
      </c>
      <c r="C3454">
        <v>3452</v>
      </c>
      <c r="D3454" s="7">
        <v>76.229699999999994</v>
      </c>
      <c r="E3454" s="7">
        <f t="shared" si="106"/>
        <v>263144.92439999996</v>
      </c>
      <c r="F3454" s="7">
        <f t="shared" si="107"/>
        <v>11916304</v>
      </c>
      <c r="G3454" s="7"/>
    </row>
    <row r="3455" spans="1:7" x14ac:dyDescent="0.35">
      <c r="A3455" t="str">
        <f>"2018-11-21"</f>
        <v>2018-11-21</v>
      </c>
      <c r="B3455" t="str">
        <f>"77.3124"</f>
        <v>77.3124</v>
      </c>
      <c r="C3455">
        <v>3453</v>
      </c>
      <c r="D3455" s="7">
        <v>77.312399999999997</v>
      </c>
      <c r="E3455" s="7">
        <f t="shared" si="106"/>
        <v>266959.71720000001</v>
      </c>
      <c r="F3455" s="7">
        <f t="shared" si="107"/>
        <v>11923209</v>
      </c>
      <c r="G3455" s="7"/>
    </row>
    <row r="3456" spans="1:7" x14ac:dyDescent="0.35">
      <c r="A3456" t="str">
        <f>"2018-11-23"</f>
        <v>2018-11-23</v>
      </c>
      <c r="B3456" t="str">
        <f>"81.1546"</f>
        <v>81.1546</v>
      </c>
      <c r="C3456">
        <v>3454</v>
      </c>
      <c r="D3456" s="7">
        <v>81.154600000000002</v>
      </c>
      <c r="E3456" s="7">
        <f t="shared" si="106"/>
        <v>280307.98840000003</v>
      </c>
      <c r="F3456" s="7">
        <f t="shared" si="107"/>
        <v>11930116</v>
      </c>
      <c r="G3456" s="7"/>
    </row>
    <row r="3457" spans="1:7" x14ac:dyDescent="0.35">
      <c r="A3457" t="str">
        <f>"2018-11-26"</f>
        <v>2018-11-26</v>
      </c>
      <c r="B3457" t="str">
        <f>"82.0384"</f>
        <v>82.0384</v>
      </c>
      <c r="C3457">
        <v>3455</v>
      </c>
      <c r="D3457" s="7">
        <v>82.038399999999996</v>
      </c>
      <c r="E3457" s="7">
        <f t="shared" si="106"/>
        <v>283442.67199999996</v>
      </c>
      <c r="F3457" s="7">
        <f t="shared" si="107"/>
        <v>11937025</v>
      </c>
      <c r="G3457" s="7"/>
    </row>
    <row r="3458" spans="1:7" x14ac:dyDescent="0.35">
      <c r="A3458" t="str">
        <f>"2018-11-27"</f>
        <v>2018-11-27</v>
      </c>
      <c r="B3458" t="str">
        <f>"83.5785"</f>
        <v>83.5785</v>
      </c>
      <c r="C3458">
        <v>3456</v>
      </c>
      <c r="D3458" s="7">
        <v>83.578500000000005</v>
      </c>
      <c r="E3458" s="7">
        <f t="shared" si="106"/>
        <v>288847.29600000003</v>
      </c>
      <c r="F3458" s="7">
        <f t="shared" si="107"/>
        <v>11943936</v>
      </c>
      <c r="G3458" s="7"/>
    </row>
    <row r="3459" spans="1:7" x14ac:dyDescent="0.35">
      <c r="A3459" t="str">
        <f>"2018-11-28"</f>
        <v>2018-11-28</v>
      </c>
      <c r="B3459" t="str">
        <f>"83.3846"</f>
        <v>83.3846</v>
      </c>
      <c r="C3459">
        <v>3457</v>
      </c>
      <c r="D3459" s="7">
        <v>83.384600000000006</v>
      </c>
      <c r="E3459" s="7">
        <f t="shared" si="106"/>
        <v>288260.56220000004</v>
      </c>
      <c r="F3459" s="7">
        <f t="shared" si="107"/>
        <v>11950849</v>
      </c>
      <c r="G3459" s="7"/>
    </row>
    <row r="3460" spans="1:7" x14ac:dyDescent="0.35">
      <c r="A3460" t="str">
        <f>"2018-11-29"</f>
        <v>2018-11-29</v>
      </c>
      <c r="B3460" t="str">
        <f>"82.5716"</f>
        <v>82.5716</v>
      </c>
      <c r="C3460">
        <v>3458</v>
      </c>
      <c r="D3460" s="7">
        <v>82.571600000000004</v>
      </c>
      <c r="E3460" s="7">
        <f t="shared" ref="E3460:E3523" si="108">C3460*D3460</f>
        <v>285532.59279999998</v>
      </c>
      <c r="F3460" s="7">
        <f t="shared" ref="F3460:F3523" si="109">C3460*C3460</f>
        <v>11957764</v>
      </c>
      <c r="G3460" s="7"/>
    </row>
    <row r="3461" spans="1:7" x14ac:dyDescent="0.35">
      <c r="A3461" t="str">
        <f>"2018-11-30"</f>
        <v>2018-11-30</v>
      </c>
      <c r="B3461" t="str">
        <f>"84.0611"</f>
        <v>84.0611</v>
      </c>
      <c r="C3461">
        <v>3459</v>
      </c>
      <c r="D3461" s="7">
        <v>84.061099999999996</v>
      </c>
      <c r="E3461" s="7">
        <f t="shared" si="108"/>
        <v>290767.34489999997</v>
      </c>
      <c r="F3461" s="7">
        <f t="shared" si="109"/>
        <v>11964681</v>
      </c>
      <c r="G3461" s="7"/>
    </row>
    <row r="3462" spans="1:7" x14ac:dyDescent="0.35">
      <c r="A3462" t="str">
        <f>"2018-12-03"</f>
        <v>2018-12-03</v>
      </c>
      <c r="B3462" t="str">
        <f>"79.359"</f>
        <v>79.359</v>
      </c>
      <c r="C3462">
        <v>3460</v>
      </c>
      <c r="D3462" s="7">
        <v>79.358999999999995</v>
      </c>
      <c r="E3462" s="7">
        <f t="shared" si="108"/>
        <v>274582.13999999996</v>
      </c>
      <c r="F3462" s="7">
        <f t="shared" si="109"/>
        <v>11971600</v>
      </c>
      <c r="G3462" s="7"/>
    </row>
    <row r="3463" spans="1:7" x14ac:dyDescent="0.35">
      <c r="A3463" t="str">
        <f>"2018-12-04"</f>
        <v>2018-12-04</v>
      </c>
      <c r="B3463" t="str">
        <f>"76.1745"</f>
        <v>76.1745</v>
      </c>
      <c r="C3463">
        <v>3461</v>
      </c>
      <c r="D3463" s="7">
        <v>76.174499999999995</v>
      </c>
      <c r="E3463" s="7">
        <f t="shared" si="108"/>
        <v>263639.94449999998</v>
      </c>
      <c r="F3463" s="7">
        <f t="shared" si="109"/>
        <v>11978521</v>
      </c>
      <c r="G3463" s="7"/>
    </row>
    <row r="3464" spans="1:7" x14ac:dyDescent="0.35">
      <c r="A3464" t="str">
        <f>"2018-12-06"</f>
        <v>2018-12-06</v>
      </c>
      <c r="B3464" t="str">
        <f>"77.2519"</f>
        <v>77.2519</v>
      </c>
      <c r="C3464">
        <v>3462</v>
      </c>
      <c r="D3464" s="7">
        <v>77.251900000000006</v>
      </c>
      <c r="E3464" s="7">
        <f t="shared" si="108"/>
        <v>267446.07780000003</v>
      </c>
      <c r="F3464" s="7">
        <f t="shared" si="109"/>
        <v>11985444</v>
      </c>
      <c r="G3464" s="7"/>
    </row>
    <row r="3465" spans="1:7" x14ac:dyDescent="0.35">
      <c r="A3465" t="str">
        <f>"2018-12-07"</f>
        <v>2018-12-07</v>
      </c>
      <c r="B3465" t="str">
        <f>"75.5223"</f>
        <v>75.5223</v>
      </c>
      <c r="C3465">
        <v>3463</v>
      </c>
      <c r="D3465" s="7">
        <v>75.522300000000001</v>
      </c>
      <c r="E3465" s="7">
        <f t="shared" si="108"/>
        <v>261533.7249</v>
      </c>
      <c r="F3465" s="7">
        <f t="shared" si="109"/>
        <v>11992369</v>
      </c>
      <c r="G3465" s="7"/>
    </row>
    <row r="3466" spans="1:7" x14ac:dyDescent="0.35">
      <c r="A3466" t="str">
        <f>"2018-12-10"</f>
        <v>2018-12-10</v>
      </c>
      <c r="B3466" t="str">
        <f>"75.7445"</f>
        <v>75.7445</v>
      </c>
      <c r="C3466">
        <v>3464</v>
      </c>
      <c r="D3466" s="7">
        <v>75.744500000000002</v>
      </c>
      <c r="E3466" s="7">
        <f t="shared" si="108"/>
        <v>262378.94800000003</v>
      </c>
      <c r="F3466" s="7">
        <f t="shared" si="109"/>
        <v>11999296</v>
      </c>
      <c r="G3466" s="7"/>
    </row>
    <row r="3467" spans="1:7" x14ac:dyDescent="0.35">
      <c r="A3467" t="str">
        <f>"2018-12-11"</f>
        <v>2018-12-11</v>
      </c>
      <c r="B3467" t="str">
        <f>"75.2533"</f>
        <v>75.2533</v>
      </c>
      <c r="C3467">
        <v>3465</v>
      </c>
      <c r="D3467" s="7">
        <v>75.253299999999996</v>
      </c>
      <c r="E3467" s="7">
        <f t="shared" si="108"/>
        <v>260752.68449999997</v>
      </c>
      <c r="F3467" s="7">
        <f t="shared" si="109"/>
        <v>12006225</v>
      </c>
      <c r="G3467" s="7"/>
    </row>
    <row r="3468" spans="1:7" x14ac:dyDescent="0.35">
      <c r="A3468" t="str">
        <f>"2018-12-12"</f>
        <v>2018-12-12</v>
      </c>
      <c r="B3468" t="str">
        <f>"71.1112"</f>
        <v>71.1112</v>
      </c>
      <c r="C3468">
        <v>3466</v>
      </c>
      <c r="D3468" s="7">
        <v>71.111199999999997</v>
      </c>
      <c r="E3468" s="7">
        <f t="shared" si="108"/>
        <v>246471.41919999997</v>
      </c>
      <c r="F3468" s="7">
        <f t="shared" si="109"/>
        <v>12013156</v>
      </c>
      <c r="G3468" s="7"/>
    </row>
    <row r="3469" spans="1:7" x14ac:dyDescent="0.35">
      <c r="A3469" t="str">
        <f>"2018-12-13"</f>
        <v>2018-12-13</v>
      </c>
      <c r="B3469" t="str">
        <f>"71.7601"</f>
        <v>71.7601</v>
      </c>
      <c r="C3469">
        <v>3467</v>
      </c>
      <c r="D3469" s="7">
        <v>71.760099999999994</v>
      </c>
      <c r="E3469" s="7">
        <f t="shared" si="108"/>
        <v>248792.26669999998</v>
      </c>
      <c r="F3469" s="7">
        <f t="shared" si="109"/>
        <v>12020089</v>
      </c>
      <c r="G3469" s="7"/>
    </row>
    <row r="3470" spans="1:7" x14ac:dyDescent="0.35">
      <c r="A3470" t="str">
        <f>"2018-12-14"</f>
        <v>2018-12-14</v>
      </c>
      <c r="B3470" t="str">
        <f>"70.1373"</f>
        <v>70.1373</v>
      </c>
      <c r="C3470">
        <v>3468</v>
      </c>
      <c r="D3470" s="7">
        <v>70.137299999999996</v>
      </c>
      <c r="E3470" s="7">
        <f t="shared" si="108"/>
        <v>243236.15639999998</v>
      </c>
      <c r="F3470" s="7">
        <f t="shared" si="109"/>
        <v>12027024</v>
      </c>
      <c r="G3470" s="7"/>
    </row>
    <row r="3471" spans="1:7" x14ac:dyDescent="0.35">
      <c r="A3471" t="str">
        <f>"2018-12-17"</f>
        <v>2018-12-17</v>
      </c>
      <c r="B3471" t="str">
        <f>"68.5184"</f>
        <v>68.5184</v>
      </c>
      <c r="C3471">
        <v>3469</v>
      </c>
      <c r="D3471" s="7">
        <v>68.5184</v>
      </c>
      <c r="E3471" s="7">
        <f t="shared" si="108"/>
        <v>237690.3296</v>
      </c>
      <c r="F3471" s="7">
        <f t="shared" si="109"/>
        <v>12033961</v>
      </c>
      <c r="G3471" s="7"/>
    </row>
    <row r="3472" spans="1:7" x14ac:dyDescent="0.35">
      <c r="A3472" t="str">
        <f>"2018-12-18"</f>
        <v>2018-12-18</v>
      </c>
      <c r="B3472" t="str">
        <f>"71.5033"</f>
        <v>71.5033</v>
      </c>
      <c r="C3472">
        <v>3470</v>
      </c>
      <c r="D3472" s="7">
        <v>71.503299999999996</v>
      </c>
      <c r="E3472" s="7">
        <f t="shared" si="108"/>
        <v>248116.45099999997</v>
      </c>
      <c r="F3472" s="7">
        <f t="shared" si="109"/>
        <v>12040900</v>
      </c>
      <c r="G3472" s="7"/>
    </row>
    <row r="3473" spans="1:7" x14ac:dyDescent="0.35">
      <c r="A3473" t="str">
        <f>"2018-12-19"</f>
        <v>2018-12-19</v>
      </c>
      <c r="B3473" t="str">
        <f>"75.4159"</f>
        <v>75.4159</v>
      </c>
      <c r="C3473">
        <v>3471</v>
      </c>
      <c r="D3473" s="7">
        <v>75.415899999999993</v>
      </c>
      <c r="E3473" s="7">
        <f t="shared" si="108"/>
        <v>261768.58889999997</v>
      </c>
      <c r="F3473" s="7">
        <f t="shared" si="109"/>
        <v>12047841</v>
      </c>
      <c r="G3473" s="7"/>
    </row>
    <row r="3474" spans="1:7" x14ac:dyDescent="0.35">
      <c r="A3474" t="str">
        <f>"2018-12-20"</f>
        <v>2018-12-20</v>
      </c>
      <c r="B3474" t="str">
        <f>"75.9214"</f>
        <v>75.9214</v>
      </c>
      <c r="C3474">
        <v>3472</v>
      </c>
      <c r="D3474" s="7">
        <v>75.921400000000006</v>
      </c>
      <c r="E3474" s="7">
        <f t="shared" si="108"/>
        <v>263599.10080000001</v>
      </c>
      <c r="F3474" s="7">
        <f t="shared" si="109"/>
        <v>12054784</v>
      </c>
      <c r="G3474" s="7"/>
    </row>
    <row r="3475" spans="1:7" x14ac:dyDescent="0.35">
      <c r="A3475" t="str">
        <f>"2018-12-21"</f>
        <v>2018-12-21</v>
      </c>
      <c r="B3475" t="str">
        <f>"77.1903"</f>
        <v>77.1903</v>
      </c>
      <c r="C3475">
        <v>3473</v>
      </c>
      <c r="D3475" s="7">
        <v>77.190299999999993</v>
      </c>
      <c r="E3475" s="7">
        <f t="shared" si="108"/>
        <v>268081.91189999995</v>
      </c>
      <c r="F3475" s="7">
        <f t="shared" si="109"/>
        <v>12061729</v>
      </c>
      <c r="G3475" s="7"/>
    </row>
    <row r="3476" spans="1:7" x14ac:dyDescent="0.35">
      <c r="A3476" t="str">
        <f>"2018-12-24"</f>
        <v>2018-12-24</v>
      </c>
      <c r="B3476" t="str">
        <f>"74.7129"</f>
        <v>74.7129</v>
      </c>
      <c r="C3476">
        <v>3474</v>
      </c>
      <c r="D3476" s="7">
        <v>74.712900000000005</v>
      </c>
      <c r="E3476" s="7">
        <f t="shared" si="108"/>
        <v>259552.61460000003</v>
      </c>
      <c r="F3476" s="7">
        <f t="shared" si="109"/>
        <v>12068676</v>
      </c>
      <c r="G3476" s="7"/>
    </row>
    <row r="3477" spans="1:7" x14ac:dyDescent="0.35">
      <c r="A3477" t="str">
        <f>"2018-12-26"</f>
        <v>2018-12-26</v>
      </c>
      <c r="B3477" t="str">
        <f>"74.9434"</f>
        <v>74.9434</v>
      </c>
      <c r="C3477">
        <v>3475</v>
      </c>
      <c r="D3477" s="7">
        <v>74.943399999999997</v>
      </c>
      <c r="E3477" s="7">
        <f t="shared" si="108"/>
        <v>260428.315</v>
      </c>
      <c r="F3477" s="7">
        <f t="shared" si="109"/>
        <v>12075625</v>
      </c>
      <c r="G3477" s="7"/>
    </row>
    <row r="3478" spans="1:7" x14ac:dyDescent="0.35">
      <c r="A3478" t="str">
        <f>"2018-12-27"</f>
        <v>2018-12-27</v>
      </c>
      <c r="B3478" t="str">
        <f>"74.9346"</f>
        <v>74.9346</v>
      </c>
      <c r="C3478">
        <v>3476</v>
      </c>
      <c r="D3478" s="7">
        <v>74.934600000000003</v>
      </c>
      <c r="E3478" s="7">
        <f t="shared" si="108"/>
        <v>260472.66960000002</v>
      </c>
      <c r="F3478" s="7">
        <f t="shared" si="109"/>
        <v>12082576</v>
      </c>
      <c r="G3478" s="7"/>
    </row>
    <row r="3479" spans="1:7" x14ac:dyDescent="0.35">
      <c r="A3479" t="str">
        <f>"2018-12-28"</f>
        <v>2018-12-28</v>
      </c>
      <c r="B3479" t="str">
        <f>"73.4089"</f>
        <v>73.4089</v>
      </c>
      <c r="C3479">
        <v>3477</v>
      </c>
      <c r="D3479" s="7">
        <v>73.408900000000003</v>
      </c>
      <c r="E3479" s="7">
        <f t="shared" si="108"/>
        <v>255242.74530000001</v>
      </c>
      <c r="F3479" s="7">
        <f t="shared" si="109"/>
        <v>12089529</v>
      </c>
      <c r="G3479" s="7"/>
    </row>
    <row r="3480" spans="1:7" x14ac:dyDescent="0.35">
      <c r="A3480" t="str">
        <f>"2018-12-31"</f>
        <v>2018-12-31</v>
      </c>
      <c r="B3480" t="str">
        <f>"74.2744"</f>
        <v>74.2744</v>
      </c>
      <c r="C3480">
        <v>3478</v>
      </c>
      <c r="D3480" s="7">
        <v>74.2744</v>
      </c>
      <c r="E3480" s="7">
        <f t="shared" si="108"/>
        <v>258326.36319999999</v>
      </c>
      <c r="F3480" s="7">
        <f t="shared" si="109"/>
        <v>12096484</v>
      </c>
      <c r="G3480" s="7"/>
    </row>
    <row r="3481" spans="1:7" x14ac:dyDescent="0.35">
      <c r="A3481" t="str">
        <f>"2019-01-02"</f>
        <v>2019-01-02</v>
      </c>
      <c r="B3481" t="str">
        <f>"71.9875"</f>
        <v>71.9875</v>
      </c>
      <c r="C3481">
        <v>3479</v>
      </c>
      <c r="D3481" s="7">
        <v>71.987499999999997</v>
      </c>
      <c r="E3481" s="7">
        <f t="shared" si="108"/>
        <v>250444.51249999998</v>
      </c>
      <c r="F3481" s="7">
        <f t="shared" si="109"/>
        <v>12103441</v>
      </c>
      <c r="G3481" s="7"/>
    </row>
    <row r="3482" spans="1:7" x14ac:dyDescent="0.35">
      <c r="A3482" t="str">
        <f>"2019-01-03"</f>
        <v>2019-01-03</v>
      </c>
      <c r="B3482" t="str">
        <f>"66.139"</f>
        <v>66.139</v>
      </c>
      <c r="C3482">
        <v>3480</v>
      </c>
      <c r="D3482" s="7">
        <v>66.138999999999996</v>
      </c>
      <c r="E3482" s="7">
        <f t="shared" si="108"/>
        <v>230163.71999999997</v>
      </c>
      <c r="F3482" s="7">
        <f t="shared" si="109"/>
        <v>12110400</v>
      </c>
      <c r="G3482" s="7"/>
    </row>
    <row r="3483" spans="1:7" x14ac:dyDescent="0.35">
      <c r="A3483" t="str">
        <f>"2019-01-04"</f>
        <v>2019-01-04</v>
      </c>
      <c r="B3483" t="str">
        <f>"66.8669"</f>
        <v>66.8669</v>
      </c>
      <c r="C3483">
        <v>3481</v>
      </c>
      <c r="D3483" s="7">
        <v>66.866900000000001</v>
      </c>
      <c r="E3483" s="7">
        <f t="shared" si="108"/>
        <v>232763.6789</v>
      </c>
      <c r="F3483" s="7">
        <f t="shared" si="109"/>
        <v>12117361</v>
      </c>
      <c r="G3483" s="7"/>
    </row>
    <row r="3484" spans="1:7" x14ac:dyDescent="0.35">
      <c r="A3484" t="str">
        <f>"2019-01-07"</f>
        <v>2019-01-07</v>
      </c>
      <c r="B3484" t="str">
        <f>"68.3346"</f>
        <v>68.3346</v>
      </c>
      <c r="C3484">
        <v>3482</v>
      </c>
      <c r="D3484" s="7">
        <v>68.334599999999995</v>
      </c>
      <c r="E3484" s="7">
        <f t="shared" si="108"/>
        <v>237941.07719999997</v>
      </c>
      <c r="F3484" s="7">
        <f t="shared" si="109"/>
        <v>12124324</v>
      </c>
      <c r="G3484" s="7"/>
    </row>
    <row r="3485" spans="1:7" x14ac:dyDescent="0.35">
      <c r="A3485" t="str">
        <f>"2019-01-08"</f>
        <v>2019-01-08</v>
      </c>
      <c r="B3485" t="str">
        <f>"67.9384"</f>
        <v>67.9384</v>
      </c>
      <c r="C3485">
        <v>3483</v>
      </c>
      <c r="D3485" s="7">
        <v>67.938400000000001</v>
      </c>
      <c r="E3485" s="7">
        <f t="shared" si="108"/>
        <v>236629.4472</v>
      </c>
      <c r="F3485" s="7">
        <f t="shared" si="109"/>
        <v>12131289</v>
      </c>
      <c r="G3485" s="7"/>
    </row>
    <row r="3486" spans="1:7" x14ac:dyDescent="0.35">
      <c r="A3486" t="str">
        <f>"2019-01-09"</f>
        <v>2019-01-09</v>
      </c>
      <c r="B3486" t="str">
        <f>"65.8716"</f>
        <v>65.8716</v>
      </c>
      <c r="C3486">
        <v>3484</v>
      </c>
      <c r="D3486" s="7">
        <v>65.871600000000001</v>
      </c>
      <c r="E3486" s="7">
        <f t="shared" si="108"/>
        <v>229496.6544</v>
      </c>
      <c r="F3486" s="7">
        <f t="shared" si="109"/>
        <v>12138256</v>
      </c>
      <c r="G3486" s="7"/>
    </row>
    <row r="3487" spans="1:7" x14ac:dyDescent="0.35">
      <c r="A3487" t="str">
        <f>"2019-01-10"</f>
        <v>2019-01-10</v>
      </c>
      <c r="B3487" t="str">
        <f>"66.1466"</f>
        <v>66.1466</v>
      </c>
      <c r="C3487">
        <v>3485</v>
      </c>
      <c r="D3487" s="7">
        <v>66.146600000000007</v>
      </c>
      <c r="E3487" s="7">
        <f t="shared" si="108"/>
        <v>230520.90100000001</v>
      </c>
      <c r="F3487" s="7">
        <f t="shared" si="109"/>
        <v>12145225</v>
      </c>
      <c r="G3487" s="7"/>
    </row>
    <row r="3488" spans="1:7" x14ac:dyDescent="0.35">
      <c r="A3488" t="str">
        <f>"2019-01-11"</f>
        <v>2019-01-11</v>
      </c>
      <c r="B3488" t="str">
        <f>"67.0917"</f>
        <v>67.0917</v>
      </c>
      <c r="C3488">
        <v>3486</v>
      </c>
      <c r="D3488" s="7">
        <v>67.091700000000003</v>
      </c>
      <c r="E3488" s="7">
        <f t="shared" si="108"/>
        <v>233881.66620000001</v>
      </c>
      <c r="F3488" s="7">
        <f t="shared" si="109"/>
        <v>12152196</v>
      </c>
      <c r="G3488" s="7"/>
    </row>
    <row r="3489" spans="1:7" x14ac:dyDescent="0.35">
      <c r="A3489" t="str">
        <f>"2019-01-14"</f>
        <v>2019-01-14</v>
      </c>
      <c r="B3489" t="str">
        <f>"66.1224"</f>
        <v>66.1224</v>
      </c>
      <c r="C3489">
        <v>3487</v>
      </c>
      <c r="D3489" s="7">
        <v>66.122399999999999</v>
      </c>
      <c r="E3489" s="7">
        <f t="shared" si="108"/>
        <v>230568.8088</v>
      </c>
      <c r="F3489" s="7">
        <f t="shared" si="109"/>
        <v>12159169</v>
      </c>
      <c r="G3489" s="7"/>
    </row>
    <row r="3490" spans="1:7" x14ac:dyDescent="0.35">
      <c r="A3490" t="str">
        <f>"2019-01-15"</f>
        <v>2019-01-15</v>
      </c>
      <c r="B3490" t="str">
        <f>"64.6555"</f>
        <v>64.6555</v>
      </c>
      <c r="C3490">
        <v>3488</v>
      </c>
      <c r="D3490" s="7">
        <v>64.655500000000004</v>
      </c>
      <c r="E3490" s="7">
        <f t="shared" si="108"/>
        <v>225518.38400000002</v>
      </c>
      <c r="F3490" s="7">
        <f t="shared" si="109"/>
        <v>12166144</v>
      </c>
      <c r="G3490" s="7"/>
    </row>
    <row r="3491" spans="1:7" x14ac:dyDescent="0.35">
      <c r="A3491" t="str">
        <f>"2019-01-16"</f>
        <v>2019-01-16</v>
      </c>
      <c r="B3491" t="str">
        <f>"63.7118"</f>
        <v>63.7118</v>
      </c>
      <c r="C3491">
        <v>3489</v>
      </c>
      <c r="D3491" s="7">
        <v>63.711799999999997</v>
      </c>
      <c r="E3491" s="7">
        <f t="shared" si="108"/>
        <v>222290.47019999998</v>
      </c>
      <c r="F3491" s="7">
        <f t="shared" si="109"/>
        <v>12173121</v>
      </c>
      <c r="G3491" s="7"/>
    </row>
    <row r="3492" spans="1:7" x14ac:dyDescent="0.35">
      <c r="A3492" t="str">
        <f>"2019-01-17"</f>
        <v>2019-01-17</v>
      </c>
      <c r="B3492" t="str">
        <f>"64.2087"</f>
        <v>64.2087</v>
      </c>
      <c r="C3492">
        <v>3490</v>
      </c>
      <c r="D3492" s="7">
        <v>64.208699999999993</v>
      </c>
      <c r="E3492" s="7">
        <f t="shared" si="108"/>
        <v>224088.36299999998</v>
      </c>
      <c r="F3492" s="7">
        <f t="shared" si="109"/>
        <v>12180100</v>
      </c>
      <c r="G3492" s="7"/>
    </row>
    <row r="3493" spans="1:7" x14ac:dyDescent="0.35">
      <c r="A3493" t="str">
        <f>"2019-01-18"</f>
        <v>2019-01-18</v>
      </c>
      <c r="B3493" t="str">
        <f>"65.4413"</f>
        <v>65.4413</v>
      </c>
      <c r="C3493">
        <v>3491</v>
      </c>
      <c r="D3493" s="7">
        <v>65.441299999999998</v>
      </c>
      <c r="E3493" s="7">
        <f t="shared" si="108"/>
        <v>228455.57829999999</v>
      </c>
      <c r="F3493" s="7">
        <f t="shared" si="109"/>
        <v>12187081</v>
      </c>
      <c r="G3493" s="7"/>
    </row>
    <row r="3494" spans="1:7" x14ac:dyDescent="0.35">
      <c r="A3494" t="str">
        <f>"2019-01-22"</f>
        <v>2019-01-22</v>
      </c>
      <c r="B3494" t="str">
        <f>"65.5737"</f>
        <v>65.5737</v>
      </c>
      <c r="C3494">
        <v>3492</v>
      </c>
      <c r="D3494" s="7">
        <v>65.573700000000002</v>
      </c>
      <c r="E3494" s="7">
        <f t="shared" si="108"/>
        <v>228983.36040000001</v>
      </c>
      <c r="F3494" s="7">
        <f t="shared" si="109"/>
        <v>12194064</v>
      </c>
      <c r="G3494" s="7"/>
    </row>
    <row r="3495" spans="1:7" x14ac:dyDescent="0.35">
      <c r="A3495" t="str">
        <f>"2019-01-23"</f>
        <v>2019-01-23</v>
      </c>
      <c r="B3495" t="str">
        <f>"66.5552"</f>
        <v>66.5552</v>
      </c>
      <c r="C3495">
        <v>3493</v>
      </c>
      <c r="D3495" s="7">
        <v>66.555199999999999</v>
      </c>
      <c r="E3495" s="7">
        <f t="shared" si="108"/>
        <v>232477.31359999999</v>
      </c>
      <c r="F3495" s="7">
        <f t="shared" si="109"/>
        <v>12201049</v>
      </c>
      <c r="G3495" s="7"/>
    </row>
    <row r="3496" spans="1:7" x14ac:dyDescent="0.35">
      <c r="A3496" t="str">
        <f>"2019-01-24"</f>
        <v>2019-01-24</v>
      </c>
      <c r="B3496" t="str">
        <f>"67.7329"</f>
        <v>67.7329</v>
      </c>
      <c r="C3496">
        <v>3494</v>
      </c>
      <c r="D3496" s="7">
        <v>67.732900000000001</v>
      </c>
      <c r="E3496" s="7">
        <f t="shared" si="108"/>
        <v>236658.75260000001</v>
      </c>
      <c r="F3496" s="7">
        <f t="shared" si="109"/>
        <v>12208036</v>
      </c>
      <c r="G3496" s="7"/>
    </row>
    <row r="3497" spans="1:7" x14ac:dyDescent="0.35">
      <c r="A3497" t="str">
        <f>"2019-01-25"</f>
        <v>2019-01-25</v>
      </c>
      <c r="B3497" t="str">
        <f>"66.8401"</f>
        <v>66.8401</v>
      </c>
      <c r="C3497">
        <v>3495</v>
      </c>
      <c r="D3497" s="7">
        <v>66.840100000000007</v>
      </c>
      <c r="E3497" s="7">
        <f t="shared" si="108"/>
        <v>233606.14950000003</v>
      </c>
      <c r="F3497" s="7">
        <f t="shared" si="109"/>
        <v>12215025</v>
      </c>
      <c r="G3497" s="7"/>
    </row>
    <row r="3498" spans="1:7" x14ac:dyDescent="0.35">
      <c r="A3498" t="str">
        <f>"2019-01-28"</f>
        <v>2019-01-28</v>
      </c>
      <c r="B3498" t="str">
        <f>"68.2606"</f>
        <v>68.2606</v>
      </c>
      <c r="C3498">
        <v>3496</v>
      </c>
      <c r="D3498" s="7">
        <v>68.260599999999997</v>
      </c>
      <c r="E3498" s="7">
        <f t="shared" si="108"/>
        <v>238639.0576</v>
      </c>
      <c r="F3498" s="7">
        <f t="shared" si="109"/>
        <v>12222016</v>
      </c>
      <c r="G3498" s="7"/>
    </row>
    <row r="3499" spans="1:7" x14ac:dyDescent="0.35">
      <c r="A3499" t="str">
        <f>"2019-01-29"</f>
        <v>2019-01-29</v>
      </c>
      <c r="B3499" t="str">
        <f>"67.8492"</f>
        <v>67.8492</v>
      </c>
      <c r="C3499">
        <v>3497</v>
      </c>
      <c r="D3499" s="7">
        <v>67.849199999999996</v>
      </c>
      <c r="E3499" s="7">
        <f t="shared" si="108"/>
        <v>237268.65239999999</v>
      </c>
      <c r="F3499" s="7">
        <f t="shared" si="109"/>
        <v>12229009</v>
      </c>
      <c r="G3499" s="7"/>
    </row>
    <row r="3500" spans="1:7" x14ac:dyDescent="0.35">
      <c r="A3500" t="str">
        <f>"2019-01-30"</f>
        <v>2019-01-30</v>
      </c>
      <c r="B3500" t="str">
        <f>"70.7643"</f>
        <v>70.7643</v>
      </c>
      <c r="C3500">
        <v>3498</v>
      </c>
      <c r="D3500" s="7">
        <v>70.764300000000006</v>
      </c>
      <c r="E3500" s="7">
        <f t="shared" si="108"/>
        <v>247533.52140000003</v>
      </c>
      <c r="F3500" s="7">
        <f t="shared" si="109"/>
        <v>12236004</v>
      </c>
      <c r="G3500" s="7"/>
    </row>
    <row r="3501" spans="1:7" x14ac:dyDescent="0.35">
      <c r="A3501" t="str">
        <f>"2019-01-31"</f>
        <v>2019-01-31</v>
      </c>
      <c r="B3501" t="str">
        <f>"69.6137"</f>
        <v>69.6137</v>
      </c>
      <c r="C3501">
        <v>3499</v>
      </c>
      <c r="D3501" s="7">
        <v>69.613699999999994</v>
      </c>
      <c r="E3501" s="7">
        <f t="shared" si="108"/>
        <v>243578.33629999997</v>
      </c>
      <c r="F3501" s="7">
        <f t="shared" si="109"/>
        <v>12243001</v>
      </c>
      <c r="G3501" s="7"/>
    </row>
    <row r="3502" spans="1:7" x14ac:dyDescent="0.35">
      <c r="A3502" t="str">
        <f>"2019-02-01"</f>
        <v>2019-02-01</v>
      </c>
      <c r="B3502" t="str">
        <f>"67.0691"</f>
        <v>67.0691</v>
      </c>
      <c r="C3502">
        <v>3500</v>
      </c>
      <c r="D3502" s="7">
        <v>67.069100000000006</v>
      </c>
      <c r="E3502" s="7">
        <f t="shared" si="108"/>
        <v>234741.85000000003</v>
      </c>
      <c r="F3502" s="7">
        <f t="shared" si="109"/>
        <v>12250000</v>
      </c>
      <c r="G3502" s="7"/>
    </row>
    <row r="3503" spans="1:7" x14ac:dyDescent="0.35">
      <c r="A3503" t="str">
        <f>"2019-02-04"</f>
        <v>2019-02-04</v>
      </c>
      <c r="B3503" t="str">
        <f>"67.8369"</f>
        <v>67.8369</v>
      </c>
      <c r="C3503">
        <v>3501</v>
      </c>
      <c r="D3503" s="7">
        <v>67.8369</v>
      </c>
      <c r="E3503" s="7">
        <f t="shared" si="108"/>
        <v>237496.98689999999</v>
      </c>
      <c r="F3503" s="7">
        <f t="shared" si="109"/>
        <v>12257001</v>
      </c>
      <c r="G3503" s="7"/>
    </row>
    <row r="3504" spans="1:7" x14ac:dyDescent="0.35">
      <c r="A3504" t="str">
        <f>"2019-02-05"</f>
        <v>2019-02-05</v>
      </c>
      <c r="B3504" t="str">
        <f>"65.8579"</f>
        <v>65.8579</v>
      </c>
      <c r="C3504">
        <v>3502</v>
      </c>
      <c r="D3504" s="7">
        <v>65.857900000000001</v>
      </c>
      <c r="E3504" s="7">
        <f t="shared" si="108"/>
        <v>230634.3658</v>
      </c>
      <c r="F3504" s="7">
        <f t="shared" si="109"/>
        <v>12264004</v>
      </c>
      <c r="G3504" s="7"/>
    </row>
    <row r="3505" spans="1:7" x14ac:dyDescent="0.35">
      <c r="A3505" t="str">
        <f>"2019-02-06"</f>
        <v>2019-02-06</v>
      </c>
      <c r="B3505" t="str">
        <f>"67.9159"</f>
        <v>67.9159</v>
      </c>
      <c r="C3505">
        <v>3503</v>
      </c>
      <c r="D3505" s="7">
        <v>67.915899999999993</v>
      </c>
      <c r="E3505" s="7">
        <f t="shared" si="108"/>
        <v>237909.39769999997</v>
      </c>
      <c r="F3505" s="7">
        <f t="shared" si="109"/>
        <v>12271009</v>
      </c>
      <c r="G3505" s="7"/>
    </row>
    <row r="3506" spans="1:7" x14ac:dyDescent="0.35">
      <c r="A3506" t="str">
        <f>"2019-02-07"</f>
        <v>2019-02-07</v>
      </c>
      <c r="B3506" t="str">
        <f>"66.8154"</f>
        <v>66.8154</v>
      </c>
      <c r="C3506">
        <v>3504</v>
      </c>
      <c r="D3506" s="7">
        <v>66.815399999999997</v>
      </c>
      <c r="E3506" s="7">
        <f t="shared" si="108"/>
        <v>234121.16159999999</v>
      </c>
      <c r="F3506" s="7">
        <f t="shared" si="109"/>
        <v>12278016</v>
      </c>
      <c r="G3506" s="7"/>
    </row>
    <row r="3507" spans="1:7" x14ac:dyDescent="0.35">
      <c r="A3507" t="str">
        <f>"2019-02-08"</f>
        <v>2019-02-08</v>
      </c>
      <c r="B3507" t="str">
        <f>"66.0719"</f>
        <v>66.0719</v>
      </c>
      <c r="C3507">
        <v>3505</v>
      </c>
      <c r="D3507" s="7">
        <v>66.071899999999999</v>
      </c>
      <c r="E3507" s="7">
        <f t="shared" si="108"/>
        <v>231582.00949999999</v>
      </c>
      <c r="F3507" s="7">
        <f t="shared" si="109"/>
        <v>12285025</v>
      </c>
      <c r="G3507" s="7"/>
    </row>
    <row r="3508" spans="1:7" x14ac:dyDescent="0.35">
      <c r="A3508" t="str">
        <f>"2019-02-11"</f>
        <v>2019-02-11</v>
      </c>
      <c r="B3508" t="str">
        <f>"68.9799"</f>
        <v>68.9799</v>
      </c>
      <c r="C3508">
        <v>3506</v>
      </c>
      <c r="D3508" s="7">
        <v>68.979900000000001</v>
      </c>
      <c r="E3508" s="7">
        <f t="shared" si="108"/>
        <v>241843.5294</v>
      </c>
      <c r="F3508" s="7">
        <f t="shared" si="109"/>
        <v>12292036</v>
      </c>
      <c r="G3508" s="7"/>
    </row>
    <row r="3509" spans="1:7" x14ac:dyDescent="0.35">
      <c r="A3509" t="str">
        <f>"2019-02-12"</f>
        <v>2019-02-12</v>
      </c>
      <c r="B3509" t="str">
        <f>"65.1073"</f>
        <v>65.1073</v>
      </c>
      <c r="C3509">
        <v>3507</v>
      </c>
      <c r="D3509" s="7">
        <v>65.107299999999995</v>
      </c>
      <c r="E3509" s="7">
        <f t="shared" si="108"/>
        <v>228331.30109999998</v>
      </c>
      <c r="F3509" s="7">
        <f t="shared" si="109"/>
        <v>12299049</v>
      </c>
      <c r="G3509" s="7"/>
    </row>
    <row r="3510" spans="1:7" x14ac:dyDescent="0.35">
      <c r="A3510" t="str">
        <f>"2019-02-13"</f>
        <v>2019-02-13</v>
      </c>
      <c r="B3510" t="str">
        <f>"62.3081"</f>
        <v>62.3081</v>
      </c>
      <c r="C3510">
        <v>3508</v>
      </c>
      <c r="D3510" s="7">
        <v>62.308100000000003</v>
      </c>
      <c r="E3510" s="7">
        <f t="shared" si="108"/>
        <v>218576.81480000002</v>
      </c>
      <c r="F3510" s="7">
        <f t="shared" si="109"/>
        <v>12306064</v>
      </c>
      <c r="G3510" s="7"/>
    </row>
    <row r="3511" spans="1:7" x14ac:dyDescent="0.35">
      <c r="A3511" t="str">
        <f>"2019-02-14"</f>
        <v>2019-02-14</v>
      </c>
      <c r="B3511" t="str">
        <f>"63.6391"</f>
        <v>63.6391</v>
      </c>
      <c r="C3511">
        <v>3509</v>
      </c>
      <c r="D3511" s="7">
        <v>63.639099999999999</v>
      </c>
      <c r="E3511" s="7">
        <f t="shared" si="108"/>
        <v>223309.60190000001</v>
      </c>
      <c r="F3511" s="7">
        <f t="shared" si="109"/>
        <v>12313081</v>
      </c>
      <c r="G3511" s="7"/>
    </row>
    <row r="3512" spans="1:7" x14ac:dyDescent="0.35">
      <c r="A3512" t="str">
        <f>"2019-02-15"</f>
        <v>2019-02-15</v>
      </c>
      <c r="B3512" t="str">
        <f>"61.3647"</f>
        <v>61.3647</v>
      </c>
      <c r="C3512">
        <v>3510</v>
      </c>
      <c r="D3512" s="7">
        <v>61.364699999999999</v>
      </c>
      <c r="E3512" s="7">
        <f t="shared" si="108"/>
        <v>215390.09700000001</v>
      </c>
      <c r="F3512" s="7">
        <f t="shared" si="109"/>
        <v>12320100</v>
      </c>
      <c r="G3512" s="7"/>
    </row>
    <row r="3513" spans="1:7" x14ac:dyDescent="0.35">
      <c r="A3513" t="str">
        <f>"2019-02-19"</f>
        <v>2019-02-19</v>
      </c>
      <c r="B3513" t="str">
        <f>"58.3859"</f>
        <v>58.3859</v>
      </c>
      <c r="C3513">
        <v>3511</v>
      </c>
      <c r="D3513" s="7">
        <v>58.385899999999999</v>
      </c>
      <c r="E3513" s="7">
        <f t="shared" si="108"/>
        <v>204992.89489999998</v>
      </c>
      <c r="F3513" s="7">
        <f t="shared" si="109"/>
        <v>12327121</v>
      </c>
      <c r="G3513" s="7"/>
    </row>
    <row r="3514" spans="1:7" x14ac:dyDescent="0.35">
      <c r="A3514" t="str">
        <f>"2019-02-20"</f>
        <v>2019-02-20</v>
      </c>
      <c r="B3514" t="str">
        <f>"58.8668"</f>
        <v>58.8668</v>
      </c>
      <c r="C3514">
        <v>3512</v>
      </c>
      <c r="D3514" s="7">
        <v>58.866799999999998</v>
      </c>
      <c r="E3514" s="7">
        <f t="shared" si="108"/>
        <v>206740.2016</v>
      </c>
      <c r="F3514" s="7">
        <f t="shared" si="109"/>
        <v>12334144</v>
      </c>
      <c r="G3514" s="7"/>
    </row>
    <row r="3515" spans="1:7" x14ac:dyDescent="0.35">
      <c r="A3515" t="str">
        <f>"2019-02-21"</f>
        <v>2019-02-21</v>
      </c>
      <c r="B3515" t="str">
        <f>"60.2198"</f>
        <v>60.2198</v>
      </c>
      <c r="C3515">
        <v>3513</v>
      </c>
      <c r="D3515" s="7">
        <v>60.219799999999999</v>
      </c>
      <c r="E3515" s="7">
        <f t="shared" si="108"/>
        <v>211552.1574</v>
      </c>
      <c r="F3515" s="7">
        <f t="shared" si="109"/>
        <v>12341169</v>
      </c>
      <c r="G3515" s="7"/>
    </row>
    <row r="3516" spans="1:7" x14ac:dyDescent="0.35">
      <c r="A3516" t="str">
        <f>"2019-02-22"</f>
        <v>2019-02-22</v>
      </c>
      <c r="B3516" t="str">
        <f>"62.2092"</f>
        <v>62.2092</v>
      </c>
      <c r="C3516">
        <v>3514</v>
      </c>
      <c r="D3516" s="7">
        <v>62.209200000000003</v>
      </c>
      <c r="E3516" s="7">
        <f t="shared" si="108"/>
        <v>218603.12880000001</v>
      </c>
      <c r="F3516" s="7">
        <f t="shared" si="109"/>
        <v>12348196</v>
      </c>
      <c r="G3516" s="7"/>
    </row>
    <row r="3517" spans="1:7" x14ac:dyDescent="0.35">
      <c r="A3517" t="str">
        <f>"2019-02-25"</f>
        <v>2019-02-25</v>
      </c>
      <c r="B3517" t="str">
        <f>"61.7837"</f>
        <v>61.7837</v>
      </c>
      <c r="C3517">
        <v>3515</v>
      </c>
      <c r="D3517" s="7">
        <v>61.783700000000003</v>
      </c>
      <c r="E3517" s="7">
        <f t="shared" si="108"/>
        <v>217169.70550000001</v>
      </c>
      <c r="F3517" s="7">
        <f t="shared" si="109"/>
        <v>12355225</v>
      </c>
      <c r="G3517" s="7"/>
    </row>
    <row r="3518" spans="1:7" x14ac:dyDescent="0.35">
      <c r="A3518" t="str">
        <f>"2019-02-26"</f>
        <v>2019-02-26</v>
      </c>
      <c r="B3518" t="str">
        <f>"63.6081"</f>
        <v>63.6081</v>
      </c>
      <c r="C3518">
        <v>3516</v>
      </c>
      <c r="D3518" s="7">
        <v>63.6081</v>
      </c>
      <c r="E3518" s="7">
        <f t="shared" si="108"/>
        <v>223646.0796</v>
      </c>
      <c r="F3518" s="7">
        <f t="shared" si="109"/>
        <v>12362256</v>
      </c>
      <c r="G3518" s="7"/>
    </row>
    <row r="3519" spans="1:7" x14ac:dyDescent="0.35">
      <c r="A3519" t="str">
        <f>"2019-02-27"</f>
        <v>2019-02-27</v>
      </c>
      <c r="B3519" t="str">
        <f>"62.2175"</f>
        <v>62.2175</v>
      </c>
      <c r="C3519">
        <v>3517</v>
      </c>
      <c r="D3519" s="7">
        <v>62.217500000000001</v>
      </c>
      <c r="E3519" s="7">
        <f t="shared" si="108"/>
        <v>218818.94750000001</v>
      </c>
      <c r="F3519" s="7">
        <f t="shared" si="109"/>
        <v>12369289</v>
      </c>
      <c r="G3519" s="7"/>
    </row>
    <row r="3520" spans="1:7" x14ac:dyDescent="0.35">
      <c r="A3520" t="str">
        <f>"2019-02-28"</f>
        <v>2019-02-28</v>
      </c>
      <c r="B3520" t="str">
        <f>"63.2321"</f>
        <v>63.2321</v>
      </c>
      <c r="C3520">
        <v>3518</v>
      </c>
      <c r="D3520" s="7">
        <v>63.232100000000003</v>
      </c>
      <c r="E3520" s="7">
        <f t="shared" si="108"/>
        <v>222450.52780000001</v>
      </c>
      <c r="F3520" s="7">
        <f t="shared" si="109"/>
        <v>12376324</v>
      </c>
      <c r="G3520" s="7"/>
    </row>
    <row r="3521" spans="1:7" x14ac:dyDescent="0.35">
      <c r="A3521" t="str">
        <f>"2019-03-01"</f>
        <v>2019-03-01</v>
      </c>
      <c r="B3521" t="str">
        <f>"62.88"</f>
        <v>62.88</v>
      </c>
      <c r="C3521">
        <v>3519</v>
      </c>
      <c r="D3521" s="7">
        <v>62.88</v>
      </c>
      <c r="E3521" s="7">
        <f t="shared" si="108"/>
        <v>221274.72</v>
      </c>
      <c r="F3521" s="7">
        <f t="shared" si="109"/>
        <v>12383361</v>
      </c>
      <c r="G3521" s="7"/>
    </row>
    <row r="3522" spans="1:7" x14ac:dyDescent="0.35">
      <c r="A3522" t="str">
        <f>"2019-03-04"</f>
        <v>2019-03-04</v>
      </c>
      <c r="B3522" t="str">
        <f>"62.6448"</f>
        <v>62.6448</v>
      </c>
      <c r="C3522">
        <v>3520</v>
      </c>
      <c r="D3522" s="7">
        <v>62.644799999999996</v>
      </c>
      <c r="E3522" s="7">
        <f t="shared" si="108"/>
        <v>220509.696</v>
      </c>
      <c r="F3522" s="7">
        <f t="shared" si="109"/>
        <v>12390400</v>
      </c>
      <c r="G3522" s="7"/>
    </row>
    <row r="3523" spans="1:7" x14ac:dyDescent="0.35">
      <c r="A3523" t="str">
        <f>"2019-03-05"</f>
        <v>2019-03-05</v>
      </c>
      <c r="B3523" t="str">
        <f>"64.3346"</f>
        <v>64.3346</v>
      </c>
      <c r="C3523">
        <v>3521</v>
      </c>
      <c r="D3523" s="7">
        <v>64.334599999999995</v>
      </c>
      <c r="E3523" s="7">
        <f t="shared" si="108"/>
        <v>226522.12659999999</v>
      </c>
      <c r="F3523" s="7">
        <f t="shared" si="109"/>
        <v>12397441</v>
      </c>
      <c r="G3523" s="7"/>
    </row>
    <row r="3524" spans="1:7" x14ac:dyDescent="0.35">
      <c r="A3524" t="str">
        <f>"2019-03-06"</f>
        <v>2019-03-06</v>
      </c>
      <c r="B3524" t="str">
        <f>"63.5889"</f>
        <v>63.5889</v>
      </c>
      <c r="C3524">
        <v>3522</v>
      </c>
      <c r="D3524" s="7">
        <v>63.588900000000002</v>
      </c>
      <c r="E3524" s="7">
        <f t="shared" ref="E3524:E3587" si="110">C3524*D3524</f>
        <v>223960.10580000002</v>
      </c>
      <c r="F3524" s="7">
        <f t="shared" ref="F3524:F3587" si="111">C3524*C3524</f>
        <v>12404484</v>
      </c>
      <c r="G3524" s="7"/>
    </row>
    <row r="3525" spans="1:7" x14ac:dyDescent="0.35">
      <c r="A3525" t="str">
        <f>"2019-03-07"</f>
        <v>2019-03-07</v>
      </c>
      <c r="B3525" t="str">
        <f>"61.1569"</f>
        <v>61.1569</v>
      </c>
      <c r="C3525">
        <v>3523</v>
      </c>
      <c r="D3525" s="7">
        <v>61.1569</v>
      </c>
      <c r="E3525" s="7">
        <f t="shared" si="110"/>
        <v>215455.75870000001</v>
      </c>
      <c r="F3525" s="7">
        <f t="shared" si="111"/>
        <v>12411529</v>
      </c>
      <c r="G3525" s="7"/>
    </row>
    <row r="3526" spans="1:7" x14ac:dyDescent="0.35">
      <c r="A3526" t="str">
        <f>"2019-03-08"</f>
        <v>2019-03-08</v>
      </c>
      <c r="B3526" t="str">
        <f>"57.8467"</f>
        <v>57.8467</v>
      </c>
      <c r="C3526">
        <v>3524</v>
      </c>
      <c r="D3526" s="7">
        <v>57.846699999999998</v>
      </c>
      <c r="E3526" s="7">
        <f t="shared" si="110"/>
        <v>203851.7708</v>
      </c>
      <c r="F3526" s="7">
        <f t="shared" si="111"/>
        <v>12418576</v>
      </c>
      <c r="G3526" s="7"/>
    </row>
    <row r="3527" spans="1:7" x14ac:dyDescent="0.35">
      <c r="A3527" t="str">
        <f>"2019-03-11"</f>
        <v>2019-03-11</v>
      </c>
      <c r="B3527" t="str">
        <f>"57.9325"</f>
        <v>57.9325</v>
      </c>
      <c r="C3527">
        <v>3525</v>
      </c>
      <c r="D3527" s="7">
        <v>57.932499999999997</v>
      </c>
      <c r="E3527" s="7">
        <f t="shared" si="110"/>
        <v>204212.0625</v>
      </c>
      <c r="F3527" s="7">
        <f t="shared" si="111"/>
        <v>12425625</v>
      </c>
      <c r="G3527" s="7"/>
    </row>
    <row r="3528" spans="1:7" x14ac:dyDescent="0.35">
      <c r="A3528" t="str">
        <f>"2019-03-12"</f>
        <v>2019-03-12</v>
      </c>
      <c r="B3528" t="str">
        <f>"57.4734"</f>
        <v>57.4734</v>
      </c>
      <c r="C3528">
        <v>3526</v>
      </c>
      <c r="D3528" s="7">
        <v>57.473399999999998</v>
      </c>
      <c r="E3528" s="7">
        <f t="shared" si="110"/>
        <v>202651.2084</v>
      </c>
      <c r="F3528" s="7">
        <f t="shared" si="111"/>
        <v>12432676</v>
      </c>
      <c r="G3528" s="7"/>
    </row>
    <row r="3529" spans="1:7" x14ac:dyDescent="0.35">
      <c r="A3529" t="str">
        <f>"2019-03-13"</f>
        <v>2019-03-13</v>
      </c>
      <c r="B3529" t="str">
        <f>"55.9376"</f>
        <v>55.9376</v>
      </c>
      <c r="C3529">
        <v>3527</v>
      </c>
      <c r="D3529" s="7">
        <v>55.937600000000003</v>
      </c>
      <c r="E3529" s="7">
        <f t="shared" si="110"/>
        <v>197291.91520000002</v>
      </c>
      <c r="F3529" s="7">
        <f t="shared" si="111"/>
        <v>12439729</v>
      </c>
      <c r="G3529" s="7"/>
    </row>
    <row r="3530" spans="1:7" x14ac:dyDescent="0.35">
      <c r="A3530" t="str">
        <f>"2019-03-14"</f>
        <v>2019-03-14</v>
      </c>
      <c r="B3530" t="str">
        <f>"57.3859"</f>
        <v>57.3859</v>
      </c>
      <c r="C3530">
        <v>3528</v>
      </c>
      <c r="D3530" s="7">
        <v>57.385899999999999</v>
      </c>
      <c r="E3530" s="7">
        <f t="shared" si="110"/>
        <v>202457.4552</v>
      </c>
      <c r="F3530" s="7">
        <f t="shared" si="111"/>
        <v>12446784</v>
      </c>
      <c r="G3530" s="7"/>
    </row>
    <row r="3531" spans="1:7" x14ac:dyDescent="0.35">
      <c r="A3531" t="str">
        <f>"2019-03-15"</f>
        <v>2019-03-15</v>
      </c>
      <c r="B3531" t="str">
        <f>"56.7366"</f>
        <v>56.7366</v>
      </c>
      <c r="C3531">
        <v>3529</v>
      </c>
      <c r="D3531" s="7">
        <v>56.736600000000003</v>
      </c>
      <c r="E3531" s="7">
        <f t="shared" si="110"/>
        <v>200223.4614</v>
      </c>
      <c r="F3531" s="7">
        <f t="shared" si="111"/>
        <v>12453841</v>
      </c>
      <c r="G3531" s="7"/>
    </row>
    <row r="3532" spans="1:7" x14ac:dyDescent="0.35">
      <c r="A3532" t="str">
        <f>"2019-03-18"</f>
        <v>2019-03-18</v>
      </c>
      <c r="B3532" t="str">
        <f>"60.9502"</f>
        <v>60.9502</v>
      </c>
      <c r="C3532">
        <v>3530</v>
      </c>
      <c r="D3532" s="7">
        <v>60.950200000000002</v>
      </c>
      <c r="E3532" s="7">
        <f t="shared" si="110"/>
        <v>215154.20600000001</v>
      </c>
      <c r="F3532" s="7">
        <f t="shared" si="111"/>
        <v>12460900</v>
      </c>
      <c r="G3532" s="7"/>
    </row>
    <row r="3533" spans="1:7" x14ac:dyDescent="0.35">
      <c r="A3533" t="str">
        <f>"2019-03-19"</f>
        <v>2019-03-19</v>
      </c>
      <c r="B3533" t="str">
        <f>"62.0686"</f>
        <v>62.0686</v>
      </c>
      <c r="C3533">
        <v>3531</v>
      </c>
      <c r="D3533" s="7">
        <v>62.068600000000004</v>
      </c>
      <c r="E3533" s="7">
        <f t="shared" si="110"/>
        <v>219164.22660000002</v>
      </c>
      <c r="F3533" s="7">
        <f t="shared" si="111"/>
        <v>12467961</v>
      </c>
      <c r="G3533" s="7"/>
    </row>
    <row r="3534" spans="1:7" x14ac:dyDescent="0.35">
      <c r="A3534" t="str">
        <f>"2019-03-20"</f>
        <v>2019-03-20</v>
      </c>
      <c r="B3534" t="str">
        <f>"62.1176"</f>
        <v>62.1176</v>
      </c>
      <c r="C3534">
        <v>3532</v>
      </c>
      <c r="D3534" s="7">
        <v>62.117600000000003</v>
      </c>
      <c r="E3534" s="7">
        <f t="shared" si="110"/>
        <v>219399.36320000002</v>
      </c>
      <c r="F3534" s="7">
        <f t="shared" si="111"/>
        <v>12475024</v>
      </c>
      <c r="G3534" s="7"/>
    </row>
    <row r="3535" spans="1:7" x14ac:dyDescent="0.35">
      <c r="A3535" t="str">
        <f>"2019-03-21"</f>
        <v>2019-03-21</v>
      </c>
      <c r="B3535" t="str">
        <f>"61.6421"</f>
        <v>61.6421</v>
      </c>
      <c r="C3535">
        <v>3533</v>
      </c>
      <c r="D3535" s="7">
        <v>61.642099999999999</v>
      </c>
      <c r="E3535" s="7">
        <f t="shared" si="110"/>
        <v>217781.5393</v>
      </c>
      <c r="F3535" s="7">
        <f t="shared" si="111"/>
        <v>12482089</v>
      </c>
      <c r="G3535" s="7"/>
    </row>
    <row r="3536" spans="1:7" x14ac:dyDescent="0.35">
      <c r="A3536" t="str">
        <f>"2019-03-22"</f>
        <v>2019-03-22</v>
      </c>
      <c r="B3536" t="str">
        <f>"58.8918"</f>
        <v>58.8918</v>
      </c>
      <c r="C3536">
        <v>3534</v>
      </c>
      <c r="D3536" s="7">
        <v>58.891800000000003</v>
      </c>
      <c r="E3536" s="7">
        <f t="shared" si="110"/>
        <v>208123.62120000002</v>
      </c>
      <c r="F3536" s="7">
        <f t="shared" si="111"/>
        <v>12489156</v>
      </c>
      <c r="G3536" s="7"/>
    </row>
    <row r="3537" spans="1:7" x14ac:dyDescent="0.35">
      <c r="A3537" t="str">
        <f>"2019-03-25"</f>
        <v>2019-03-25</v>
      </c>
      <c r="B3537" t="str">
        <f>"57.986"</f>
        <v>57.986</v>
      </c>
      <c r="C3537">
        <v>3535</v>
      </c>
      <c r="D3537" s="7">
        <v>57.985999999999997</v>
      </c>
      <c r="E3537" s="7">
        <f t="shared" si="110"/>
        <v>204980.50999999998</v>
      </c>
      <c r="F3537" s="7">
        <f t="shared" si="111"/>
        <v>12496225</v>
      </c>
      <c r="G3537" s="7"/>
    </row>
    <row r="3538" spans="1:7" x14ac:dyDescent="0.35">
      <c r="A3538" t="str">
        <f>"2019-03-26"</f>
        <v>2019-03-26</v>
      </c>
      <c r="B3538" t="str">
        <f>"57.507"</f>
        <v>57.507</v>
      </c>
      <c r="C3538">
        <v>3536</v>
      </c>
      <c r="D3538" s="7">
        <v>57.506999999999998</v>
      </c>
      <c r="E3538" s="7">
        <f t="shared" si="110"/>
        <v>203344.75199999998</v>
      </c>
      <c r="F3538" s="7">
        <f t="shared" si="111"/>
        <v>12503296</v>
      </c>
      <c r="G3538" s="7"/>
    </row>
    <row r="3539" spans="1:7" x14ac:dyDescent="0.35">
      <c r="A3539" t="str">
        <f>"2019-03-27"</f>
        <v>2019-03-27</v>
      </c>
      <c r="B3539" t="str">
        <f>"56.3817"</f>
        <v>56.3817</v>
      </c>
      <c r="C3539">
        <v>3537</v>
      </c>
      <c r="D3539" s="7">
        <v>56.381700000000002</v>
      </c>
      <c r="E3539" s="7">
        <f t="shared" si="110"/>
        <v>199422.0729</v>
      </c>
      <c r="F3539" s="7">
        <f t="shared" si="111"/>
        <v>12510369</v>
      </c>
      <c r="G3539" s="7"/>
    </row>
    <row r="3540" spans="1:7" x14ac:dyDescent="0.35">
      <c r="A3540" t="str">
        <f>"2019-03-28"</f>
        <v>2019-03-28</v>
      </c>
      <c r="B3540" t="str">
        <f>"56.2789"</f>
        <v>56.2789</v>
      </c>
      <c r="C3540">
        <v>3538</v>
      </c>
      <c r="D3540" s="7">
        <v>56.2789</v>
      </c>
      <c r="E3540" s="7">
        <f t="shared" si="110"/>
        <v>199114.7482</v>
      </c>
      <c r="F3540" s="7">
        <f t="shared" si="111"/>
        <v>12517444</v>
      </c>
      <c r="G3540" s="7"/>
    </row>
    <row r="3541" spans="1:7" x14ac:dyDescent="0.35">
      <c r="A3541" t="str">
        <f>"2019-03-29"</f>
        <v>2019-03-29</v>
      </c>
      <c r="B3541" t="str">
        <f>"55.7377"</f>
        <v>55.7377</v>
      </c>
      <c r="C3541">
        <v>3539</v>
      </c>
      <c r="D3541" s="7">
        <v>55.737699999999997</v>
      </c>
      <c r="E3541" s="7">
        <f t="shared" si="110"/>
        <v>197255.72029999999</v>
      </c>
      <c r="F3541" s="7">
        <f t="shared" si="111"/>
        <v>12524521</v>
      </c>
      <c r="G3541" s="7"/>
    </row>
    <row r="3542" spans="1:7" x14ac:dyDescent="0.35">
      <c r="A3542" t="str">
        <f>"2019-04-01"</f>
        <v>2019-04-01</v>
      </c>
      <c r="B3542" t="str">
        <f>"55.6502"</f>
        <v>55.6502</v>
      </c>
      <c r="C3542">
        <v>3540</v>
      </c>
      <c r="D3542" s="7">
        <v>55.650199999999998</v>
      </c>
      <c r="E3542" s="7">
        <f t="shared" si="110"/>
        <v>197001.70799999998</v>
      </c>
      <c r="F3542" s="7">
        <f t="shared" si="111"/>
        <v>12531600</v>
      </c>
      <c r="G3542" s="7"/>
    </row>
    <row r="3543" spans="1:7" x14ac:dyDescent="0.35">
      <c r="A3543" t="str">
        <f>"2019-04-02"</f>
        <v>2019-04-02</v>
      </c>
      <c r="B3543" t="str">
        <f>"57.1808"</f>
        <v>57.1808</v>
      </c>
      <c r="C3543">
        <v>3541</v>
      </c>
      <c r="D3543" s="7">
        <v>57.180799999999998</v>
      </c>
      <c r="E3543" s="7">
        <f t="shared" si="110"/>
        <v>202477.21279999998</v>
      </c>
      <c r="F3543" s="7">
        <f t="shared" si="111"/>
        <v>12538681</v>
      </c>
      <c r="G3543" s="7"/>
    </row>
    <row r="3544" spans="1:7" x14ac:dyDescent="0.35">
      <c r="A3544" t="str">
        <f>"2019-04-03"</f>
        <v>2019-04-03</v>
      </c>
      <c r="B3544" t="str">
        <f>"56.9378"</f>
        <v>56.9378</v>
      </c>
      <c r="C3544">
        <v>3542</v>
      </c>
      <c r="D3544" s="7">
        <v>56.937800000000003</v>
      </c>
      <c r="E3544" s="7">
        <f t="shared" si="110"/>
        <v>201673.6876</v>
      </c>
      <c r="F3544" s="7">
        <f t="shared" si="111"/>
        <v>12545764</v>
      </c>
      <c r="G3544" s="7"/>
    </row>
    <row r="3545" spans="1:7" x14ac:dyDescent="0.35">
      <c r="A3545" t="str">
        <f>"2019-04-04"</f>
        <v>2019-04-04</v>
      </c>
      <c r="B3545" t="str">
        <f>"60.9396"</f>
        <v>60.9396</v>
      </c>
      <c r="C3545">
        <v>3543</v>
      </c>
      <c r="D3545" s="7">
        <v>60.939599999999999</v>
      </c>
      <c r="E3545" s="7">
        <f t="shared" si="110"/>
        <v>215909.00279999999</v>
      </c>
      <c r="F3545" s="7">
        <f t="shared" si="111"/>
        <v>12552849</v>
      </c>
      <c r="G3545" s="7"/>
    </row>
    <row r="3546" spans="1:7" x14ac:dyDescent="0.35">
      <c r="A3546" t="str">
        <f>"2019-04-05"</f>
        <v>2019-04-05</v>
      </c>
      <c r="B3546" t="str">
        <f>"62.1794"</f>
        <v>62.1794</v>
      </c>
      <c r="C3546">
        <v>3544</v>
      </c>
      <c r="D3546" s="7">
        <v>62.179400000000001</v>
      </c>
      <c r="E3546" s="7">
        <f t="shared" si="110"/>
        <v>220363.7936</v>
      </c>
      <c r="F3546" s="7">
        <f t="shared" si="111"/>
        <v>12559936</v>
      </c>
      <c r="G3546" s="7"/>
    </row>
    <row r="3547" spans="1:7" x14ac:dyDescent="0.35">
      <c r="A3547" t="str">
        <f>"2019-04-08"</f>
        <v>2019-04-08</v>
      </c>
      <c r="B3547" t="str">
        <f>"60.3937"</f>
        <v>60.3937</v>
      </c>
      <c r="C3547">
        <v>3545</v>
      </c>
      <c r="D3547" s="7">
        <v>60.393700000000003</v>
      </c>
      <c r="E3547" s="7">
        <f t="shared" si="110"/>
        <v>214095.66650000002</v>
      </c>
      <c r="F3547" s="7">
        <f t="shared" si="111"/>
        <v>12567025</v>
      </c>
      <c r="G3547" s="7"/>
    </row>
    <row r="3548" spans="1:7" x14ac:dyDescent="0.35">
      <c r="A3548" t="str">
        <f>"2019-04-09"</f>
        <v>2019-04-09</v>
      </c>
      <c r="B3548" t="str">
        <f>"60.1213"</f>
        <v>60.1213</v>
      </c>
      <c r="C3548">
        <v>3546</v>
      </c>
      <c r="D3548" s="7">
        <v>60.121299999999998</v>
      </c>
      <c r="E3548" s="7">
        <f t="shared" si="110"/>
        <v>213190.1298</v>
      </c>
      <c r="F3548" s="7">
        <f t="shared" si="111"/>
        <v>12574116</v>
      </c>
      <c r="G3548" s="7"/>
    </row>
    <row r="3549" spans="1:7" x14ac:dyDescent="0.35">
      <c r="A3549" t="str">
        <f>"2019-04-10"</f>
        <v>2019-04-10</v>
      </c>
      <c r="B3549" t="str">
        <f>"59.4619"</f>
        <v>59.4619</v>
      </c>
      <c r="C3549">
        <v>3547</v>
      </c>
      <c r="D3549" s="7">
        <v>59.4619</v>
      </c>
      <c r="E3549" s="7">
        <f t="shared" si="110"/>
        <v>210911.35930000001</v>
      </c>
      <c r="F3549" s="7">
        <f t="shared" si="111"/>
        <v>12581209</v>
      </c>
      <c r="G3549" s="7"/>
    </row>
    <row r="3550" spans="1:7" x14ac:dyDescent="0.35">
      <c r="A3550" t="str">
        <f>"2019-04-11"</f>
        <v>2019-04-11</v>
      </c>
      <c r="B3550" t="str">
        <f>"60.145"</f>
        <v>60.145</v>
      </c>
      <c r="C3550">
        <v>3548</v>
      </c>
      <c r="D3550" s="7">
        <v>60.145000000000003</v>
      </c>
      <c r="E3550" s="7">
        <f t="shared" si="110"/>
        <v>213394.46000000002</v>
      </c>
      <c r="F3550" s="7">
        <f t="shared" si="111"/>
        <v>12588304</v>
      </c>
      <c r="G3550" s="7"/>
    </row>
    <row r="3551" spans="1:7" x14ac:dyDescent="0.35">
      <c r="A3551" t="str">
        <f>"2019-04-12"</f>
        <v>2019-04-12</v>
      </c>
      <c r="B3551" t="str">
        <f>"58.4833"</f>
        <v>58.4833</v>
      </c>
      <c r="C3551">
        <v>3549</v>
      </c>
      <c r="D3551" s="7">
        <v>58.4833</v>
      </c>
      <c r="E3551" s="7">
        <f t="shared" si="110"/>
        <v>207557.2317</v>
      </c>
      <c r="F3551" s="7">
        <f t="shared" si="111"/>
        <v>12595401</v>
      </c>
      <c r="G3551" s="7"/>
    </row>
    <row r="3552" spans="1:7" x14ac:dyDescent="0.35">
      <c r="A3552" t="str">
        <f>"2019-04-15"</f>
        <v>2019-04-15</v>
      </c>
      <c r="B3552" t="str">
        <f>"58.2539"</f>
        <v>58.2539</v>
      </c>
      <c r="C3552">
        <v>3550</v>
      </c>
      <c r="D3552" s="7">
        <v>58.253900000000002</v>
      </c>
      <c r="E3552" s="7">
        <f t="shared" si="110"/>
        <v>206801.345</v>
      </c>
      <c r="F3552" s="7">
        <f t="shared" si="111"/>
        <v>12602500</v>
      </c>
      <c r="G3552" s="7"/>
    </row>
    <row r="3553" spans="1:7" x14ac:dyDescent="0.35">
      <c r="A3553" t="str">
        <f>"2019-04-16"</f>
        <v>2019-04-16</v>
      </c>
      <c r="B3553" t="str">
        <f>"60.5106"</f>
        <v>60.5106</v>
      </c>
      <c r="C3553">
        <v>3551</v>
      </c>
      <c r="D3553" s="7">
        <v>60.510599999999997</v>
      </c>
      <c r="E3553" s="7">
        <f t="shared" si="110"/>
        <v>214873.14059999998</v>
      </c>
      <c r="F3553" s="7">
        <f t="shared" si="111"/>
        <v>12609601</v>
      </c>
      <c r="G3553" s="7"/>
    </row>
    <row r="3554" spans="1:7" x14ac:dyDescent="0.35">
      <c r="A3554" t="str">
        <f>"2019-04-17"</f>
        <v>2019-04-17</v>
      </c>
      <c r="B3554" t="str">
        <f>"60.7423"</f>
        <v>60.7423</v>
      </c>
      <c r="C3554">
        <v>3552</v>
      </c>
      <c r="D3554" s="7">
        <v>60.7423</v>
      </c>
      <c r="E3554" s="7">
        <f t="shared" si="110"/>
        <v>215756.6496</v>
      </c>
      <c r="F3554" s="7">
        <f t="shared" si="111"/>
        <v>12616704</v>
      </c>
      <c r="G3554" s="7"/>
    </row>
    <row r="3555" spans="1:7" x14ac:dyDescent="0.35">
      <c r="A3555" t="str">
        <f>"2019-04-18"</f>
        <v>2019-04-18</v>
      </c>
      <c r="B3555" t="str">
        <f>"60.8514"</f>
        <v>60.8514</v>
      </c>
      <c r="C3555">
        <v>3553</v>
      </c>
      <c r="D3555" s="7">
        <v>60.851399999999998</v>
      </c>
      <c r="E3555" s="7">
        <f t="shared" si="110"/>
        <v>216205.02419999999</v>
      </c>
      <c r="F3555" s="7">
        <f t="shared" si="111"/>
        <v>12623809</v>
      </c>
      <c r="G3555" s="7"/>
    </row>
    <row r="3556" spans="1:7" x14ac:dyDescent="0.35">
      <c r="A3556" t="str">
        <f>"2019-04-22"</f>
        <v>2019-04-22</v>
      </c>
      <c r="B3556" t="str">
        <f>"58.4869"</f>
        <v>58.4869</v>
      </c>
      <c r="C3556">
        <v>3554</v>
      </c>
      <c r="D3556" s="7">
        <v>58.486899999999999</v>
      </c>
      <c r="E3556" s="7">
        <f t="shared" si="110"/>
        <v>207862.44260000001</v>
      </c>
      <c r="F3556" s="7">
        <f t="shared" si="111"/>
        <v>12630916</v>
      </c>
      <c r="G3556" s="7"/>
    </row>
    <row r="3557" spans="1:7" x14ac:dyDescent="0.35">
      <c r="A3557" t="str">
        <f>"2019-04-23"</f>
        <v>2019-04-23</v>
      </c>
      <c r="B3557" t="str">
        <f>"58.6623"</f>
        <v>58.6623</v>
      </c>
      <c r="C3557">
        <v>3555</v>
      </c>
      <c r="D3557" s="7">
        <v>58.662300000000002</v>
      </c>
      <c r="E3557" s="7">
        <f t="shared" si="110"/>
        <v>208544.47650000002</v>
      </c>
      <c r="F3557" s="7">
        <f t="shared" si="111"/>
        <v>12638025</v>
      </c>
      <c r="G3557" s="7"/>
    </row>
    <row r="3558" spans="1:7" x14ac:dyDescent="0.35">
      <c r="A3558" t="str">
        <f>"2019-04-24"</f>
        <v>2019-04-24</v>
      </c>
      <c r="B3558" t="str">
        <f>"58.7271"</f>
        <v>58.7271</v>
      </c>
      <c r="C3558">
        <v>3556</v>
      </c>
      <c r="D3558" s="7">
        <v>58.7271</v>
      </c>
      <c r="E3558" s="7">
        <f t="shared" si="110"/>
        <v>208833.56760000001</v>
      </c>
      <c r="F3558" s="7">
        <f t="shared" si="111"/>
        <v>12645136</v>
      </c>
      <c r="G3558" s="7"/>
    </row>
    <row r="3559" spans="1:7" x14ac:dyDescent="0.35">
      <c r="A3559" t="str">
        <f>"2019-04-25"</f>
        <v>2019-04-25</v>
      </c>
      <c r="B3559" t="str">
        <f>"56.9154"</f>
        <v>56.9154</v>
      </c>
      <c r="C3559">
        <v>3557</v>
      </c>
      <c r="D3559" s="7">
        <v>56.915399999999998</v>
      </c>
      <c r="E3559" s="7">
        <f t="shared" si="110"/>
        <v>202448.0778</v>
      </c>
      <c r="F3559" s="7">
        <f t="shared" si="111"/>
        <v>12652249</v>
      </c>
      <c r="G3559" s="7"/>
    </row>
    <row r="3560" spans="1:7" x14ac:dyDescent="0.35">
      <c r="A3560" t="str">
        <f>"2019-04-26"</f>
        <v>2019-04-26</v>
      </c>
      <c r="B3560" t="str">
        <f>"56.6325"</f>
        <v>56.6325</v>
      </c>
      <c r="C3560">
        <v>3558</v>
      </c>
      <c r="D3560" s="7">
        <v>56.6325</v>
      </c>
      <c r="E3560" s="7">
        <f t="shared" si="110"/>
        <v>201498.435</v>
      </c>
      <c r="F3560" s="7">
        <f t="shared" si="111"/>
        <v>12659364</v>
      </c>
      <c r="G3560" s="7"/>
    </row>
    <row r="3561" spans="1:7" x14ac:dyDescent="0.35">
      <c r="A3561" t="str">
        <f>"2019-04-29"</f>
        <v>2019-04-29</v>
      </c>
      <c r="B3561" t="str">
        <f>"58.1485"</f>
        <v>58.1485</v>
      </c>
      <c r="C3561">
        <v>3559</v>
      </c>
      <c r="D3561" s="7">
        <v>58.148499999999999</v>
      </c>
      <c r="E3561" s="7">
        <f t="shared" si="110"/>
        <v>206950.51149999999</v>
      </c>
      <c r="F3561" s="7">
        <f t="shared" si="111"/>
        <v>12666481</v>
      </c>
      <c r="G3561" s="7"/>
    </row>
    <row r="3562" spans="1:7" x14ac:dyDescent="0.35">
      <c r="A3562" t="str">
        <f>"2019-04-30"</f>
        <v>2019-04-30</v>
      </c>
      <c r="B3562" t="str">
        <f>"58.3248"</f>
        <v>58.3248</v>
      </c>
      <c r="C3562">
        <v>3560</v>
      </c>
      <c r="D3562" s="7">
        <v>58.324800000000003</v>
      </c>
      <c r="E3562" s="7">
        <f t="shared" si="110"/>
        <v>207636.288</v>
      </c>
      <c r="F3562" s="7">
        <f t="shared" si="111"/>
        <v>12673600</v>
      </c>
      <c r="G3562" s="7"/>
    </row>
    <row r="3563" spans="1:7" x14ac:dyDescent="0.35">
      <c r="A3563" t="str">
        <f>"2019-05-01"</f>
        <v>2019-05-01</v>
      </c>
      <c r="B3563" t="str">
        <f>"58.2309"</f>
        <v>58.2309</v>
      </c>
      <c r="C3563">
        <v>3561</v>
      </c>
      <c r="D3563" s="7">
        <v>58.230899999999998</v>
      </c>
      <c r="E3563" s="7">
        <f t="shared" si="110"/>
        <v>207360.23489999998</v>
      </c>
      <c r="F3563" s="7">
        <f t="shared" si="111"/>
        <v>12680721</v>
      </c>
      <c r="G3563" s="7"/>
    </row>
    <row r="3564" spans="1:7" x14ac:dyDescent="0.35">
      <c r="A3564" t="str">
        <f>"2019-05-02"</f>
        <v>2019-05-02</v>
      </c>
      <c r="B3564" t="str">
        <f>"57.7278"</f>
        <v>57.7278</v>
      </c>
      <c r="C3564">
        <v>3562</v>
      </c>
      <c r="D3564" s="7">
        <v>57.727800000000002</v>
      </c>
      <c r="E3564" s="7">
        <f t="shared" si="110"/>
        <v>205626.42360000001</v>
      </c>
      <c r="F3564" s="7">
        <f t="shared" si="111"/>
        <v>12687844</v>
      </c>
      <c r="G3564" s="7"/>
    </row>
    <row r="3565" spans="1:7" x14ac:dyDescent="0.35">
      <c r="A3565" t="str">
        <f>"2019-05-03"</f>
        <v>2019-05-03</v>
      </c>
      <c r="B3565" t="str">
        <f>"56.7432"</f>
        <v>56.7432</v>
      </c>
      <c r="C3565">
        <v>3563</v>
      </c>
      <c r="D3565" s="7">
        <v>56.743200000000002</v>
      </c>
      <c r="E3565" s="7">
        <f t="shared" si="110"/>
        <v>202176.02160000001</v>
      </c>
      <c r="F3565" s="7">
        <f t="shared" si="111"/>
        <v>12694969</v>
      </c>
      <c r="G3565" s="7"/>
    </row>
    <row r="3566" spans="1:7" x14ac:dyDescent="0.35">
      <c r="A3566" t="str">
        <f>"2019-05-06"</f>
        <v>2019-05-06</v>
      </c>
      <c r="B3566" t="str">
        <f>"55.9043"</f>
        <v>55.9043</v>
      </c>
      <c r="C3566">
        <v>3564</v>
      </c>
      <c r="D3566" s="7">
        <v>55.904299999999999</v>
      </c>
      <c r="E3566" s="7">
        <f t="shared" si="110"/>
        <v>199242.9252</v>
      </c>
      <c r="F3566" s="7">
        <f t="shared" si="111"/>
        <v>12702096</v>
      </c>
      <c r="G3566" s="7"/>
    </row>
    <row r="3567" spans="1:7" x14ac:dyDescent="0.35">
      <c r="A3567" t="str">
        <f>"2019-05-07"</f>
        <v>2019-05-07</v>
      </c>
      <c r="B3567" t="str">
        <f>"53.8382"</f>
        <v>53.8382</v>
      </c>
      <c r="C3567">
        <v>3565</v>
      </c>
      <c r="D3567" s="7">
        <v>53.838200000000001</v>
      </c>
      <c r="E3567" s="7">
        <f t="shared" si="110"/>
        <v>191933.18299999999</v>
      </c>
      <c r="F3567" s="7">
        <f t="shared" si="111"/>
        <v>12709225</v>
      </c>
      <c r="G3567" s="7"/>
    </row>
    <row r="3568" spans="1:7" x14ac:dyDescent="0.35">
      <c r="A3568" t="str">
        <f>"2019-05-08"</f>
        <v>2019-05-08</v>
      </c>
      <c r="B3568" t="str">
        <f>"51.1727"</f>
        <v>51.1727</v>
      </c>
      <c r="C3568">
        <v>3566</v>
      </c>
      <c r="D3568" s="7">
        <v>51.172699999999999</v>
      </c>
      <c r="E3568" s="7">
        <f t="shared" si="110"/>
        <v>182481.84820000001</v>
      </c>
      <c r="F3568" s="7">
        <f t="shared" si="111"/>
        <v>12716356</v>
      </c>
      <c r="G3568" s="7"/>
    </row>
    <row r="3569" spans="1:7" x14ac:dyDescent="0.35">
      <c r="A3569" t="str">
        <f>"2019-05-09"</f>
        <v>2019-05-09</v>
      </c>
      <c r="B3569" t="str">
        <f>"49.0496"</f>
        <v>49.0496</v>
      </c>
      <c r="C3569">
        <v>3567</v>
      </c>
      <c r="D3569" s="7">
        <v>49.049599999999998</v>
      </c>
      <c r="E3569" s="7">
        <f t="shared" si="110"/>
        <v>174959.92319999999</v>
      </c>
      <c r="F3569" s="7">
        <f t="shared" si="111"/>
        <v>12723489</v>
      </c>
      <c r="G3569" s="7"/>
    </row>
    <row r="3570" spans="1:7" x14ac:dyDescent="0.35">
      <c r="A3570" t="str">
        <f>"2019-05-10"</f>
        <v>2019-05-10</v>
      </c>
      <c r="B3570" t="str">
        <f>"47.6399"</f>
        <v>47.6399</v>
      </c>
      <c r="C3570">
        <v>3568</v>
      </c>
      <c r="D3570" s="7">
        <v>47.639899999999997</v>
      </c>
      <c r="E3570" s="7">
        <f t="shared" si="110"/>
        <v>169979.16319999998</v>
      </c>
      <c r="F3570" s="7">
        <f t="shared" si="111"/>
        <v>12730624</v>
      </c>
      <c r="G3570" s="7"/>
    </row>
    <row r="3571" spans="1:7" x14ac:dyDescent="0.35">
      <c r="A3571" t="str">
        <f>"2019-05-13"</f>
        <v>2019-05-13</v>
      </c>
      <c r="B3571" t="str">
        <f>"49.1454"</f>
        <v>49.1454</v>
      </c>
      <c r="C3571">
        <v>3569</v>
      </c>
      <c r="D3571" s="7">
        <v>49.145400000000002</v>
      </c>
      <c r="E3571" s="7">
        <f t="shared" si="110"/>
        <v>175399.9326</v>
      </c>
      <c r="F3571" s="7">
        <f t="shared" si="111"/>
        <v>12737761</v>
      </c>
      <c r="G3571" s="7"/>
    </row>
    <row r="3572" spans="1:7" x14ac:dyDescent="0.35">
      <c r="A3572" t="str">
        <f>"2019-05-14"</f>
        <v>2019-05-14</v>
      </c>
      <c r="B3572" t="str">
        <f>"49.3079"</f>
        <v>49.3079</v>
      </c>
      <c r="C3572">
        <v>3570</v>
      </c>
      <c r="D3572" s="7">
        <v>49.307899999999997</v>
      </c>
      <c r="E3572" s="7">
        <f t="shared" si="110"/>
        <v>176029.20299999998</v>
      </c>
      <c r="F3572" s="7">
        <f t="shared" si="111"/>
        <v>12744900</v>
      </c>
      <c r="G3572" s="7"/>
    </row>
    <row r="3573" spans="1:7" x14ac:dyDescent="0.35">
      <c r="A3573" t="str">
        <f>"2019-05-15"</f>
        <v>2019-05-15</v>
      </c>
      <c r="B3573" t="str">
        <f>"48.14"</f>
        <v>48.14</v>
      </c>
      <c r="C3573">
        <v>3571</v>
      </c>
      <c r="D3573" s="7">
        <v>48.14</v>
      </c>
      <c r="E3573" s="7">
        <f t="shared" si="110"/>
        <v>171907.94</v>
      </c>
      <c r="F3573" s="7">
        <f t="shared" si="111"/>
        <v>12752041</v>
      </c>
      <c r="G3573" s="7"/>
    </row>
    <row r="3574" spans="1:7" x14ac:dyDescent="0.35">
      <c r="A3574" t="str">
        <f>"2019-05-16"</f>
        <v>2019-05-16</v>
      </c>
      <c r="B3574" t="str">
        <f>"49.2609"</f>
        <v>49.2609</v>
      </c>
      <c r="C3574">
        <v>3572</v>
      </c>
      <c r="D3574" s="7">
        <v>49.260899999999999</v>
      </c>
      <c r="E3574" s="7">
        <f t="shared" si="110"/>
        <v>175959.93479999999</v>
      </c>
      <c r="F3574" s="7">
        <f t="shared" si="111"/>
        <v>12759184</v>
      </c>
      <c r="G3574" s="7"/>
    </row>
    <row r="3575" spans="1:7" x14ac:dyDescent="0.35">
      <c r="A3575" t="str">
        <f>"2019-05-17"</f>
        <v>2019-05-17</v>
      </c>
      <c r="B3575" t="str">
        <f>"48.4478"</f>
        <v>48.4478</v>
      </c>
      <c r="C3575">
        <v>3573</v>
      </c>
      <c r="D3575" s="7">
        <v>48.447800000000001</v>
      </c>
      <c r="E3575" s="7">
        <f t="shared" si="110"/>
        <v>173103.98939999999</v>
      </c>
      <c r="F3575" s="7">
        <f t="shared" si="111"/>
        <v>12766329</v>
      </c>
      <c r="G3575" s="7"/>
    </row>
    <row r="3576" spans="1:7" x14ac:dyDescent="0.35">
      <c r="A3576" t="str">
        <f>"2019-05-20"</f>
        <v>2019-05-20</v>
      </c>
      <c r="B3576" t="str">
        <f>"48.6207"</f>
        <v>48.6207</v>
      </c>
      <c r="C3576">
        <v>3574</v>
      </c>
      <c r="D3576" s="7">
        <v>48.620699999999999</v>
      </c>
      <c r="E3576" s="7">
        <f t="shared" si="110"/>
        <v>173770.3818</v>
      </c>
      <c r="F3576" s="7">
        <f t="shared" si="111"/>
        <v>12773476</v>
      </c>
      <c r="G3576" s="7"/>
    </row>
    <row r="3577" spans="1:7" x14ac:dyDescent="0.35">
      <c r="A3577" t="str">
        <f>"2019-05-21"</f>
        <v>2019-05-21</v>
      </c>
      <c r="B3577" t="str">
        <f>"47.4805"</f>
        <v>47.4805</v>
      </c>
      <c r="C3577">
        <v>3575</v>
      </c>
      <c r="D3577" s="7">
        <v>47.480499999999999</v>
      </c>
      <c r="E3577" s="7">
        <f t="shared" si="110"/>
        <v>169742.78750000001</v>
      </c>
      <c r="F3577" s="7">
        <f t="shared" si="111"/>
        <v>12780625</v>
      </c>
      <c r="G3577" s="7"/>
    </row>
    <row r="3578" spans="1:7" x14ac:dyDescent="0.35">
      <c r="A3578" t="str">
        <f>"2019-05-23"</f>
        <v>2019-05-23</v>
      </c>
      <c r="B3578" t="str">
        <f>"46.7075"</f>
        <v>46.7075</v>
      </c>
      <c r="C3578">
        <v>3576</v>
      </c>
      <c r="D3578" s="7">
        <v>46.707500000000003</v>
      </c>
      <c r="E3578" s="7">
        <f t="shared" si="110"/>
        <v>167026.02000000002</v>
      </c>
      <c r="F3578" s="7">
        <f t="shared" si="111"/>
        <v>12787776</v>
      </c>
      <c r="G3578" s="7"/>
    </row>
    <row r="3579" spans="1:7" x14ac:dyDescent="0.35">
      <c r="A3579" t="str">
        <f>"2019-05-24"</f>
        <v>2019-05-24</v>
      </c>
      <c r="B3579" t="str">
        <f>"47.3973"</f>
        <v>47.3973</v>
      </c>
      <c r="C3579">
        <v>3577</v>
      </c>
      <c r="D3579" s="7">
        <v>47.397300000000001</v>
      </c>
      <c r="E3579" s="7">
        <f t="shared" si="110"/>
        <v>169540.1421</v>
      </c>
      <c r="F3579" s="7">
        <f t="shared" si="111"/>
        <v>12794929</v>
      </c>
      <c r="G3579" s="7"/>
    </row>
    <row r="3580" spans="1:7" x14ac:dyDescent="0.35">
      <c r="A3580" t="str">
        <f>"2019-05-28"</f>
        <v>2019-05-28</v>
      </c>
      <c r="B3580" t="str">
        <f>"48.6465"</f>
        <v>48.6465</v>
      </c>
      <c r="C3580">
        <v>3578</v>
      </c>
      <c r="D3580" s="7">
        <v>48.646500000000003</v>
      </c>
      <c r="E3580" s="7">
        <f t="shared" si="110"/>
        <v>174057.17700000003</v>
      </c>
      <c r="F3580" s="7">
        <f t="shared" si="111"/>
        <v>12802084</v>
      </c>
      <c r="G3580" s="7"/>
    </row>
    <row r="3581" spans="1:7" x14ac:dyDescent="0.35">
      <c r="A3581" t="str">
        <f>"2019-05-29"</f>
        <v>2019-05-29</v>
      </c>
      <c r="B3581" t="str">
        <f>"48.9823"</f>
        <v>48.9823</v>
      </c>
      <c r="C3581">
        <v>3579</v>
      </c>
      <c r="D3581" s="7">
        <v>48.982300000000002</v>
      </c>
      <c r="E3581" s="7">
        <f t="shared" si="110"/>
        <v>175307.65170000002</v>
      </c>
      <c r="F3581" s="7">
        <f t="shared" si="111"/>
        <v>12809241</v>
      </c>
      <c r="G3581" s="7"/>
    </row>
    <row r="3582" spans="1:7" x14ac:dyDescent="0.35">
      <c r="A3582" t="str">
        <f>"2019-05-30"</f>
        <v>2019-05-30</v>
      </c>
      <c r="B3582" t="str">
        <f>"49.8044"</f>
        <v>49.8044</v>
      </c>
      <c r="C3582">
        <v>3580</v>
      </c>
      <c r="D3582" s="7">
        <v>49.804400000000001</v>
      </c>
      <c r="E3582" s="7">
        <f t="shared" si="110"/>
        <v>178299.75200000001</v>
      </c>
      <c r="F3582" s="7">
        <f t="shared" si="111"/>
        <v>12816400</v>
      </c>
      <c r="G3582" s="7"/>
    </row>
    <row r="3583" spans="1:7" x14ac:dyDescent="0.35">
      <c r="A3583" t="str">
        <f>"2019-05-31"</f>
        <v>2019-05-31</v>
      </c>
      <c r="B3583" t="str">
        <f>"50.2778"</f>
        <v>50.2778</v>
      </c>
      <c r="C3583">
        <v>3581</v>
      </c>
      <c r="D3583" s="7">
        <v>50.277799999999999</v>
      </c>
      <c r="E3583" s="7">
        <f t="shared" si="110"/>
        <v>180044.80179999999</v>
      </c>
      <c r="F3583" s="7">
        <f t="shared" si="111"/>
        <v>12823561</v>
      </c>
      <c r="G3583" s="7"/>
    </row>
    <row r="3584" spans="1:7" x14ac:dyDescent="0.35">
      <c r="A3584" t="str">
        <f>"2019-06-03"</f>
        <v>2019-06-03</v>
      </c>
      <c r="B3584" t="str">
        <f>"49.8846"</f>
        <v>49.8846</v>
      </c>
      <c r="C3584">
        <v>3582</v>
      </c>
      <c r="D3584" s="7">
        <v>49.884599999999999</v>
      </c>
      <c r="E3584" s="7">
        <f t="shared" si="110"/>
        <v>178686.6372</v>
      </c>
      <c r="F3584" s="7">
        <f t="shared" si="111"/>
        <v>12830724</v>
      </c>
      <c r="G3584" s="7"/>
    </row>
    <row r="3585" spans="1:7" x14ac:dyDescent="0.35">
      <c r="A3585" t="str">
        <f>"2019-06-04"</f>
        <v>2019-06-04</v>
      </c>
      <c r="B3585" t="str">
        <f>"50.1078"</f>
        <v>50.1078</v>
      </c>
      <c r="C3585">
        <v>3583</v>
      </c>
      <c r="D3585" s="7">
        <v>50.107799999999997</v>
      </c>
      <c r="E3585" s="7">
        <f t="shared" si="110"/>
        <v>179536.24739999999</v>
      </c>
      <c r="F3585" s="7">
        <f t="shared" si="111"/>
        <v>12837889</v>
      </c>
      <c r="G3585" s="7"/>
    </row>
    <row r="3586" spans="1:7" x14ac:dyDescent="0.35">
      <c r="A3586" t="str">
        <f>"2019-06-05"</f>
        <v>2019-06-05</v>
      </c>
      <c r="B3586" t="str">
        <f>"50.4432"</f>
        <v>50.4432</v>
      </c>
      <c r="C3586">
        <v>3584</v>
      </c>
      <c r="D3586" s="7">
        <v>50.443199999999997</v>
      </c>
      <c r="E3586" s="7">
        <f t="shared" si="110"/>
        <v>180788.42879999999</v>
      </c>
      <c r="F3586" s="7">
        <f t="shared" si="111"/>
        <v>12845056</v>
      </c>
      <c r="G3586" s="7"/>
    </row>
    <row r="3587" spans="1:7" x14ac:dyDescent="0.35">
      <c r="A3587" t="str">
        <f>"2019-06-06"</f>
        <v>2019-06-06</v>
      </c>
      <c r="B3587" t="str">
        <f>"50.5905"</f>
        <v>50.5905</v>
      </c>
      <c r="C3587">
        <v>3585</v>
      </c>
      <c r="D3587" s="7">
        <v>50.590499999999999</v>
      </c>
      <c r="E3587" s="7">
        <f t="shared" si="110"/>
        <v>181366.9425</v>
      </c>
      <c r="F3587" s="7">
        <f t="shared" si="111"/>
        <v>12852225</v>
      </c>
      <c r="G3587" s="7"/>
    </row>
    <row r="3588" spans="1:7" x14ac:dyDescent="0.35">
      <c r="A3588" t="str">
        <f>"2019-06-07"</f>
        <v>2019-06-07</v>
      </c>
      <c r="B3588" t="str">
        <f>"52.0966"</f>
        <v>52.0966</v>
      </c>
      <c r="C3588">
        <v>3586</v>
      </c>
      <c r="D3588" s="7">
        <v>52.096600000000002</v>
      </c>
      <c r="E3588" s="7">
        <f t="shared" ref="E3588:E3651" si="112">C3588*D3588</f>
        <v>186818.40760000001</v>
      </c>
      <c r="F3588" s="7">
        <f t="shared" ref="F3588:F3651" si="113">C3588*C3588</f>
        <v>12859396</v>
      </c>
      <c r="G3588" s="7"/>
    </row>
    <row r="3589" spans="1:7" x14ac:dyDescent="0.35">
      <c r="A3589" t="str">
        <f>"2019-06-10"</f>
        <v>2019-06-10</v>
      </c>
      <c r="B3589" t="str">
        <f>"53.2551"</f>
        <v>53.2551</v>
      </c>
      <c r="C3589">
        <v>3587</v>
      </c>
      <c r="D3589" s="7">
        <v>53.255099999999999</v>
      </c>
      <c r="E3589" s="7">
        <f t="shared" si="112"/>
        <v>191026.04370000001</v>
      </c>
      <c r="F3589" s="7">
        <f t="shared" si="113"/>
        <v>12866569</v>
      </c>
      <c r="G3589" s="7"/>
    </row>
    <row r="3590" spans="1:7" x14ac:dyDescent="0.35">
      <c r="A3590" t="str">
        <f>"2019-06-11"</f>
        <v>2019-06-11</v>
      </c>
      <c r="B3590" t="str">
        <f>"52.3549"</f>
        <v>52.3549</v>
      </c>
      <c r="C3590">
        <v>3588</v>
      </c>
      <c r="D3590" s="7">
        <v>52.354900000000001</v>
      </c>
      <c r="E3590" s="7">
        <f t="shared" si="112"/>
        <v>187849.3812</v>
      </c>
      <c r="F3590" s="7">
        <f t="shared" si="113"/>
        <v>12873744</v>
      </c>
      <c r="G3590" s="7"/>
    </row>
    <row r="3591" spans="1:7" x14ac:dyDescent="0.35">
      <c r="A3591" t="str">
        <f>"2019-06-12"</f>
        <v>2019-06-12</v>
      </c>
      <c r="B3591" t="str">
        <f>"52.1006"</f>
        <v>52.1006</v>
      </c>
      <c r="C3591">
        <v>3589</v>
      </c>
      <c r="D3591" s="7">
        <v>52.1006</v>
      </c>
      <c r="E3591" s="7">
        <f t="shared" si="112"/>
        <v>186989.0534</v>
      </c>
      <c r="F3591" s="7">
        <f t="shared" si="113"/>
        <v>12880921</v>
      </c>
      <c r="G3591" s="7"/>
    </row>
    <row r="3592" spans="1:7" x14ac:dyDescent="0.35">
      <c r="A3592" t="str">
        <f>"2019-06-13"</f>
        <v>2019-06-13</v>
      </c>
      <c r="B3592" t="str">
        <f>"50.6238"</f>
        <v>50.6238</v>
      </c>
      <c r="C3592">
        <v>3590</v>
      </c>
      <c r="D3592" s="7">
        <v>50.623800000000003</v>
      </c>
      <c r="E3592" s="7">
        <f t="shared" si="112"/>
        <v>181739.44200000001</v>
      </c>
      <c r="F3592" s="7">
        <f t="shared" si="113"/>
        <v>12888100</v>
      </c>
      <c r="G3592" s="7"/>
    </row>
    <row r="3593" spans="1:7" x14ac:dyDescent="0.35">
      <c r="A3593" t="str">
        <f>"2019-06-14"</f>
        <v>2019-06-14</v>
      </c>
      <c r="B3593" t="str">
        <f>"50.2046"</f>
        <v>50.2046</v>
      </c>
      <c r="C3593">
        <v>3591</v>
      </c>
      <c r="D3593" s="7">
        <v>50.204599999999999</v>
      </c>
      <c r="E3593" s="7">
        <f t="shared" si="112"/>
        <v>180284.71859999999</v>
      </c>
      <c r="F3593" s="7">
        <f t="shared" si="113"/>
        <v>12895281</v>
      </c>
      <c r="G3593" s="7"/>
    </row>
    <row r="3594" spans="1:7" x14ac:dyDescent="0.35">
      <c r="A3594" t="str">
        <f>"2019-06-17"</f>
        <v>2019-06-17</v>
      </c>
      <c r="B3594" t="str">
        <f>"51.1732"</f>
        <v>51.1732</v>
      </c>
      <c r="C3594">
        <v>3592</v>
      </c>
      <c r="D3594" s="7">
        <v>51.173200000000001</v>
      </c>
      <c r="E3594" s="7">
        <f t="shared" si="112"/>
        <v>183814.13440000001</v>
      </c>
      <c r="F3594" s="7">
        <f t="shared" si="113"/>
        <v>12902464</v>
      </c>
      <c r="G3594" s="7"/>
    </row>
    <row r="3595" spans="1:7" x14ac:dyDescent="0.35">
      <c r="A3595" t="str">
        <f>"2019-06-18"</f>
        <v>2019-06-18</v>
      </c>
      <c r="B3595" t="str">
        <f>"51.9808"</f>
        <v>51.9808</v>
      </c>
      <c r="C3595">
        <v>3593</v>
      </c>
      <c r="D3595" s="7">
        <v>51.980800000000002</v>
      </c>
      <c r="E3595" s="7">
        <f t="shared" si="112"/>
        <v>186767.01440000001</v>
      </c>
      <c r="F3595" s="7">
        <f t="shared" si="113"/>
        <v>12909649</v>
      </c>
      <c r="G3595" s="7"/>
    </row>
    <row r="3596" spans="1:7" x14ac:dyDescent="0.35">
      <c r="A3596" t="str">
        <f>"2019-06-19"</f>
        <v>2019-06-19</v>
      </c>
      <c r="B3596" t="str">
        <f>"51.4563"</f>
        <v>51.4563</v>
      </c>
      <c r="C3596">
        <v>3594</v>
      </c>
      <c r="D3596" s="7">
        <v>51.456299999999999</v>
      </c>
      <c r="E3596" s="7">
        <f t="shared" si="112"/>
        <v>184933.94219999999</v>
      </c>
      <c r="F3596" s="7">
        <f t="shared" si="113"/>
        <v>12916836</v>
      </c>
      <c r="G3596" s="7"/>
    </row>
    <row r="3597" spans="1:7" x14ac:dyDescent="0.35">
      <c r="A3597" t="str">
        <f>"2019-06-20"</f>
        <v>2019-06-20</v>
      </c>
      <c r="B3597" t="str">
        <f>"50.2026"</f>
        <v>50.2026</v>
      </c>
      <c r="C3597">
        <v>3595</v>
      </c>
      <c r="D3597" s="7">
        <v>50.202599999999997</v>
      </c>
      <c r="E3597" s="7">
        <f t="shared" si="112"/>
        <v>180478.34699999998</v>
      </c>
      <c r="F3597" s="7">
        <f t="shared" si="113"/>
        <v>12924025</v>
      </c>
      <c r="G3597" s="7"/>
    </row>
    <row r="3598" spans="1:7" x14ac:dyDescent="0.35">
      <c r="A3598" t="str">
        <f>"2019-06-21"</f>
        <v>2019-06-21</v>
      </c>
      <c r="B3598" t="str">
        <f>"49.4689"</f>
        <v>49.4689</v>
      </c>
      <c r="C3598">
        <v>3596</v>
      </c>
      <c r="D3598" s="7">
        <v>49.468899999999998</v>
      </c>
      <c r="E3598" s="7">
        <f t="shared" si="112"/>
        <v>177890.16439999998</v>
      </c>
      <c r="F3598" s="7">
        <f t="shared" si="113"/>
        <v>12931216</v>
      </c>
      <c r="G3598" s="7"/>
    </row>
    <row r="3599" spans="1:7" x14ac:dyDescent="0.35">
      <c r="A3599" t="str">
        <f>"2019-06-24"</f>
        <v>2019-06-24</v>
      </c>
      <c r="B3599" t="str">
        <f>"49.1775"</f>
        <v>49.1775</v>
      </c>
      <c r="C3599">
        <v>3597</v>
      </c>
      <c r="D3599" s="7">
        <v>49.177500000000002</v>
      </c>
      <c r="E3599" s="7">
        <f t="shared" si="112"/>
        <v>176891.4675</v>
      </c>
      <c r="F3599" s="7">
        <f t="shared" si="113"/>
        <v>12938409</v>
      </c>
      <c r="G3599" s="7"/>
    </row>
    <row r="3600" spans="1:7" x14ac:dyDescent="0.35">
      <c r="A3600" t="str">
        <f>"2019-06-25"</f>
        <v>2019-06-25</v>
      </c>
      <c r="B3600" t="str">
        <f>"48.3315"</f>
        <v>48.3315</v>
      </c>
      <c r="C3600">
        <v>3598</v>
      </c>
      <c r="D3600" s="7">
        <v>48.331499999999998</v>
      </c>
      <c r="E3600" s="7">
        <f t="shared" si="112"/>
        <v>173896.73699999999</v>
      </c>
      <c r="F3600" s="7">
        <f t="shared" si="113"/>
        <v>12945604</v>
      </c>
      <c r="G3600" s="7"/>
    </row>
    <row r="3601" spans="1:7" x14ac:dyDescent="0.35">
      <c r="A3601" t="str">
        <f>"2019-06-26"</f>
        <v>2019-06-26</v>
      </c>
      <c r="B3601" t="str">
        <f>"47.4647"</f>
        <v>47.4647</v>
      </c>
      <c r="C3601">
        <v>3599</v>
      </c>
      <c r="D3601" s="7">
        <v>47.464700000000001</v>
      </c>
      <c r="E3601" s="7">
        <f t="shared" si="112"/>
        <v>170825.4553</v>
      </c>
      <c r="F3601" s="7">
        <f t="shared" si="113"/>
        <v>12952801</v>
      </c>
      <c r="G3601" s="7"/>
    </row>
    <row r="3602" spans="1:7" x14ac:dyDescent="0.35">
      <c r="A3602" t="str">
        <f>"2019-06-27"</f>
        <v>2019-06-27</v>
      </c>
      <c r="B3602" t="str">
        <f>"48.3329"</f>
        <v>48.3329</v>
      </c>
      <c r="C3602">
        <v>3600</v>
      </c>
      <c r="D3602" s="7">
        <v>48.332900000000002</v>
      </c>
      <c r="E3602" s="7">
        <f t="shared" si="112"/>
        <v>173998.44</v>
      </c>
      <c r="F3602" s="7">
        <f t="shared" si="113"/>
        <v>12960000</v>
      </c>
      <c r="G3602" s="7"/>
    </row>
    <row r="3603" spans="1:7" x14ac:dyDescent="0.35">
      <c r="A3603" t="str">
        <f>"2019-06-28"</f>
        <v>2019-06-28</v>
      </c>
      <c r="B3603" t="str">
        <f>"49.2747"</f>
        <v>49.2747</v>
      </c>
      <c r="C3603">
        <v>3601</v>
      </c>
      <c r="D3603" s="7">
        <v>49.274700000000003</v>
      </c>
      <c r="E3603" s="7">
        <f t="shared" si="112"/>
        <v>177438.19470000002</v>
      </c>
      <c r="F3603" s="7">
        <f t="shared" si="113"/>
        <v>12967201</v>
      </c>
      <c r="G3603" s="7"/>
    </row>
    <row r="3604" spans="1:7" x14ac:dyDescent="0.35">
      <c r="A3604" t="str">
        <f>"2019-07-01"</f>
        <v>2019-07-01</v>
      </c>
      <c r="B3604" t="str">
        <f>"51.5621"</f>
        <v>51.5621</v>
      </c>
      <c r="C3604">
        <v>3602</v>
      </c>
      <c r="D3604" s="7">
        <v>51.562100000000001</v>
      </c>
      <c r="E3604" s="7">
        <f t="shared" si="112"/>
        <v>185726.68420000002</v>
      </c>
      <c r="F3604" s="7">
        <f t="shared" si="113"/>
        <v>12974404</v>
      </c>
      <c r="G3604" s="7"/>
    </row>
    <row r="3605" spans="1:7" x14ac:dyDescent="0.35">
      <c r="A3605" t="str">
        <f>"2019-07-02"</f>
        <v>2019-07-02</v>
      </c>
      <c r="B3605" t="str">
        <f>"52.8545"</f>
        <v>52.8545</v>
      </c>
      <c r="C3605">
        <v>3603</v>
      </c>
      <c r="D3605" s="7">
        <v>52.854500000000002</v>
      </c>
      <c r="E3605" s="7">
        <f t="shared" si="112"/>
        <v>190434.7635</v>
      </c>
      <c r="F3605" s="7">
        <f t="shared" si="113"/>
        <v>12981609</v>
      </c>
      <c r="G3605" s="7"/>
    </row>
    <row r="3606" spans="1:7" x14ac:dyDescent="0.35">
      <c r="A3606" t="str">
        <f>"2019-07-03"</f>
        <v>2019-07-03</v>
      </c>
      <c r="B3606" t="str">
        <f>"51.2286"</f>
        <v>51.2286</v>
      </c>
      <c r="C3606">
        <v>3604</v>
      </c>
      <c r="D3606" s="7">
        <v>51.2286</v>
      </c>
      <c r="E3606" s="7">
        <f t="shared" si="112"/>
        <v>184627.8744</v>
      </c>
      <c r="F3606" s="7">
        <f t="shared" si="113"/>
        <v>12988816</v>
      </c>
      <c r="G3606" s="7"/>
    </row>
    <row r="3607" spans="1:7" x14ac:dyDescent="0.35">
      <c r="A3607" t="str">
        <f>"2019-07-05"</f>
        <v>2019-07-05</v>
      </c>
      <c r="B3607" t="str">
        <f>"53.0925"</f>
        <v>53.0925</v>
      </c>
      <c r="C3607">
        <v>3605</v>
      </c>
      <c r="D3607" s="7">
        <v>53.092500000000001</v>
      </c>
      <c r="E3607" s="7">
        <f t="shared" si="112"/>
        <v>191398.46249999999</v>
      </c>
      <c r="F3607" s="7">
        <f t="shared" si="113"/>
        <v>12996025</v>
      </c>
      <c r="G3607" s="7"/>
    </row>
    <row r="3608" spans="1:7" x14ac:dyDescent="0.35">
      <c r="A3608" t="str">
        <f>"2019-07-08"</f>
        <v>2019-07-08</v>
      </c>
      <c r="B3608" t="str">
        <f>"50.0938"</f>
        <v>50.0938</v>
      </c>
      <c r="C3608">
        <v>3606</v>
      </c>
      <c r="D3608" s="7">
        <v>50.093800000000002</v>
      </c>
      <c r="E3608" s="7">
        <f t="shared" si="112"/>
        <v>180638.24280000001</v>
      </c>
      <c r="F3608" s="7">
        <f t="shared" si="113"/>
        <v>13003236</v>
      </c>
      <c r="G3608" s="7"/>
    </row>
    <row r="3609" spans="1:7" x14ac:dyDescent="0.35">
      <c r="A3609" t="str">
        <f>"2019-07-09"</f>
        <v>2019-07-09</v>
      </c>
      <c r="B3609" t="str">
        <f>"47.6168"</f>
        <v>47.6168</v>
      </c>
      <c r="C3609">
        <v>3607</v>
      </c>
      <c r="D3609" s="7">
        <v>47.616799999999998</v>
      </c>
      <c r="E3609" s="7">
        <f t="shared" si="112"/>
        <v>171753.79759999999</v>
      </c>
      <c r="F3609" s="7">
        <f t="shared" si="113"/>
        <v>13010449</v>
      </c>
      <c r="G3609" s="7"/>
    </row>
    <row r="3610" spans="1:7" x14ac:dyDescent="0.35">
      <c r="A3610" t="str">
        <f>"2019-07-10"</f>
        <v>2019-07-10</v>
      </c>
      <c r="B3610" t="str">
        <f>"47.6146"</f>
        <v>47.6146</v>
      </c>
      <c r="C3610">
        <v>3608</v>
      </c>
      <c r="D3610" s="7">
        <v>47.614600000000003</v>
      </c>
      <c r="E3610" s="7">
        <f t="shared" si="112"/>
        <v>171793.4768</v>
      </c>
      <c r="F3610" s="7">
        <f t="shared" si="113"/>
        <v>13017664</v>
      </c>
      <c r="G3610" s="7"/>
    </row>
    <row r="3611" spans="1:7" x14ac:dyDescent="0.35">
      <c r="A3611" t="str">
        <f>"2019-07-11"</f>
        <v>2019-07-11</v>
      </c>
      <c r="B3611" t="str">
        <f>"47.8427"</f>
        <v>47.8427</v>
      </c>
      <c r="C3611">
        <v>3609</v>
      </c>
      <c r="D3611" s="7">
        <v>47.842700000000001</v>
      </c>
      <c r="E3611" s="7">
        <f t="shared" si="112"/>
        <v>172664.30429999999</v>
      </c>
      <c r="F3611" s="7">
        <f t="shared" si="113"/>
        <v>13024881</v>
      </c>
      <c r="G3611" s="7"/>
    </row>
    <row r="3612" spans="1:7" x14ac:dyDescent="0.35">
      <c r="A3612" t="str">
        <f>"2019-07-12"</f>
        <v>2019-07-12</v>
      </c>
      <c r="B3612" t="str">
        <f>"46.3102"</f>
        <v>46.3102</v>
      </c>
      <c r="C3612">
        <v>3610</v>
      </c>
      <c r="D3612" s="7">
        <v>46.310200000000002</v>
      </c>
      <c r="E3612" s="7">
        <f t="shared" si="112"/>
        <v>167179.82200000001</v>
      </c>
      <c r="F3612" s="7">
        <f t="shared" si="113"/>
        <v>13032100</v>
      </c>
      <c r="G3612" s="7"/>
    </row>
    <row r="3613" spans="1:7" x14ac:dyDescent="0.35">
      <c r="A3613" t="str">
        <f>"2019-07-15"</f>
        <v>2019-07-15</v>
      </c>
      <c r="B3613" t="str">
        <f>"45.963"</f>
        <v>45.963</v>
      </c>
      <c r="C3613">
        <v>3611</v>
      </c>
      <c r="D3613" s="7">
        <v>45.963000000000001</v>
      </c>
      <c r="E3613" s="7">
        <f t="shared" si="112"/>
        <v>165972.39300000001</v>
      </c>
      <c r="F3613" s="7">
        <f t="shared" si="113"/>
        <v>13039321</v>
      </c>
      <c r="G3613" s="7"/>
    </row>
    <row r="3614" spans="1:7" x14ac:dyDescent="0.35">
      <c r="A3614" t="str">
        <f>"2019-07-16"</f>
        <v>2019-07-16</v>
      </c>
      <c r="B3614" t="str">
        <f>"47.9564"</f>
        <v>47.9564</v>
      </c>
      <c r="C3614">
        <v>3612</v>
      </c>
      <c r="D3614" s="7">
        <v>47.956400000000002</v>
      </c>
      <c r="E3614" s="7">
        <f t="shared" si="112"/>
        <v>173218.51680000001</v>
      </c>
      <c r="F3614" s="7">
        <f t="shared" si="113"/>
        <v>13046544</v>
      </c>
      <c r="G3614" s="7"/>
    </row>
    <row r="3615" spans="1:7" x14ac:dyDescent="0.35">
      <c r="A3615" t="str">
        <f>"2019-07-17"</f>
        <v>2019-07-17</v>
      </c>
      <c r="B3615" t="str">
        <f>"48.6759"</f>
        <v>48.6759</v>
      </c>
      <c r="C3615">
        <v>3613</v>
      </c>
      <c r="D3615" s="7">
        <v>48.675899999999999</v>
      </c>
      <c r="E3615" s="7">
        <f t="shared" si="112"/>
        <v>175866.02669999999</v>
      </c>
      <c r="F3615" s="7">
        <f t="shared" si="113"/>
        <v>13053769</v>
      </c>
      <c r="G3615" s="7"/>
    </row>
    <row r="3616" spans="1:7" x14ac:dyDescent="0.35">
      <c r="A3616" t="str">
        <f>"2019-07-18"</f>
        <v>2019-07-18</v>
      </c>
      <c r="B3616" t="str">
        <f>"50.1216"</f>
        <v>50.1216</v>
      </c>
      <c r="C3616">
        <v>3614</v>
      </c>
      <c r="D3616" s="7">
        <v>50.121600000000001</v>
      </c>
      <c r="E3616" s="7">
        <f t="shared" si="112"/>
        <v>181139.46239999999</v>
      </c>
      <c r="F3616" s="7">
        <f t="shared" si="113"/>
        <v>13060996</v>
      </c>
      <c r="G3616" s="7"/>
    </row>
    <row r="3617" spans="1:7" x14ac:dyDescent="0.35">
      <c r="A3617" t="str">
        <f>"2019-07-19"</f>
        <v>2019-07-19</v>
      </c>
      <c r="B3617" t="str">
        <f>"50.3074"</f>
        <v>50.3074</v>
      </c>
      <c r="C3617">
        <v>3615</v>
      </c>
      <c r="D3617" s="7">
        <v>50.307400000000001</v>
      </c>
      <c r="E3617" s="7">
        <f t="shared" si="112"/>
        <v>181861.25100000002</v>
      </c>
      <c r="F3617" s="7">
        <f t="shared" si="113"/>
        <v>13068225</v>
      </c>
      <c r="G3617" s="7"/>
    </row>
    <row r="3618" spans="1:7" x14ac:dyDescent="0.35">
      <c r="A3618" t="str">
        <f>"2019-07-22"</f>
        <v>2019-07-22</v>
      </c>
      <c r="B3618" t="str">
        <f>"49.2122"</f>
        <v>49.2122</v>
      </c>
      <c r="C3618">
        <v>3616</v>
      </c>
      <c r="D3618" s="7">
        <v>49.212200000000003</v>
      </c>
      <c r="E3618" s="7">
        <f t="shared" si="112"/>
        <v>177951.31520000001</v>
      </c>
      <c r="F3618" s="7">
        <f t="shared" si="113"/>
        <v>13075456</v>
      </c>
      <c r="G3618" s="7"/>
    </row>
    <row r="3619" spans="1:7" x14ac:dyDescent="0.35">
      <c r="A3619" t="str">
        <f>"2019-07-23"</f>
        <v>2019-07-23</v>
      </c>
      <c r="B3619" t="str">
        <f>"50.4146"</f>
        <v>50.4146</v>
      </c>
      <c r="C3619">
        <v>3617</v>
      </c>
      <c r="D3619" s="7">
        <v>50.4146</v>
      </c>
      <c r="E3619" s="7">
        <f t="shared" si="112"/>
        <v>182349.60819999999</v>
      </c>
      <c r="F3619" s="7">
        <f t="shared" si="113"/>
        <v>13082689</v>
      </c>
      <c r="G3619" s="7"/>
    </row>
    <row r="3620" spans="1:7" x14ac:dyDescent="0.35">
      <c r="A3620" t="str">
        <f>"2019-07-24"</f>
        <v>2019-07-24</v>
      </c>
      <c r="B3620" t="str">
        <f>"49.513"</f>
        <v>49.513</v>
      </c>
      <c r="C3620">
        <v>3618</v>
      </c>
      <c r="D3620" s="7">
        <v>49.512999999999998</v>
      </c>
      <c r="E3620" s="7">
        <f t="shared" si="112"/>
        <v>179138.03399999999</v>
      </c>
      <c r="F3620" s="7">
        <f t="shared" si="113"/>
        <v>13089924</v>
      </c>
      <c r="G3620" s="7"/>
    </row>
    <row r="3621" spans="1:7" x14ac:dyDescent="0.35">
      <c r="A3621" t="str">
        <f>"2019-07-25"</f>
        <v>2019-07-25</v>
      </c>
      <c r="B3621" t="str">
        <f>"48.7438"</f>
        <v>48.7438</v>
      </c>
      <c r="C3621">
        <v>3619</v>
      </c>
      <c r="D3621" s="7">
        <v>48.7438</v>
      </c>
      <c r="E3621" s="7">
        <f t="shared" si="112"/>
        <v>176403.81220000001</v>
      </c>
      <c r="F3621" s="7">
        <f t="shared" si="113"/>
        <v>13097161</v>
      </c>
      <c r="G3621" s="7"/>
    </row>
    <row r="3622" spans="1:7" x14ac:dyDescent="0.35">
      <c r="A3622" t="str">
        <f>"2019-07-26"</f>
        <v>2019-07-26</v>
      </c>
      <c r="B3622" t="str">
        <f>"49.1012"</f>
        <v>49.1012</v>
      </c>
      <c r="C3622">
        <v>3620</v>
      </c>
      <c r="D3622" s="7">
        <v>49.101199999999999</v>
      </c>
      <c r="E3622" s="7">
        <f t="shared" si="112"/>
        <v>177746.34399999998</v>
      </c>
      <c r="F3622" s="7">
        <f t="shared" si="113"/>
        <v>13104400</v>
      </c>
      <c r="G3622" s="7"/>
    </row>
    <row r="3623" spans="1:7" x14ac:dyDescent="0.35">
      <c r="A3623" t="str">
        <f>"2019-07-29"</f>
        <v>2019-07-29</v>
      </c>
      <c r="B3623" t="str">
        <f>"49.4654"</f>
        <v>49.4654</v>
      </c>
      <c r="C3623">
        <v>3621</v>
      </c>
      <c r="D3623" s="7">
        <v>49.465400000000002</v>
      </c>
      <c r="E3623" s="7">
        <f t="shared" si="112"/>
        <v>179114.21340000001</v>
      </c>
      <c r="F3623" s="7">
        <f t="shared" si="113"/>
        <v>13111641</v>
      </c>
      <c r="G3623" s="7"/>
    </row>
    <row r="3624" spans="1:7" x14ac:dyDescent="0.35">
      <c r="A3624" t="str">
        <f>"2019-07-30"</f>
        <v>2019-07-30</v>
      </c>
      <c r="B3624" t="str">
        <f>"49.3426"</f>
        <v>49.3426</v>
      </c>
      <c r="C3624">
        <v>3622</v>
      </c>
      <c r="D3624" s="7">
        <v>49.342599999999997</v>
      </c>
      <c r="E3624" s="7">
        <f t="shared" si="112"/>
        <v>178718.89719999998</v>
      </c>
      <c r="F3624" s="7">
        <f t="shared" si="113"/>
        <v>13118884</v>
      </c>
      <c r="G3624" s="7"/>
    </row>
    <row r="3625" spans="1:7" x14ac:dyDescent="0.35">
      <c r="A3625" t="str">
        <f>"2019-07-31"</f>
        <v>2019-07-31</v>
      </c>
      <c r="B3625" t="str">
        <f>"48.9362"</f>
        <v>48.9362</v>
      </c>
      <c r="C3625">
        <v>3623</v>
      </c>
      <c r="D3625" s="7">
        <v>48.936199999999999</v>
      </c>
      <c r="E3625" s="7">
        <f t="shared" si="112"/>
        <v>177295.85259999998</v>
      </c>
      <c r="F3625" s="7">
        <f t="shared" si="113"/>
        <v>13126129</v>
      </c>
      <c r="G3625" s="7"/>
    </row>
    <row r="3626" spans="1:7" x14ac:dyDescent="0.35">
      <c r="A3626" t="str">
        <f>"2019-08-01"</f>
        <v>2019-08-01</v>
      </c>
      <c r="B3626" t="str">
        <f>"48.763"</f>
        <v>48.763</v>
      </c>
      <c r="C3626">
        <v>3624</v>
      </c>
      <c r="D3626" s="7">
        <v>48.762999999999998</v>
      </c>
      <c r="E3626" s="7">
        <f t="shared" si="112"/>
        <v>176717.11199999999</v>
      </c>
      <c r="F3626" s="7">
        <f t="shared" si="113"/>
        <v>13133376</v>
      </c>
      <c r="G3626" s="7"/>
    </row>
    <row r="3627" spans="1:7" x14ac:dyDescent="0.35">
      <c r="A3627" t="str">
        <f>"2019-08-02"</f>
        <v>2019-08-02</v>
      </c>
      <c r="B3627" t="str">
        <f>"47.2621"</f>
        <v>47.2621</v>
      </c>
      <c r="C3627">
        <v>3625</v>
      </c>
      <c r="D3627" s="7">
        <v>47.262099999999997</v>
      </c>
      <c r="E3627" s="7">
        <f t="shared" si="112"/>
        <v>171325.11249999999</v>
      </c>
      <c r="F3627" s="7">
        <f t="shared" si="113"/>
        <v>13140625</v>
      </c>
      <c r="G3627" s="7"/>
    </row>
    <row r="3628" spans="1:7" x14ac:dyDescent="0.35">
      <c r="A3628" t="str">
        <f>"2019-08-05"</f>
        <v>2019-08-05</v>
      </c>
      <c r="B3628" t="str">
        <f>"47.8086"</f>
        <v>47.8086</v>
      </c>
      <c r="C3628">
        <v>3626</v>
      </c>
      <c r="D3628" s="7">
        <v>47.808599999999998</v>
      </c>
      <c r="E3628" s="7">
        <f t="shared" si="112"/>
        <v>173353.98360000001</v>
      </c>
      <c r="F3628" s="7">
        <f t="shared" si="113"/>
        <v>13147876</v>
      </c>
      <c r="G3628" s="7"/>
    </row>
    <row r="3629" spans="1:7" x14ac:dyDescent="0.35">
      <c r="A3629" t="str">
        <f>"2019-08-06"</f>
        <v>2019-08-06</v>
      </c>
      <c r="B3629" t="str">
        <f>"46.7818"</f>
        <v>46.7818</v>
      </c>
      <c r="C3629">
        <v>3627</v>
      </c>
      <c r="D3629" s="7">
        <v>46.781799999999997</v>
      </c>
      <c r="E3629" s="7">
        <f t="shared" si="112"/>
        <v>169677.58859999999</v>
      </c>
      <c r="F3629" s="7">
        <f t="shared" si="113"/>
        <v>13155129</v>
      </c>
      <c r="G3629" s="7"/>
    </row>
    <row r="3630" spans="1:7" x14ac:dyDescent="0.35">
      <c r="A3630" t="str">
        <f>"2019-08-07"</f>
        <v>2019-08-07</v>
      </c>
      <c r="B3630" t="str">
        <f>"44.8043"</f>
        <v>44.8043</v>
      </c>
      <c r="C3630">
        <v>3628</v>
      </c>
      <c r="D3630" s="7">
        <v>44.804299999999998</v>
      </c>
      <c r="E3630" s="7">
        <f t="shared" si="112"/>
        <v>162550.00039999999</v>
      </c>
      <c r="F3630" s="7">
        <f t="shared" si="113"/>
        <v>13162384</v>
      </c>
      <c r="G3630" s="7"/>
    </row>
    <row r="3631" spans="1:7" x14ac:dyDescent="0.35">
      <c r="A3631" t="str">
        <f>"2019-08-08"</f>
        <v>2019-08-08</v>
      </c>
      <c r="B3631" t="str">
        <f>"45.5249"</f>
        <v>45.5249</v>
      </c>
      <c r="C3631">
        <v>3629</v>
      </c>
      <c r="D3631" s="7">
        <v>45.524900000000002</v>
      </c>
      <c r="E3631" s="7">
        <f t="shared" si="112"/>
        <v>165209.8621</v>
      </c>
      <c r="F3631" s="7">
        <f t="shared" si="113"/>
        <v>13169641</v>
      </c>
      <c r="G3631" s="7"/>
    </row>
    <row r="3632" spans="1:7" x14ac:dyDescent="0.35">
      <c r="A3632" t="str">
        <f>"2019-08-09"</f>
        <v>2019-08-09</v>
      </c>
      <c r="B3632" t="str">
        <f>"46.0399"</f>
        <v>46.0399</v>
      </c>
      <c r="C3632">
        <v>3630</v>
      </c>
      <c r="D3632" s="7">
        <v>46.039900000000003</v>
      </c>
      <c r="E3632" s="7">
        <f t="shared" si="112"/>
        <v>167124.837</v>
      </c>
      <c r="F3632" s="7">
        <f t="shared" si="113"/>
        <v>13176900</v>
      </c>
      <c r="G3632" s="7"/>
    </row>
    <row r="3633" spans="1:7" x14ac:dyDescent="0.35">
      <c r="A3633" t="str">
        <f>"2019-08-12"</f>
        <v>2019-08-12</v>
      </c>
      <c r="B3633" t="str">
        <f>"45.7502"</f>
        <v>45.7502</v>
      </c>
      <c r="C3633">
        <v>3631</v>
      </c>
      <c r="D3633" s="7">
        <v>45.7502</v>
      </c>
      <c r="E3633" s="7">
        <f t="shared" si="112"/>
        <v>166118.9762</v>
      </c>
      <c r="F3633" s="7">
        <f t="shared" si="113"/>
        <v>13184161</v>
      </c>
      <c r="G3633" s="7"/>
    </row>
    <row r="3634" spans="1:7" x14ac:dyDescent="0.35">
      <c r="A3634" t="str">
        <f>"2019-08-13"</f>
        <v>2019-08-13</v>
      </c>
      <c r="B3634" t="str">
        <f>"45.2186"</f>
        <v>45.2186</v>
      </c>
      <c r="C3634">
        <v>3632</v>
      </c>
      <c r="D3634" s="7">
        <v>45.218600000000002</v>
      </c>
      <c r="E3634" s="7">
        <f t="shared" si="112"/>
        <v>164233.9552</v>
      </c>
      <c r="F3634" s="7">
        <f t="shared" si="113"/>
        <v>13191424</v>
      </c>
      <c r="G3634" s="7"/>
    </row>
    <row r="3635" spans="1:7" x14ac:dyDescent="0.35">
      <c r="A3635" t="str">
        <f>"2019-08-14"</f>
        <v>2019-08-14</v>
      </c>
      <c r="B3635" t="str">
        <f>"44.8176"</f>
        <v>44.8176</v>
      </c>
      <c r="C3635">
        <v>3633</v>
      </c>
      <c r="D3635" s="7">
        <v>44.817599999999999</v>
      </c>
      <c r="E3635" s="7">
        <f t="shared" si="112"/>
        <v>162822.34080000001</v>
      </c>
      <c r="F3635" s="7">
        <f t="shared" si="113"/>
        <v>13198689</v>
      </c>
      <c r="G3635" s="7"/>
    </row>
    <row r="3636" spans="1:7" x14ac:dyDescent="0.35">
      <c r="A3636" t="str">
        <f>"2019-08-15"</f>
        <v>2019-08-15</v>
      </c>
      <c r="B3636" t="str">
        <f>"42.9651"</f>
        <v>42.9651</v>
      </c>
      <c r="C3636">
        <v>3634</v>
      </c>
      <c r="D3636" s="7">
        <v>42.9651</v>
      </c>
      <c r="E3636" s="7">
        <f t="shared" si="112"/>
        <v>156135.1734</v>
      </c>
      <c r="F3636" s="7">
        <f t="shared" si="113"/>
        <v>13205956</v>
      </c>
      <c r="G3636" s="7"/>
    </row>
    <row r="3637" spans="1:7" x14ac:dyDescent="0.35">
      <c r="A3637" t="str">
        <f>"2019-08-16"</f>
        <v>2019-08-16</v>
      </c>
      <c r="B3637" t="str">
        <f>"42.1692"</f>
        <v>42.1692</v>
      </c>
      <c r="C3637">
        <v>3635</v>
      </c>
      <c r="D3637" s="7">
        <v>42.169199999999996</v>
      </c>
      <c r="E3637" s="7">
        <f t="shared" si="112"/>
        <v>153285.04199999999</v>
      </c>
      <c r="F3637" s="7">
        <f t="shared" si="113"/>
        <v>13213225</v>
      </c>
      <c r="G3637" s="7"/>
    </row>
    <row r="3638" spans="1:7" x14ac:dyDescent="0.35">
      <c r="A3638" t="str">
        <f>"2019-08-19"</f>
        <v>2019-08-19</v>
      </c>
      <c r="B3638" t="str">
        <f>"41.5256"</f>
        <v>41.5256</v>
      </c>
      <c r="C3638">
        <v>3636</v>
      </c>
      <c r="D3638" s="7">
        <v>41.525599999999997</v>
      </c>
      <c r="E3638" s="7">
        <f t="shared" si="112"/>
        <v>150987.08159999998</v>
      </c>
      <c r="F3638" s="7">
        <f t="shared" si="113"/>
        <v>13220496</v>
      </c>
      <c r="G3638" s="7"/>
    </row>
    <row r="3639" spans="1:7" x14ac:dyDescent="0.35">
      <c r="A3639" t="str">
        <f>"2019-08-20"</f>
        <v>2019-08-20</v>
      </c>
      <c r="B3639" t="str">
        <f>"41.0218"</f>
        <v>41.0218</v>
      </c>
      <c r="C3639">
        <v>3637</v>
      </c>
      <c r="D3639" s="7">
        <v>41.021799999999999</v>
      </c>
      <c r="E3639" s="7">
        <f t="shared" si="112"/>
        <v>149196.28659999999</v>
      </c>
      <c r="F3639" s="7">
        <f t="shared" si="113"/>
        <v>13227769</v>
      </c>
      <c r="G3639" s="7"/>
    </row>
    <row r="3640" spans="1:7" x14ac:dyDescent="0.35">
      <c r="A3640" t="str">
        <f>"2019-08-21"</f>
        <v>2019-08-21</v>
      </c>
      <c r="B3640" t="str">
        <f>"40.1407"</f>
        <v>40.1407</v>
      </c>
      <c r="C3640">
        <v>3638</v>
      </c>
      <c r="D3640" s="7">
        <v>40.140700000000002</v>
      </c>
      <c r="E3640" s="7">
        <f t="shared" si="112"/>
        <v>146031.86660000001</v>
      </c>
      <c r="F3640" s="7">
        <f t="shared" si="113"/>
        <v>13235044</v>
      </c>
      <c r="G3640" s="7"/>
    </row>
    <row r="3641" spans="1:7" x14ac:dyDescent="0.35">
      <c r="A3641" t="str">
        <f>"2019-08-22"</f>
        <v>2019-08-22</v>
      </c>
      <c r="B3641" t="str">
        <f>"40.8204"</f>
        <v>40.8204</v>
      </c>
      <c r="C3641">
        <v>3639</v>
      </c>
      <c r="D3641" s="7">
        <v>40.820399999999999</v>
      </c>
      <c r="E3641" s="7">
        <f t="shared" si="112"/>
        <v>148545.4356</v>
      </c>
      <c r="F3641" s="7">
        <f t="shared" si="113"/>
        <v>13242321</v>
      </c>
      <c r="G3641" s="7"/>
    </row>
    <row r="3642" spans="1:7" x14ac:dyDescent="0.35">
      <c r="A3642" t="str">
        <f>"2019-08-23"</f>
        <v>2019-08-23</v>
      </c>
      <c r="B3642" t="str">
        <f>"39.5612"</f>
        <v>39.5612</v>
      </c>
      <c r="C3642">
        <v>3640</v>
      </c>
      <c r="D3642" s="7">
        <v>39.561199999999999</v>
      </c>
      <c r="E3642" s="7">
        <f t="shared" si="112"/>
        <v>144002.76800000001</v>
      </c>
      <c r="F3642" s="7">
        <f t="shared" si="113"/>
        <v>13249600</v>
      </c>
      <c r="G3642" s="7"/>
    </row>
    <row r="3643" spans="1:7" x14ac:dyDescent="0.35">
      <c r="A3643" t="str">
        <f>"2019-08-26"</f>
        <v>2019-08-26</v>
      </c>
      <c r="B3643" t="str">
        <f>"40.4896"</f>
        <v>40.4896</v>
      </c>
      <c r="C3643">
        <v>3641</v>
      </c>
      <c r="D3643" s="7">
        <v>40.489600000000003</v>
      </c>
      <c r="E3643" s="7">
        <f t="shared" si="112"/>
        <v>147422.6336</v>
      </c>
      <c r="F3643" s="7">
        <f t="shared" si="113"/>
        <v>13256881</v>
      </c>
      <c r="G3643" s="7"/>
    </row>
    <row r="3644" spans="1:7" x14ac:dyDescent="0.35">
      <c r="A3644" t="str">
        <f>"2019-08-27"</f>
        <v>2019-08-27</v>
      </c>
      <c r="B3644" t="str">
        <f>"40.032"</f>
        <v>40.032</v>
      </c>
      <c r="C3644">
        <v>3642</v>
      </c>
      <c r="D3644" s="7">
        <v>40.031999999999996</v>
      </c>
      <c r="E3644" s="7">
        <f t="shared" si="112"/>
        <v>145796.54399999999</v>
      </c>
      <c r="F3644" s="7">
        <f t="shared" si="113"/>
        <v>13264164</v>
      </c>
      <c r="G3644" s="7"/>
    </row>
    <row r="3645" spans="1:7" x14ac:dyDescent="0.35">
      <c r="A3645" t="str">
        <f>"2019-08-28"</f>
        <v>2019-08-28</v>
      </c>
      <c r="B3645" t="str">
        <f>"39.3717"</f>
        <v>39.3717</v>
      </c>
      <c r="C3645">
        <v>3643</v>
      </c>
      <c r="D3645" s="7">
        <v>39.371699999999997</v>
      </c>
      <c r="E3645" s="7">
        <f t="shared" si="112"/>
        <v>143431.10309999998</v>
      </c>
      <c r="F3645" s="7">
        <f t="shared" si="113"/>
        <v>13271449</v>
      </c>
      <c r="G3645" s="7"/>
    </row>
    <row r="3646" spans="1:7" x14ac:dyDescent="0.35">
      <c r="A3646" t="str">
        <f>"2019-08-29"</f>
        <v>2019-08-29</v>
      </c>
      <c r="B3646" t="str">
        <f>"39.5441"</f>
        <v>39.5441</v>
      </c>
      <c r="C3646">
        <v>3644</v>
      </c>
      <c r="D3646" s="7">
        <v>39.5441</v>
      </c>
      <c r="E3646" s="7">
        <f t="shared" si="112"/>
        <v>144098.7004</v>
      </c>
      <c r="F3646" s="7">
        <f t="shared" si="113"/>
        <v>13278736</v>
      </c>
      <c r="G3646" s="7"/>
    </row>
    <row r="3647" spans="1:7" x14ac:dyDescent="0.35">
      <c r="A3647" t="str">
        <f>"2019-08-30"</f>
        <v>2019-08-30</v>
      </c>
      <c r="B3647" t="str">
        <f>"39.6672"</f>
        <v>39.6672</v>
      </c>
      <c r="C3647">
        <v>3645</v>
      </c>
      <c r="D3647" s="7">
        <v>39.667200000000001</v>
      </c>
      <c r="E3647" s="7">
        <f t="shared" si="112"/>
        <v>144586.94400000002</v>
      </c>
      <c r="F3647" s="7">
        <f t="shared" si="113"/>
        <v>13286025</v>
      </c>
      <c r="G3647" s="7"/>
    </row>
    <row r="3648" spans="1:7" x14ac:dyDescent="0.35">
      <c r="A3648" t="str">
        <f>"2019-09-03"</f>
        <v>2019-09-03</v>
      </c>
      <c r="B3648" t="str">
        <f>"39.9136"</f>
        <v>39.9136</v>
      </c>
      <c r="C3648">
        <v>3646</v>
      </c>
      <c r="D3648" s="7">
        <v>39.913600000000002</v>
      </c>
      <c r="E3648" s="7">
        <f t="shared" si="112"/>
        <v>145524.98560000001</v>
      </c>
      <c r="F3648" s="7">
        <f t="shared" si="113"/>
        <v>13293316</v>
      </c>
      <c r="G3648" s="7"/>
    </row>
    <row r="3649" spans="1:7" x14ac:dyDescent="0.35">
      <c r="A3649" t="str">
        <f>"2019-09-04"</f>
        <v>2019-09-04</v>
      </c>
      <c r="B3649" t="str">
        <f>"40.2129"</f>
        <v>40.2129</v>
      </c>
      <c r="C3649">
        <v>3647</v>
      </c>
      <c r="D3649" s="7">
        <v>40.212899999999998</v>
      </c>
      <c r="E3649" s="7">
        <f t="shared" si="112"/>
        <v>146656.44629999998</v>
      </c>
      <c r="F3649" s="7">
        <f t="shared" si="113"/>
        <v>13300609</v>
      </c>
      <c r="G3649" s="7"/>
    </row>
    <row r="3650" spans="1:7" x14ac:dyDescent="0.35">
      <c r="A3650" t="str">
        <f>"2019-09-05"</f>
        <v>2019-09-05</v>
      </c>
      <c r="B3650" t="str">
        <f>"43.064"</f>
        <v>43.064</v>
      </c>
      <c r="C3650">
        <v>3648</v>
      </c>
      <c r="D3650" s="7">
        <v>43.064</v>
      </c>
      <c r="E3650" s="7">
        <f t="shared" si="112"/>
        <v>157097.47200000001</v>
      </c>
      <c r="F3650" s="7">
        <f t="shared" si="113"/>
        <v>13307904</v>
      </c>
      <c r="G3650" s="7"/>
    </row>
    <row r="3651" spans="1:7" x14ac:dyDescent="0.35">
      <c r="A3651" t="str">
        <f>"2019-09-06"</f>
        <v>2019-09-06</v>
      </c>
      <c r="B3651" t="str">
        <f>"42.3805"</f>
        <v>42.3805</v>
      </c>
      <c r="C3651">
        <v>3649</v>
      </c>
      <c r="D3651" s="7">
        <v>42.380499999999998</v>
      </c>
      <c r="E3651" s="7">
        <f t="shared" si="112"/>
        <v>154646.44449999998</v>
      </c>
      <c r="F3651" s="7">
        <f t="shared" si="113"/>
        <v>13315201</v>
      </c>
      <c r="G3651" s="7"/>
    </row>
    <row r="3652" spans="1:7" x14ac:dyDescent="0.35">
      <c r="A3652" t="str">
        <f>"2019-09-09"</f>
        <v>2019-09-09</v>
      </c>
      <c r="B3652" t="str">
        <f>"42.9716"</f>
        <v>42.9716</v>
      </c>
      <c r="C3652">
        <v>3650</v>
      </c>
      <c r="D3652" s="7">
        <v>42.971600000000002</v>
      </c>
      <c r="E3652" s="7">
        <f t="shared" ref="E3652:E3715" si="114">C3652*D3652</f>
        <v>156846.34</v>
      </c>
      <c r="F3652" s="7">
        <f t="shared" ref="F3652:F3715" si="115">C3652*C3652</f>
        <v>13322500</v>
      </c>
      <c r="G3652" s="7"/>
    </row>
    <row r="3653" spans="1:7" x14ac:dyDescent="0.35">
      <c r="A3653" t="str">
        <f>"2019-09-10"</f>
        <v>2019-09-10</v>
      </c>
      <c r="B3653" t="str">
        <f>"44.2193"</f>
        <v>44.2193</v>
      </c>
      <c r="C3653">
        <v>3651</v>
      </c>
      <c r="D3653" s="7">
        <v>44.219299999999997</v>
      </c>
      <c r="E3653" s="7">
        <f t="shared" si="114"/>
        <v>161444.66429999997</v>
      </c>
      <c r="F3653" s="7">
        <f t="shared" si="115"/>
        <v>13329801</v>
      </c>
      <c r="G3653" s="7"/>
    </row>
    <row r="3654" spans="1:7" x14ac:dyDescent="0.35">
      <c r="A3654" t="str">
        <f>"2019-09-11"</f>
        <v>2019-09-11</v>
      </c>
      <c r="B3654" t="str">
        <f>"44.0306"</f>
        <v>44.0306</v>
      </c>
      <c r="C3654">
        <v>3652</v>
      </c>
      <c r="D3654" s="7">
        <v>44.0306</v>
      </c>
      <c r="E3654" s="7">
        <f t="shared" si="114"/>
        <v>160799.7512</v>
      </c>
      <c r="F3654" s="7">
        <f t="shared" si="115"/>
        <v>13337104</v>
      </c>
      <c r="G3654" s="7"/>
    </row>
    <row r="3655" spans="1:7" x14ac:dyDescent="0.35">
      <c r="A3655" t="str">
        <f>"2019-09-12"</f>
        <v>2019-09-12</v>
      </c>
      <c r="B3655" t="str">
        <f>"43.3338"</f>
        <v>43.3338</v>
      </c>
      <c r="C3655">
        <v>3653</v>
      </c>
      <c r="D3655" s="7">
        <v>43.333799999999997</v>
      </c>
      <c r="E3655" s="7">
        <f t="shared" si="114"/>
        <v>158298.37139999997</v>
      </c>
      <c r="F3655" s="7">
        <f t="shared" si="115"/>
        <v>13344409</v>
      </c>
      <c r="G3655" s="7"/>
    </row>
    <row r="3656" spans="1:7" x14ac:dyDescent="0.35">
      <c r="A3656" t="str">
        <f>"2019-09-13"</f>
        <v>2019-09-13</v>
      </c>
      <c r="B3656" t="str">
        <f>"45.5177"</f>
        <v>45.5177</v>
      </c>
      <c r="C3656">
        <v>3654</v>
      </c>
      <c r="D3656" s="7">
        <v>45.517699999999998</v>
      </c>
      <c r="E3656" s="7">
        <f t="shared" si="114"/>
        <v>166321.6758</v>
      </c>
      <c r="F3656" s="7">
        <f t="shared" si="115"/>
        <v>13351716</v>
      </c>
      <c r="G3656" s="7"/>
    </row>
    <row r="3657" spans="1:7" x14ac:dyDescent="0.35">
      <c r="A3657" t="str">
        <f>"2019-09-16"</f>
        <v>2019-09-16</v>
      </c>
      <c r="B3657" t="str">
        <f>"42.8107"</f>
        <v>42.8107</v>
      </c>
      <c r="C3657">
        <v>3655</v>
      </c>
      <c r="D3657" s="7">
        <v>42.810699999999997</v>
      </c>
      <c r="E3657" s="7">
        <f t="shared" si="114"/>
        <v>156473.1085</v>
      </c>
      <c r="F3657" s="7">
        <f t="shared" si="115"/>
        <v>13359025</v>
      </c>
      <c r="G3657" s="7"/>
    </row>
    <row r="3658" spans="1:7" x14ac:dyDescent="0.35">
      <c r="A3658" t="str">
        <f>"2019-09-17"</f>
        <v>2019-09-17</v>
      </c>
      <c r="B3658" t="str">
        <f>"42.7471"</f>
        <v>42.7471</v>
      </c>
      <c r="C3658">
        <v>3656</v>
      </c>
      <c r="D3658" s="7">
        <v>42.747100000000003</v>
      </c>
      <c r="E3658" s="7">
        <f t="shared" si="114"/>
        <v>156283.39760000003</v>
      </c>
      <c r="F3658" s="7">
        <f t="shared" si="115"/>
        <v>13366336</v>
      </c>
      <c r="G3658" s="7"/>
    </row>
    <row r="3659" spans="1:7" x14ac:dyDescent="0.35">
      <c r="A3659" t="str">
        <f>"2019-09-18"</f>
        <v>2019-09-18</v>
      </c>
      <c r="B3659" t="str">
        <f>"42.5547"</f>
        <v>42.5547</v>
      </c>
      <c r="C3659">
        <v>3657</v>
      </c>
      <c r="D3659" s="7">
        <v>42.554699999999997</v>
      </c>
      <c r="E3659" s="7">
        <f t="shared" si="114"/>
        <v>155622.5379</v>
      </c>
      <c r="F3659" s="7">
        <f t="shared" si="115"/>
        <v>13373649</v>
      </c>
      <c r="G3659" s="7"/>
    </row>
    <row r="3660" spans="1:7" x14ac:dyDescent="0.35">
      <c r="A3660" t="str">
        <f>"2019-09-19"</f>
        <v>2019-09-19</v>
      </c>
      <c r="B3660" t="str">
        <f>"41.9147"</f>
        <v>41.9147</v>
      </c>
      <c r="C3660">
        <v>3658</v>
      </c>
      <c r="D3660" s="7">
        <v>41.914700000000003</v>
      </c>
      <c r="E3660" s="7">
        <f t="shared" si="114"/>
        <v>153323.97260000001</v>
      </c>
      <c r="F3660" s="7">
        <f t="shared" si="115"/>
        <v>13380964</v>
      </c>
      <c r="G3660" s="7"/>
    </row>
    <row r="3661" spans="1:7" x14ac:dyDescent="0.35">
      <c r="A3661" t="str">
        <f>"2019-09-20"</f>
        <v>2019-09-20</v>
      </c>
      <c r="B3661" t="str">
        <f>"41.1456"</f>
        <v>41.1456</v>
      </c>
      <c r="C3661">
        <v>3659</v>
      </c>
      <c r="D3661" s="7">
        <v>41.145600000000002</v>
      </c>
      <c r="E3661" s="7">
        <f t="shared" si="114"/>
        <v>150551.75040000002</v>
      </c>
      <c r="F3661" s="7">
        <f t="shared" si="115"/>
        <v>13388281</v>
      </c>
      <c r="G3661" s="7"/>
    </row>
    <row r="3662" spans="1:7" x14ac:dyDescent="0.35">
      <c r="A3662" t="str">
        <f>"2019-09-23"</f>
        <v>2019-09-23</v>
      </c>
      <c r="B3662" t="str">
        <f>"40.5368"</f>
        <v>40.5368</v>
      </c>
      <c r="C3662">
        <v>3660</v>
      </c>
      <c r="D3662" s="7">
        <v>40.536799999999999</v>
      </c>
      <c r="E3662" s="7">
        <f t="shared" si="114"/>
        <v>148364.68799999999</v>
      </c>
      <c r="F3662" s="7">
        <f t="shared" si="115"/>
        <v>13395600</v>
      </c>
      <c r="G3662" s="7"/>
    </row>
    <row r="3663" spans="1:7" x14ac:dyDescent="0.35">
      <c r="A3663" t="str">
        <f>"2019-09-24"</f>
        <v>2019-09-24</v>
      </c>
      <c r="B3663" t="str">
        <f>"41.3535"</f>
        <v>41.3535</v>
      </c>
      <c r="C3663">
        <v>3661</v>
      </c>
      <c r="D3663" s="7">
        <v>41.353499999999997</v>
      </c>
      <c r="E3663" s="7">
        <f t="shared" si="114"/>
        <v>151395.1635</v>
      </c>
      <c r="F3663" s="7">
        <f t="shared" si="115"/>
        <v>13402921</v>
      </c>
      <c r="G3663" s="7"/>
    </row>
    <row r="3664" spans="1:7" x14ac:dyDescent="0.35">
      <c r="A3664" t="str">
        <f>"2019-09-25"</f>
        <v>2019-09-25</v>
      </c>
      <c r="B3664" t="str">
        <f>"42.6105"</f>
        <v>42.6105</v>
      </c>
      <c r="C3664">
        <v>3662</v>
      </c>
      <c r="D3664" s="7">
        <v>42.610500000000002</v>
      </c>
      <c r="E3664" s="7">
        <f t="shared" si="114"/>
        <v>156039.65100000001</v>
      </c>
      <c r="F3664" s="7">
        <f t="shared" si="115"/>
        <v>13410244</v>
      </c>
      <c r="G3664" s="7"/>
    </row>
    <row r="3665" spans="1:7" x14ac:dyDescent="0.35">
      <c r="A3665" t="str">
        <f>"2019-09-26"</f>
        <v>2019-09-26</v>
      </c>
      <c r="B3665" t="str">
        <f>"42.1205"</f>
        <v>42.1205</v>
      </c>
      <c r="C3665">
        <v>3663</v>
      </c>
      <c r="D3665" s="7">
        <v>42.1205</v>
      </c>
      <c r="E3665" s="7">
        <f t="shared" si="114"/>
        <v>154287.3915</v>
      </c>
      <c r="F3665" s="7">
        <f t="shared" si="115"/>
        <v>13417569</v>
      </c>
      <c r="G3665" s="7"/>
    </row>
    <row r="3666" spans="1:7" x14ac:dyDescent="0.35">
      <c r="A3666" t="str">
        <f>"2019-09-27"</f>
        <v>2019-09-27</v>
      </c>
      <c r="B3666" t="str">
        <f>"44.3515"</f>
        <v>44.3515</v>
      </c>
      <c r="C3666">
        <v>3664</v>
      </c>
      <c r="D3666" s="7">
        <v>44.351500000000001</v>
      </c>
      <c r="E3666" s="7">
        <f t="shared" si="114"/>
        <v>162503.89600000001</v>
      </c>
      <c r="F3666" s="7">
        <f t="shared" si="115"/>
        <v>13424896</v>
      </c>
      <c r="G3666" s="7"/>
    </row>
    <row r="3667" spans="1:7" x14ac:dyDescent="0.35">
      <c r="A3667" t="str">
        <f>"2019-09-30"</f>
        <v>2019-09-30</v>
      </c>
      <c r="B3667" t="str">
        <f>"46.4279"</f>
        <v>46.4279</v>
      </c>
      <c r="C3667">
        <v>3665</v>
      </c>
      <c r="D3667" s="7">
        <v>46.427900000000001</v>
      </c>
      <c r="E3667" s="7">
        <f t="shared" si="114"/>
        <v>170158.25349999999</v>
      </c>
      <c r="F3667" s="7">
        <f t="shared" si="115"/>
        <v>13432225</v>
      </c>
      <c r="G3667" s="7"/>
    </row>
    <row r="3668" spans="1:7" x14ac:dyDescent="0.35">
      <c r="A3668" t="str">
        <f>"2019-10-01"</f>
        <v>2019-10-01</v>
      </c>
      <c r="B3668" t="str">
        <f>"43.8084"</f>
        <v>43.8084</v>
      </c>
      <c r="C3668">
        <v>3666</v>
      </c>
      <c r="D3668" s="7">
        <v>43.808399999999999</v>
      </c>
      <c r="E3668" s="7">
        <f t="shared" si="114"/>
        <v>160601.5944</v>
      </c>
      <c r="F3668" s="7">
        <f t="shared" si="115"/>
        <v>13439556</v>
      </c>
      <c r="G3668" s="7"/>
    </row>
    <row r="3669" spans="1:7" x14ac:dyDescent="0.35">
      <c r="A3669" t="str">
        <f>"2019-10-02"</f>
        <v>2019-10-02</v>
      </c>
      <c r="B3669" t="str">
        <f>"42.9469"</f>
        <v>42.9469</v>
      </c>
      <c r="C3669">
        <v>3667</v>
      </c>
      <c r="D3669" s="7">
        <v>42.946899999999999</v>
      </c>
      <c r="E3669" s="7">
        <f t="shared" si="114"/>
        <v>157486.28229999999</v>
      </c>
      <c r="F3669" s="7">
        <f t="shared" si="115"/>
        <v>13446889</v>
      </c>
      <c r="G3669" s="7"/>
    </row>
    <row r="3670" spans="1:7" x14ac:dyDescent="0.35">
      <c r="A3670" t="str">
        <f>"2019-10-03"</f>
        <v>2019-10-03</v>
      </c>
      <c r="B3670" t="str">
        <f>"42.5231"</f>
        <v>42.5231</v>
      </c>
      <c r="C3670">
        <v>3668</v>
      </c>
      <c r="D3670" s="7">
        <v>42.523099999999999</v>
      </c>
      <c r="E3670" s="7">
        <f t="shared" si="114"/>
        <v>155974.73079999999</v>
      </c>
      <c r="F3670" s="7">
        <f t="shared" si="115"/>
        <v>13454224</v>
      </c>
      <c r="G3670" s="7"/>
    </row>
    <row r="3671" spans="1:7" x14ac:dyDescent="0.35">
      <c r="A3671" t="str">
        <f>"2019-10-04"</f>
        <v>2019-10-04</v>
      </c>
      <c r="B3671" t="str">
        <f>"43.0457"</f>
        <v>43.0457</v>
      </c>
      <c r="C3671">
        <v>3669</v>
      </c>
      <c r="D3671" s="7">
        <v>43.045699999999997</v>
      </c>
      <c r="E3671" s="7">
        <f t="shared" si="114"/>
        <v>157934.67329999999</v>
      </c>
      <c r="F3671" s="7">
        <f t="shared" si="115"/>
        <v>13461561</v>
      </c>
      <c r="G3671" s="7"/>
    </row>
    <row r="3672" spans="1:7" x14ac:dyDescent="0.35">
      <c r="A3672" t="str">
        <f>"2019-10-07"</f>
        <v>2019-10-07</v>
      </c>
      <c r="B3672" t="str">
        <f>"43.633"</f>
        <v>43.633</v>
      </c>
      <c r="C3672">
        <v>3670</v>
      </c>
      <c r="D3672" s="7">
        <v>43.633000000000003</v>
      </c>
      <c r="E3672" s="7">
        <f t="shared" si="114"/>
        <v>160133.11000000002</v>
      </c>
      <c r="F3672" s="7">
        <f t="shared" si="115"/>
        <v>13468900</v>
      </c>
      <c r="G3672" s="7"/>
    </row>
    <row r="3673" spans="1:7" x14ac:dyDescent="0.35">
      <c r="A3673" t="str">
        <f>"2019-10-08"</f>
        <v>2019-10-08</v>
      </c>
      <c r="B3673" t="str">
        <f>"42.2248"</f>
        <v>42.2248</v>
      </c>
      <c r="C3673">
        <v>3671</v>
      </c>
      <c r="D3673" s="7">
        <v>42.224800000000002</v>
      </c>
      <c r="E3673" s="7">
        <f t="shared" si="114"/>
        <v>155007.2408</v>
      </c>
      <c r="F3673" s="7">
        <f t="shared" si="115"/>
        <v>13476241</v>
      </c>
      <c r="G3673" s="7"/>
    </row>
    <row r="3674" spans="1:7" x14ac:dyDescent="0.35">
      <c r="A3674" t="str">
        <f>"2019-10-09"</f>
        <v>2019-10-09</v>
      </c>
      <c r="B3674" t="str">
        <f>"41.3118"</f>
        <v>41.3118</v>
      </c>
      <c r="C3674">
        <v>3672</v>
      </c>
      <c r="D3674" s="7">
        <v>41.311799999999998</v>
      </c>
      <c r="E3674" s="7">
        <f t="shared" si="114"/>
        <v>151696.9296</v>
      </c>
      <c r="F3674" s="7">
        <f t="shared" si="115"/>
        <v>13483584</v>
      </c>
      <c r="G3674" s="7"/>
    </row>
    <row r="3675" spans="1:7" x14ac:dyDescent="0.35">
      <c r="A3675" t="str">
        <f>"2019-10-10"</f>
        <v>2019-10-10</v>
      </c>
      <c r="B3675" t="str">
        <f>"41.0745"</f>
        <v>41.0745</v>
      </c>
      <c r="C3675">
        <v>3673</v>
      </c>
      <c r="D3675" s="7">
        <v>41.0745</v>
      </c>
      <c r="E3675" s="7">
        <f t="shared" si="114"/>
        <v>150866.6385</v>
      </c>
      <c r="F3675" s="7">
        <f t="shared" si="115"/>
        <v>13490929</v>
      </c>
      <c r="G3675" s="7"/>
    </row>
    <row r="3676" spans="1:7" x14ac:dyDescent="0.35">
      <c r="A3676" t="str">
        <f>"2019-10-11"</f>
        <v>2019-10-11</v>
      </c>
      <c r="B3676" t="str">
        <f>"41.7922"</f>
        <v>41.7922</v>
      </c>
      <c r="C3676">
        <v>3674</v>
      </c>
      <c r="D3676" s="7">
        <v>41.792200000000001</v>
      </c>
      <c r="E3676" s="7">
        <f t="shared" si="114"/>
        <v>153544.5428</v>
      </c>
      <c r="F3676" s="7">
        <f t="shared" si="115"/>
        <v>13498276</v>
      </c>
      <c r="G3676" s="7"/>
    </row>
    <row r="3677" spans="1:7" x14ac:dyDescent="0.35">
      <c r="A3677" t="str">
        <f>"2019-10-14"</f>
        <v>2019-10-14</v>
      </c>
      <c r="B3677" t="str">
        <f>"38.5587"</f>
        <v>38.5587</v>
      </c>
      <c r="C3677">
        <v>3675</v>
      </c>
      <c r="D3677" s="7">
        <v>38.558700000000002</v>
      </c>
      <c r="E3677" s="7">
        <f t="shared" si="114"/>
        <v>141703.2225</v>
      </c>
      <c r="F3677" s="7">
        <f t="shared" si="115"/>
        <v>13505625</v>
      </c>
      <c r="G3677" s="7"/>
    </row>
    <row r="3678" spans="1:7" x14ac:dyDescent="0.35">
      <c r="A3678" t="str">
        <f>"2019-10-15"</f>
        <v>2019-10-15</v>
      </c>
      <c r="B3678" t="str">
        <f>"39.1709"</f>
        <v>39.1709</v>
      </c>
      <c r="C3678">
        <v>3676</v>
      </c>
      <c r="D3678" s="7">
        <v>39.170900000000003</v>
      </c>
      <c r="E3678" s="7">
        <f t="shared" si="114"/>
        <v>143992.22840000002</v>
      </c>
      <c r="F3678" s="7">
        <f t="shared" si="115"/>
        <v>13512976</v>
      </c>
      <c r="G3678" s="7"/>
    </row>
    <row r="3679" spans="1:7" x14ac:dyDescent="0.35">
      <c r="A3679" t="str">
        <f>"2019-10-16"</f>
        <v>2019-10-16</v>
      </c>
      <c r="B3679" t="str">
        <f>"37.7691"</f>
        <v>37.7691</v>
      </c>
      <c r="C3679">
        <v>3677</v>
      </c>
      <c r="D3679" s="7">
        <v>37.769100000000002</v>
      </c>
      <c r="E3679" s="7">
        <f t="shared" si="114"/>
        <v>138876.98070000001</v>
      </c>
      <c r="F3679" s="7">
        <f t="shared" si="115"/>
        <v>13520329</v>
      </c>
      <c r="G3679" s="7"/>
    </row>
    <row r="3680" spans="1:7" x14ac:dyDescent="0.35">
      <c r="A3680" t="str">
        <f>"2019-10-17"</f>
        <v>2019-10-17</v>
      </c>
      <c r="B3680" t="str">
        <f>"39.3184"</f>
        <v>39.3184</v>
      </c>
      <c r="C3680">
        <v>3678</v>
      </c>
      <c r="D3680" s="7">
        <v>39.318399999999997</v>
      </c>
      <c r="E3680" s="7">
        <f t="shared" si="114"/>
        <v>144613.07519999999</v>
      </c>
      <c r="F3680" s="7">
        <f t="shared" si="115"/>
        <v>13527684</v>
      </c>
      <c r="G3680" s="7"/>
    </row>
    <row r="3681" spans="1:7" x14ac:dyDescent="0.35">
      <c r="A3681" t="str">
        <f>"2019-10-18"</f>
        <v>2019-10-18</v>
      </c>
      <c r="B3681" t="str">
        <f>"41.461"</f>
        <v>41.461</v>
      </c>
      <c r="C3681">
        <v>3679</v>
      </c>
      <c r="D3681" s="7">
        <v>41.460999999999999</v>
      </c>
      <c r="E3681" s="7">
        <f t="shared" si="114"/>
        <v>152535.019</v>
      </c>
      <c r="F3681" s="7">
        <f t="shared" si="115"/>
        <v>13535041</v>
      </c>
      <c r="G3681" s="7"/>
    </row>
    <row r="3682" spans="1:7" x14ac:dyDescent="0.35">
      <c r="A3682" t="str">
        <f>"2019-10-21"</f>
        <v>2019-10-21</v>
      </c>
      <c r="B3682" t="str">
        <f>"41.5077"</f>
        <v>41.5077</v>
      </c>
      <c r="C3682">
        <v>3680</v>
      </c>
      <c r="D3682" s="7">
        <v>41.5077</v>
      </c>
      <c r="E3682" s="7">
        <f t="shared" si="114"/>
        <v>152748.33600000001</v>
      </c>
      <c r="F3682" s="7">
        <f t="shared" si="115"/>
        <v>13542400</v>
      </c>
      <c r="G3682" s="7"/>
    </row>
    <row r="3683" spans="1:7" x14ac:dyDescent="0.35">
      <c r="A3683" t="str">
        <f>"2019-10-22"</f>
        <v>2019-10-22</v>
      </c>
      <c r="B3683" t="str">
        <f>"41.4208"</f>
        <v>41.4208</v>
      </c>
      <c r="C3683">
        <v>3681</v>
      </c>
      <c r="D3683" s="7">
        <v>41.4208</v>
      </c>
      <c r="E3683" s="7">
        <f t="shared" si="114"/>
        <v>152469.96479999999</v>
      </c>
      <c r="F3683" s="7">
        <f t="shared" si="115"/>
        <v>13549761</v>
      </c>
      <c r="G3683" s="7"/>
    </row>
    <row r="3684" spans="1:7" x14ac:dyDescent="0.35">
      <c r="A3684" t="str">
        <f>"2019-10-23"</f>
        <v>2019-10-23</v>
      </c>
      <c r="B3684" t="str">
        <f>"42.8351"</f>
        <v>42.8351</v>
      </c>
      <c r="C3684">
        <v>3682</v>
      </c>
      <c r="D3684" s="7">
        <v>42.835099999999997</v>
      </c>
      <c r="E3684" s="7">
        <f t="shared" si="114"/>
        <v>157718.8382</v>
      </c>
      <c r="F3684" s="7">
        <f t="shared" si="115"/>
        <v>13557124</v>
      </c>
      <c r="G3684" s="7"/>
    </row>
    <row r="3685" spans="1:7" x14ac:dyDescent="0.35">
      <c r="A3685" t="str">
        <f>"2019-10-24"</f>
        <v>2019-10-24</v>
      </c>
      <c r="B3685" t="str">
        <f>"42.7986"</f>
        <v>42.7986</v>
      </c>
      <c r="C3685">
        <v>3683</v>
      </c>
      <c r="D3685" s="7">
        <v>42.7986</v>
      </c>
      <c r="E3685" s="7">
        <f t="shared" si="114"/>
        <v>157627.2438</v>
      </c>
      <c r="F3685" s="7">
        <f t="shared" si="115"/>
        <v>13564489</v>
      </c>
      <c r="G3685" s="7"/>
    </row>
    <row r="3686" spans="1:7" x14ac:dyDescent="0.35">
      <c r="A3686" t="str">
        <f>"2019-10-25"</f>
        <v>2019-10-25</v>
      </c>
      <c r="B3686" t="str">
        <f>"42.8442"</f>
        <v>42.8442</v>
      </c>
      <c r="C3686">
        <v>3684</v>
      </c>
      <c r="D3686" s="7">
        <v>42.844200000000001</v>
      </c>
      <c r="E3686" s="7">
        <f t="shared" si="114"/>
        <v>157838.03280000002</v>
      </c>
      <c r="F3686" s="7">
        <f t="shared" si="115"/>
        <v>13571856</v>
      </c>
      <c r="G3686" s="7"/>
    </row>
    <row r="3687" spans="1:7" x14ac:dyDescent="0.35">
      <c r="A3687" t="str">
        <f>"2019-10-28"</f>
        <v>2019-10-28</v>
      </c>
      <c r="B3687" t="str">
        <f>"42.8202"</f>
        <v>42.8202</v>
      </c>
      <c r="C3687">
        <v>3685</v>
      </c>
      <c r="D3687" s="7">
        <v>42.8202</v>
      </c>
      <c r="E3687" s="7">
        <f t="shared" si="114"/>
        <v>157792.43700000001</v>
      </c>
      <c r="F3687" s="7">
        <f t="shared" si="115"/>
        <v>13579225</v>
      </c>
      <c r="G3687" s="7"/>
    </row>
    <row r="3688" spans="1:7" x14ac:dyDescent="0.35">
      <c r="A3688" t="str">
        <f>"2019-10-30"</f>
        <v>2019-10-30</v>
      </c>
      <c r="B3688" t="str">
        <f>"42.1608"</f>
        <v>42.1608</v>
      </c>
      <c r="C3688">
        <v>3686</v>
      </c>
      <c r="D3688" s="7">
        <v>42.160800000000002</v>
      </c>
      <c r="E3688" s="7">
        <f t="shared" si="114"/>
        <v>155404.70879999999</v>
      </c>
      <c r="F3688" s="7">
        <f t="shared" si="115"/>
        <v>13586596</v>
      </c>
      <c r="G3688" s="7"/>
    </row>
    <row r="3689" spans="1:7" x14ac:dyDescent="0.35">
      <c r="A3689" t="str">
        <f>"2019-10-31"</f>
        <v>2019-10-31</v>
      </c>
      <c r="B3689" t="str">
        <f>"41.9455"</f>
        <v>41.9455</v>
      </c>
      <c r="C3689">
        <v>3687</v>
      </c>
      <c r="D3689" s="7">
        <v>41.945500000000003</v>
      </c>
      <c r="E3689" s="7">
        <f t="shared" si="114"/>
        <v>154653.05850000001</v>
      </c>
      <c r="F3689" s="7">
        <f t="shared" si="115"/>
        <v>13593969</v>
      </c>
      <c r="G3689" s="7"/>
    </row>
    <row r="3690" spans="1:7" x14ac:dyDescent="0.35">
      <c r="A3690" t="str">
        <f>"2019-11-01"</f>
        <v>2019-11-01</v>
      </c>
      <c r="B3690" t="str">
        <f>"41.8234"</f>
        <v>41.8234</v>
      </c>
      <c r="C3690">
        <v>3688</v>
      </c>
      <c r="D3690" s="7">
        <v>41.823399999999999</v>
      </c>
      <c r="E3690" s="7">
        <f t="shared" si="114"/>
        <v>154244.6992</v>
      </c>
      <c r="F3690" s="7">
        <f t="shared" si="115"/>
        <v>13601344</v>
      </c>
      <c r="G3690" s="7"/>
    </row>
    <row r="3691" spans="1:7" x14ac:dyDescent="0.35">
      <c r="A3691" t="str">
        <f>"2019-11-04"</f>
        <v>2019-11-04</v>
      </c>
      <c r="B3691" t="str">
        <f>"42.7501"</f>
        <v>42.7501</v>
      </c>
      <c r="C3691">
        <v>3689</v>
      </c>
      <c r="D3691" s="7">
        <v>42.750100000000003</v>
      </c>
      <c r="E3691" s="7">
        <f t="shared" si="114"/>
        <v>157705.1189</v>
      </c>
      <c r="F3691" s="7">
        <f t="shared" si="115"/>
        <v>13608721</v>
      </c>
      <c r="G3691" s="7"/>
    </row>
    <row r="3692" spans="1:7" x14ac:dyDescent="0.35">
      <c r="A3692" t="str">
        <f>"2019-11-05"</f>
        <v>2019-11-05</v>
      </c>
      <c r="B3692" t="str">
        <f>"43.4869"</f>
        <v>43.4869</v>
      </c>
      <c r="C3692">
        <v>3690</v>
      </c>
      <c r="D3692" s="7">
        <v>43.486899999999999</v>
      </c>
      <c r="E3692" s="7">
        <f t="shared" si="114"/>
        <v>160466.66099999999</v>
      </c>
      <c r="F3692" s="7">
        <f t="shared" si="115"/>
        <v>13616100</v>
      </c>
      <c r="G3692" s="7"/>
    </row>
    <row r="3693" spans="1:7" x14ac:dyDescent="0.35">
      <c r="A3693" t="str">
        <f>"2019-11-06"</f>
        <v>2019-11-06</v>
      </c>
      <c r="B3693" t="str">
        <f>"43.3549"</f>
        <v>43.3549</v>
      </c>
      <c r="C3693">
        <v>3691</v>
      </c>
      <c r="D3693" s="7">
        <v>43.354900000000001</v>
      </c>
      <c r="E3693" s="7">
        <f t="shared" si="114"/>
        <v>160022.93590000001</v>
      </c>
      <c r="F3693" s="7">
        <f t="shared" si="115"/>
        <v>13623481</v>
      </c>
      <c r="G3693" s="7"/>
    </row>
    <row r="3694" spans="1:7" x14ac:dyDescent="0.35">
      <c r="A3694" t="str">
        <f>"2019-11-07"</f>
        <v>2019-11-07</v>
      </c>
      <c r="B3694" t="str">
        <f>"46.7314"</f>
        <v>46.7314</v>
      </c>
      <c r="C3694">
        <v>3692</v>
      </c>
      <c r="D3694" s="7">
        <v>46.731400000000001</v>
      </c>
      <c r="E3694" s="7">
        <f t="shared" si="114"/>
        <v>172532.32879999999</v>
      </c>
      <c r="F3694" s="7">
        <f t="shared" si="115"/>
        <v>13630864</v>
      </c>
      <c r="G3694" s="7"/>
    </row>
    <row r="3695" spans="1:7" x14ac:dyDescent="0.35">
      <c r="A3695" t="str">
        <f>"2019-11-08"</f>
        <v>2019-11-08</v>
      </c>
      <c r="B3695" t="str">
        <f>"47.2151"</f>
        <v>47.2151</v>
      </c>
      <c r="C3695">
        <v>3693</v>
      </c>
      <c r="D3695" s="7">
        <v>47.2151</v>
      </c>
      <c r="E3695" s="7">
        <f t="shared" si="114"/>
        <v>174365.36429999999</v>
      </c>
      <c r="F3695" s="7">
        <f t="shared" si="115"/>
        <v>13638249</v>
      </c>
      <c r="G3695" s="7"/>
    </row>
    <row r="3696" spans="1:7" x14ac:dyDescent="0.35">
      <c r="A3696" t="str">
        <f>"2019-11-11"</f>
        <v>2019-11-11</v>
      </c>
      <c r="B3696" t="str">
        <f>"48.0707"</f>
        <v>48.0707</v>
      </c>
      <c r="C3696">
        <v>3694</v>
      </c>
      <c r="D3696" s="7">
        <v>48.070700000000002</v>
      </c>
      <c r="E3696" s="7">
        <f t="shared" si="114"/>
        <v>177573.16580000002</v>
      </c>
      <c r="F3696" s="7">
        <f t="shared" si="115"/>
        <v>13645636</v>
      </c>
      <c r="G3696" s="7"/>
    </row>
    <row r="3697" spans="1:7" x14ac:dyDescent="0.35">
      <c r="A3697" t="str">
        <f>"2019-11-12"</f>
        <v>2019-11-12</v>
      </c>
      <c r="B3697" t="str">
        <f>"49.532"</f>
        <v>49.532</v>
      </c>
      <c r="C3697">
        <v>3695</v>
      </c>
      <c r="D3697" s="7">
        <v>49.531999999999996</v>
      </c>
      <c r="E3697" s="7">
        <f t="shared" si="114"/>
        <v>183020.74</v>
      </c>
      <c r="F3697" s="7">
        <f t="shared" si="115"/>
        <v>13653025</v>
      </c>
      <c r="G3697" s="7"/>
    </row>
    <row r="3698" spans="1:7" x14ac:dyDescent="0.35">
      <c r="A3698" t="str">
        <f>"2019-11-13"</f>
        <v>2019-11-13</v>
      </c>
      <c r="B3698" t="str">
        <f>"50.6565"</f>
        <v>50.6565</v>
      </c>
      <c r="C3698">
        <v>3696</v>
      </c>
      <c r="D3698" s="7">
        <v>50.656500000000001</v>
      </c>
      <c r="E3698" s="7">
        <f t="shared" si="114"/>
        <v>187226.424</v>
      </c>
      <c r="F3698" s="7">
        <f t="shared" si="115"/>
        <v>13660416</v>
      </c>
      <c r="G3698" s="7"/>
    </row>
    <row r="3699" spans="1:7" x14ac:dyDescent="0.35">
      <c r="A3699" t="str">
        <f>"2019-11-14"</f>
        <v>2019-11-14</v>
      </c>
      <c r="B3699" t="str">
        <f>"49.9175"</f>
        <v>49.9175</v>
      </c>
      <c r="C3699">
        <v>3697</v>
      </c>
      <c r="D3699" s="7">
        <v>49.917499999999997</v>
      </c>
      <c r="E3699" s="7">
        <f t="shared" si="114"/>
        <v>184544.9975</v>
      </c>
      <c r="F3699" s="7">
        <f t="shared" si="115"/>
        <v>13667809</v>
      </c>
      <c r="G3699" s="7"/>
    </row>
    <row r="3700" spans="1:7" x14ac:dyDescent="0.35">
      <c r="A3700" t="str">
        <f>"2019-11-15"</f>
        <v>2019-11-15</v>
      </c>
      <c r="B3700" t="str">
        <f>"50.4375"</f>
        <v>50.4375</v>
      </c>
      <c r="C3700">
        <v>3698</v>
      </c>
      <c r="D3700" s="7">
        <v>50.4375</v>
      </c>
      <c r="E3700" s="7">
        <f t="shared" si="114"/>
        <v>186517.875</v>
      </c>
      <c r="F3700" s="7">
        <f t="shared" si="115"/>
        <v>13675204</v>
      </c>
      <c r="G3700" s="7"/>
    </row>
    <row r="3701" spans="1:7" x14ac:dyDescent="0.35">
      <c r="A3701" t="str">
        <f>"2019-11-18"</f>
        <v>2019-11-18</v>
      </c>
      <c r="B3701" t="str">
        <f>"52.3823"</f>
        <v>52.3823</v>
      </c>
      <c r="C3701">
        <v>3699</v>
      </c>
      <c r="D3701" s="7">
        <v>52.382300000000001</v>
      </c>
      <c r="E3701" s="7">
        <f t="shared" si="114"/>
        <v>193762.12770000001</v>
      </c>
      <c r="F3701" s="7">
        <f t="shared" si="115"/>
        <v>13682601</v>
      </c>
      <c r="G3701" s="7"/>
    </row>
    <row r="3702" spans="1:7" x14ac:dyDescent="0.35">
      <c r="A3702" t="str">
        <f>"2019-11-19"</f>
        <v>2019-11-19</v>
      </c>
      <c r="B3702" t="str">
        <f>"52.0981"</f>
        <v>52.0981</v>
      </c>
      <c r="C3702">
        <v>3700</v>
      </c>
      <c r="D3702" s="7">
        <v>52.098100000000002</v>
      </c>
      <c r="E3702" s="7">
        <f t="shared" si="114"/>
        <v>192762.97</v>
      </c>
      <c r="F3702" s="7">
        <f t="shared" si="115"/>
        <v>13690000</v>
      </c>
      <c r="G3702" s="7"/>
    </row>
    <row r="3703" spans="1:7" x14ac:dyDescent="0.35">
      <c r="A3703" t="str">
        <f>"2019-11-20"</f>
        <v>2019-11-20</v>
      </c>
      <c r="B3703" t="str">
        <f>"51.6837"</f>
        <v>51.6837</v>
      </c>
      <c r="C3703">
        <v>3701</v>
      </c>
      <c r="D3703" s="7">
        <v>51.683700000000002</v>
      </c>
      <c r="E3703" s="7">
        <f t="shared" si="114"/>
        <v>191281.3737</v>
      </c>
      <c r="F3703" s="7">
        <f t="shared" si="115"/>
        <v>13697401</v>
      </c>
      <c r="G3703" s="7"/>
    </row>
    <row r="3704" spans="1:7" x14ac:dyDescent="0.35">
      <c r="A3704" t="str">
        <f>"2019-11-21"</f>
        <v>2019-11-21</v>
      </c>
      <c r="B3704" t="str">
        <f>"51.3272"</f>
        <v>51.3272</v>
      </c>
      <c r="C3704">
        <v>3702</v>
      </c>
      <c r="D3704" s="7">
        <v>51.327199999999998</v>
      </c>
      <c r="E3704" s="7">
        <f t="shared" si="114"/>
        <v>190013.29439999998</v>
      </c>
      <c r="F3704" s="7">
        <f t="shared" si="115"/>
        <v>13704804</v>
      </c>
      <c r="G3704" s="7"/>
    </row>
    <row r="3705" spans="1:7" x14ac:dyDescent="0.35">
      <c r="A3705" t="str">
        <f>"2019-11-22"</f>
        <v>2019-11-22</v>
      </c>
      <c r="B3705" t="str">
        <f>"50.8974"</f>
        <v>50.8974</v>
      </c>
      <c r="C3705">
        <v>3703</v>
      </c>
      <c r="D3705" s="7">
        <v>50.897399999999998</v>
      </c>
      <c r="E3705" s="7">
        <f t="shared" si="114"/>
        <v>188473.0722</v>
      </c>
      <c r="F3705" s="7">
        <f t="shared" si="115"/>
        <v>13712209</v>
      </c>
      <c r="G3705" s="7"/>
    </row>
    <row r="3706" spans="1:7" x14ac:dyDescent="0.35">
      <c r="A3706" t="str">
        <f>"2019-11-25"</f>
        <v>2019-11-25</v>
      </c>
      <c r="B3706" t="str">
        <f>"50.2542"</f>
        <v>50.2542</v>
      </c>
      <c r="C3706">
        <v>3704</v>
      </c>
      <c r="D3706" s="7">
        <v>50.254199999999997</v>
      </c>
      <c r="E3706" s="7">
        <f t="shared" si="114"/>
        <v>186141.55679999999</v>
      </c>
      <c r="F3706" s="7">
        <f t="shared" si="115"/>
        <v>13719616</v>
      </c>
      <c r="G3706" s="7"/>
    </row>
    <row r="3707" spans="1:7" x14ac:dyDescent="0.35">
      <c r="A3707" t="str">
        <f>"2019-11-26"</f>
        <v>2019-11-26</v>
      </c>
      <c r="B3707" t="str">
        <f>"50.9502"</f>
        <v>50.9502</v>
      </c>
      <c r="C3707">
        <v>3705</v>
      </c>
      <c r="D3707" s="7">
        <v>50.950200000000002</v>
      </c>
      <c r="E3707" s="7">
        <f t="shared" si="114"/>
        <v>188770.49100000001</v>
      </c>
      <c r="F3707" s="7">
        <f t="shared" si="115"/>
        <v>13727025</v>
      </c>
      <c r="G3707" s="7"/>
    </row>
    <row r="3708" spans="1:7" x14ac:dyDescent="0.35">
      <c r="A3708" t="str">
        <f>"2019-11-27"</f>
        <v>2019-11-27</v>
      </c>
      <c r="B3708" t="str">
        <f>"50.4608"</f>
        <v>50.4608</v>
      </c>
      <c r="C3708">
        <v>3706</v>
      </c>
      <c r="D3708" s="7">
        <v>50.460799999999999</v>
      </c>
      <c r="E3708" s="7">
        <f t="shared" si="114"/>
        <v>187007.7248</v>
      </c>
      <c r="F3708" s="7">
        <f t="shared" si="115"/>
        <v>13734436</v>
      </c>
      <c r="G3708" s="7"/>
    </row>
    <row r="3709" spans="1:7" x14ac:dyDescent="0.35">
      <c r="A3709" t="str">
        <f>"2019-11-29"</f>
        <v>2019-11-29</v>
      </c>
      <c r="B3709" t="str">
        <f>"50.3101"</f>
        <v>50.3101</v>
      </c>
      <c r="C3709">
        <v>3707</v>
      </c>
      <c r="D3709" s="7">
        <v>50.310099999999998</v>
      </c>
      <c r="E3709" s="7">
        <f t="shared" si="114"/>
        <v>186499.54069999998</v>
      </c>
      <c r="F3709" s="7">
        <f t="shared" si="115"/>
        <v>13741849</v>
      </c>
      <c r="G3709" s="7"/>
    </row>
    <row r="3710" spans="1:7" x14ac:dyDescent="0.35">
      <c r="A3710" t="str">
        <f>"2019-12-02"</f>
        <v>2019-12-02</v>
      </c>
      <c r="B3710" t="str">
        <f>"51.44"</f>
        <v>51.44</v>
      </c>
      <c r="C3710">
        <v>3708</v>
      </c>
      <c r="D3710" s="7">
        <v>51.44</v>
      </c>
      <c r="E3710" s="7">
        <f t="shared" si="114"/>
        <v>190739.52</v>
      </c>
      <c r="F3710" s="7">
        <f t="shared" si="115"/>
        <v>13749264</v>
      </c>
      <c r="G3710" s="7"/>
    </row>
    <row r="3711" spans="1:7" x14ac:dyDescent="0.35">
      <c r="A3711" t="str">
        <f>"2019-12-03"</f>
        <v>2019-12-03</v>
      </c>
      <c r="B3711" t="str">
        <f>"49.889"</f>
        <v>49.889</v>
      </c>
      <c r="C3711">
        <v>3709</v>
      </c>
      <c r="D3711" s="7">
        <v>49.889000000000003</v>
      </c>
      <c r="E3711" s="7">
        <f t="shared" si="114"/>
        <v>185038.30100000001</v>
      </c>
      <c r="F3711" s="7">
        <f t="shared" si="115"/>
        <v>13756681</v>
      </c>
      <c r="G3711" s="7"/>
    </row>
    <row r="3712" spans="1:7" x14ac:dyDescent="0.35">
      <c r="A3712" t="str">
        <f>"2019-12-04"</f>
        <v>2019-12-04</v>
      </c>
      <c r="B3712" t="str">
        <f>"50.4891"</f>
        <v>50.4891</v>
      </c>
      <c r="C3712">
        <v>3710</v>
      </c>
      <c r="D3712" s="7">
        <v>50.489100000000001</v>
      </c>
      <c r="E3712" s="7">
        <f t="shared" si="114"/>
        <v>187314.56100000002</v>
      </c>
      <c r="F3712" s="7">
        <f t="shared" si="115"/>
        <v>13764100</v>
      </c>
      <c r="G3712" s="7"/>
    </row>
    <row r="3713" spans="1:7" x14ac:dyDescent="0.35">
      <c r="A3713" t="str">
        <f>"2019-12-05"</f>
        <v>2019-12-05</v>
      </c>
      <c r="B3713" t="str">
        <f>"50.5453"</f>
        <v>50.5453</v>
      </c>
      <c r="C3713">
        <v>3711</v>
      </c>
      <c r="D3713" s="7">
        <v>50.545299999999997</v>
      </c>
      <c r="E3713" s="7">
        <f t="shared" si="114"/>
        <v>187573.60829999999</v>
      </c>
      <c r="F3713" s="7">
        <f t="shared" si="115"/>
        <v>13771521</v>
      </c>
      <c r="G3713" s="7"/>
    </row>
    <row r="3714" spans="1:7" x14ac:dyDescent="0.35">
      <c r="A3714" t="str">
        <f>"2019-12-06"</f>
        <v>2019-12-06</v>
      </c>
      <c r="B3714" t="str">
        <f>"50.8682"</f>
        <v>50.8682</v>
      </c>
      <c r="C3714">
        <v>3712</v>
      </c>
      <c r="D3714" s="7">
        <v>50.868200000000002</v>
      </c>
      <c r="E3714" s="7">
        <f t="shared" si="114"/>
        <v>188822.75839999999</v>
      </c>
      <c r="F3714" s="7">
        <f t="shared" si="115"/>
        <v>13778944</v>
      </c>
      <c r="G3714" s="7"/>
    </row>
    <row r="3715" spans="1:7" x14ac:dyDescent="0.35">
      <c r="A3715" t="str">
        <f>"2019-12-09"</f>
        <v>2019-12-09</v>
      </c>
      <c r="B3715" t="str">
        <f>"50.8257"</f>
        <v>50.8257</v>
      </c>
      <c r="C3715">
        <v>3713</v>
      </c>
      <c r="D3715" s="7">
        <v>50.825699999999998</v>
      </c>
      <c r="E3715" s="7">
        <f t="shared" si="114"/>
        <v>188715.8241</v>
      </c>
      <c r="F3715" s="7">
        <f t="shared" si="115"/>
        <v>13786369</v>
      </c>
      <c r="G3715" s="7"/>
    </row>
    <row r="3716" spans="1:7" x14ac:dyDescent="0.35">
      <c r="A3716" t="str">
        <f>"2019-12-10"</f>
        <v>2019-12-10</v>
      </c>
      <c r="B3716" t="str">
        <f>"50.1416"</f>
        <v>50.1416</v>
      </c>
      <c r="C3716">
        <v>3714</v>
      </c>
      <c r="D3716" s="7">
        <v>50.141599999999997</v>
      </c>
      <c r="E3716" s="7">
        <f t="shared" ref="E3716:E3779" si="116">C3716*D3716</f>
        <v>186225.90239999999</v>
      </c>
      <c r="F3716" s="7">
        <f t="shared" ref="F3716:F3779" si="117">C3716*C3716</f>
        <v>13793796</v>
      </c>
      <c r="G3716" s="7"/>
    </row>
    <row r="3717" spans="1:7" x14ac:dyDescent="0.35">
      <c r="A3717" t="str">
        <f>"2019-12-11"</f>
        <v>2019-12-11</v>
      </c>
      <c r="B3717" t="str">
        <f>"49.6287"</f>
        <v>49.6287</v>
      </c>
      <c r="C3717">
        <v>3715</v>
      </c>
      <c r="D3717" s="7">
        <v>49.628700000000002</v>
      </c>
      <c r="E3717" s="7">
        <f t="shared" si="116"/>
        <v>184370.62050000002</v>
      </c>
      <c r="F3717" s="7">
        <f t="shared" si="117"/>
        <v>13801225</v>
      </c>
      <c r="G3717" s="7"/>
    </row>
    <row r="3718" spans="1:7" x14ac:dyDescent="0.35">
      <c r="A3718" t="str">
        <f>"2019-12-12"</f>
        <v>2019-12-12</v>
      </c>
      <c r="B3718" t="str">
        <f>"51.3363"</f>
        <v>51.3363</v>
      </c>
      <c r="C3718">
        <v>3716</v>
      </c>
      <c r="D3718" s="7">
        <v>51.336300000000001</v>
      </c>
      <c r="E3718" s="7">
        <f t="shared" si="116"/>
        <v>190765.69080000001</v>
      </c>
      <c r="F3718" s="7">
        <f t="shared" si="117"/>
        <v>13808656</v>
      </c>
      <c r="G3718" s="7"/>
    </row>
    <row r="3719" spans="1:7" x14ac:dyDescent="0.35">
      <c r="A3719" t="str">
        <f>"2019-12-13"</f>
        <v>2019-12-13</v>
      </c>
      <c r="B3719" t="str">
        <f>"50.4687"</f>
        <v>50.4687</v>
      </c>
      <c r="C3719">
        <v>3717</v>
      </c>
      <c r="D3719" s="7">
        <v>50.468699999999998</v>
      </c>
      <c r="E3719" s="7">
        <f t="shared" si="116"/>
        <v>187592.15789999999</v>
      </c>
      <c r="F3719" s="7">
        <f t="shared" si="117"/>
        <v>13816089</v>
      </c>
      <c r="G3719" s="7"/>
    </row>
    <row r="3720" spans="1:7" x14ac:dyDescent="0.35">
      <c r="A3720" t="str">
        <f>"2019-12-16"</f>
        <v>2019-12-16</v>
      </c>
      <c r="B3720" t="str">
        <f>"50.8018"</f>
        <v>50.8018</v>
      </c>
      <c r="C3720">
        <v>3718</v>
      </c>
      <c r="D3720" s="7">
        <v>50.8018</v>
      </c>
      <c r="E3720" s="7">
        <f t="shared" si="116"/>
        <v>188881.09239999999</v>
      </c>
      <c r="F3720" s="7">
        <f t="shared" si="117"/>
        <v>13823524</v>
      </c>
      <c r="G3720" s="7"/>
    </row>
    <row r="3721" spans="1:7" x14ac:dyDescent="0.35">
      <c r="A3721" t="str">
        <f>"2019-12-17"</f>
        <v>2019-12-17</v>
      </c>
      <c r="B3721" t="str">
        <f>"50.1349"</f>
        <v>50.1349</v>
      </c>
      <c r="C3721">
        <v>3719</v>
      </c>
      <c r="D3721" s="7">
        <v>50.134900000000002</v>
      </c>
      <c r="E3721" s="7">
        <f t="shared" si="116"/>
        <v>186451.6931</v>
      </c>
      <c r="F3721" s="7">
        <f t="shared" si="117"/>
        <v>13830961</v>
      </c>
      <c r="G3721" s="7"/>
    </row>
    <row r="3722" spans="1:7" x14ac:dyDescent="0.35">
      <c r="A3722" t="str">
        <f>"2019-12-18"</f>
        <v>2019-12-18</v>
      </c>
      <c r="B3722" t="str">
        <f>"49.3125"</f>
        <v>49.3125</v>
      </c>
      <c r="C3722">
        <v>3720</v>
      </c>
      <c r="D3722" s="7">
        <v>49.3125</v>
      </c>
      <c r="E3722" s="7">
        <f t="shared" si="116"/>
        <v>183442.5</v>
      </c>
      <c r="F3722" s="7">
        <f t="shared" si="117"/>
        <v>13838400</v>
      </c>
      <c r="G3722" s="7"/>
    </row>
    <row r="3723" spans="1:7" x14ac:dyDescent="0.35">
      <c r="A3723" t="str">
        <f>"2019-12-19"</f>
        <v>2019-12-19</v>
      </c>
      <c r="B3723" t="str">
        <f>"48.8891"</f>
        <v>48.8891</v>
      </c>
      <c r="C3723">
        <v>3721</v>
      </c>
      <c r="D3723" s="7">
        <v>48.889099999999999</v>
      </c>
      <c r="E3723" s="7">
        <f t="shared" si="116"/>
        <v>181916.34109999999</v>
      </c>
      <c r="F3723" s="7">
        <f t="shared" si="117"/>
        <v>13845841</v>
      </c>
      <c r="G3723" s="7"/>
    </row>
    <row r="3724" spans="1:7" x14ac:dyDescent="0.35">
      <c r="A3724" t="str">
        <f>"2019-12-20"</f>
        <v>2019-12-20</v>
      </c>
      <c r="B3724" t="str">
        <f>"48.8929"</f>
        <v>48.8929</v>
      </c>
      <c r="C3724">
        <v>3722</v>
      </c>
      <c r="D3724" s="7">
        <v>48.892899999999997</v>
      </c>
      <c r="E3724" s="7">
        <f t="shared" si="116"/>
        <v>181979.3738</v>
      </c>
      <c r="F3724" s="7">
        <f t="shared" si="117"/>
        <v>13853284</v>
      </c>
      <c r="G3724" s="7"/>
    </row>
    <row r="3725" spans="1:7" x14ac:dyDescent="0.35">
      <c r="A3725" t="str">
        <f>"2019-12-23"</f>
        <v>2019-12-23</v>
      </c>
      <c r="B3725" t="str">
        <f>"48.6705"</f>
        <v>48.6705</v>
      </c>
      <c r="C3725">
        <v>3723</v>
      </c>
      <c r="D3725" s="7">
        <v>48.670499999999997</v>
      </c>
      <c r="E3725" s="7">
        <f t="shared" si="116"/>
        <v>181200.2715</v>
      </c>
      <c r="F3725" s="7">
        <f t="shared" si="117"/>
        <v>13860729</v>
      </c>
      <c r="G3725" s="7"/>
    </row>
    <row r="3726" spans="1:7" x14ac:dyDescent="0.35">
      <c r="A3726" t="str">
        <f>"2019-12-24"</f>
        <v>2019-12-24</v>
      </c>
      <c r="B3726" t="str">
        <f>"48.8072"</f>
        <v>48.8072</v>
      </c>
      <c r="C3726">
        <v>3724</v>
      </c>
      <c r="D3726" s="7">
        <v>48.807200000000002</v>
      </c>
      <c r="E3726" s="7">
        <f t="shared" si="116"/>
        <v>181758.0128</v>
      </c>
      <c r="F3726" s="7">
        <f t="shared" si="117"/>
        <v>13868176</v>
      </c>
      <c r="G3726" s="7"/>
    </row>
    <row r="3727" spans="1:7" x14ac:dyDescent="0.35">
      <c r="A3727" t="str">
        <f>"2019-12-26"</f>
        <v>2019-12-26</v>
      </c>
      <c r="B3727" t="str">
        <f>"48.4759"</f>
        <v>48.4759</v>
      </c>
      <c r="C3727">
        <v>3725</v>
      </c>
      <c r="D3727" s="7">
        <v>48.475900000000003</v>
      </c>
      <c r="E3727" s="7">
        <f t="shared" si="116"/>
        <v>180572.72750000001</v>
      </c>
      <c r="F3727" s="7">
        <f t="shared" si="117"/>
        <v>13875625</v>
      </c>
      <c r="G3727" s="7"/>
    </row>
    <row r="3728" spans="1:7" x14ac:dyDescent="0.35">
      <c r="A3728" t="str">
        <f>"2019-12-27"</f>
        <v>2019-12-27</v>
      </c>
      <c r="B3728" t="str">
        <f>"48.3507"</f>
        <v>48.3507</v>
      </c>
      <c r="C3728">
        <v>3726</v>
      </c>
      <c r="D3728" s="7">
        <v>48.350700000000003</v>
      </c>
      <c r="E3728" s="7">
        <f t="shared" si="116"/>
        <v>180154.70820000002</v>
      </c>
      <c r="F3728" s="7">
        <f t="shared" si="117"/>
        <v>13883076</v>
      </c>
      <c r="G3728" s="7"/>
    </row>
    <row r="3729" spans="1:7" x14ac:dyDescent="0.35">
      <c r="A3729" t="str">
        <f>"2019-12-30"</f>
        <v>2019-12-30</v>
      </c>
      <c r="B3729" t="str">
        <f>"49.3682"</f>
        <v>49.3682</v>
      </c>
      <c r="C3729">
        <v>3727</v>
      </c>
      <c r="D3729" s="7">
        <v>49.368200000000002</v>
      </c>
      <c r="E3729" s="7">
        <f t="shared" si="116"/>
        <v>183995.28140000001</v>
      </c>
      <c r="F3729" s="7">
        <f t="shared" si="117"/>
        <v>13890529</v>
      </c>
      <c r="G3729" s="7"/>
    </row>
    <row r="3730" spans="1:7" x14ac:dyDescent="0.35">
      <c r="A3730" t="str">
        <f>"2019-12-31"</f>
        <v>2019-12-31</v>
      </c>
      <c r="B3730" t="str">
        <f>"49.7695"</f>
        <v>49.7695</v>
      </c>
      <c r="C3730">
        <v>3728</v>
      </c>
      <c r="D3730" s="7">
        <v>49.769500000000001</v>
      </c>
      <c r="E3730" s="7">
        <f t="shared" si="116"/>
        <v>185540.696</v>
      </c>
      <c r="F3730" s="7">
        <f t="shared" si="117"/>
        <v>13897984</v>
      </c>
      <c r="G3730" s="7"/>
    </row>
    <row r="3731" spans="1:7" x14ac:dyDescent="0.35">
      <c r="A3731" t="str">
        <f>"2020-01-02"</f>
        <v>2020-01-02</v>
      </c>
      <c r="B3731" t="str">
        <f>"50.8834"</f>
        <v>50.8834</v>
      </c>
      <c r="C3731">
        <v>3729</v>
      </c>
      <c r="D3731" s="7">
        <v>50.883400000000002</v>
      </c>
      <c r="E3731" s="7">
        <f t="shared" si="116"/>
        <v>189744.1986</v>
      </c>
      <c r="F3731" s="7">
        <f t="shared" si="117"/>
        <v>13905441</v>
      </c>
      <c r="G3731" s="7"/>
    </row>
    <row r="3732" spans="1:7" x14ac:dyDescent="0.35">
      <c r="A3732" t="str">
        <f>"2020-01-03"</f>
        <v>2020-01-03</v>
      </c>
      <c r="B3732" t="str">
        <f>"48.1053"</f>
        <v>48.1053</v>
      </c>
      <c r="C3732">
        <v>3730</v>
      </c>
      <c r="D3732" s="7">
        <v>48.1053</v>
      </c>
      <c r="E3732" s="7">
        <f t="shared" si="116"/>
        <v>179432.769</v>
      </c>
      <c r="F3732" s="7">
        <f t="shared" si="117"/>
        <v>13912900</v>
      </c>
      <c r="G3732" s="7"/>
    </row>
    <row r="3733" spans="1:7" x14ac:dyDescent="0.35">
      <c r="A3733" t="str">
        <f>"2020-01-06"</f>
        <v>2020-01-06</v>
      </c>
      <c r="B3733" t="str">
        <f>"45.1561"</f>
        <v>45.1561</v>
      </c>
      <c r="C3733">
        <v>3731</v>
      </c>
      <c r="D3733" s="7">
        <v>45.156100000000002</v>
      </c>
      <c r="E3733" s="7">
        <f t="shared" si="116"/>
        <v>168477.40910000002</v>
      </c>
      <c r="F3733" s="7">
        <f t="shared" si="117"/>
        <v>13920361</v>
      </c>
      <c r="G3733" s="7"/>
    </row>
    <row r="3734" spans="1:7" x14ac:dyDescent="0.35">
      <c r="A3734" t="str">
        <f>"2020-01-07"</f>
        <v>2020-01-07</v>
      </c>
      <c r="B3734" t="str">
        <f>"44.8879"</f>
        <v>44.8879</v>
      </c>
      <c r="C3734">
        <v>3732</v>
      </c>
      <c r="D3734" s="7">
        <v>44.887900000000002</v>
      </c>
      <c r="E3734" s="7">
        <f t="shared" si="116"/>
        <v>167521.6428</v>
      </c>
      <c r="F3734" s="7">
        <f t="shared" si="117"/>
        <v>13927824</v>
      </c>
      <c r="G3734" s="7"/>
    </row>
    <row r="3735" spans="1:7" x14ac:dyDescent="0.35">
      <c r="A3735" t="str">
        <f>"2020-01-08"</f>
        <v>2020-01-08</v>
      </c>
      <c r="B3735" t="str">
        <f>"45.1285"</f>
        <v>45.1285</v>
      </c>
      <c r="C3735">
        <v>3733</v>
      </c>
      <c r="D3735" s="7">
        <v>45.128500000000003</v>
      </c>
      <c r="E3735" s="7">
        <f t="shared" si="116"/>
        <v>168464.6905</v>
      </c>
      <c r="F3735" s="7">
        <f t="shared" si="117"/>
        <v>13935289</v>
      </c>
      <c r="G3735" s="7"/>
    </row>
    <row r="3736" spans="1:7" x14ac:dyDescent="0.35">
      <c r="A3736" t="str">
        <f>"2020-01-09"</f>
        <v>2020-01-09</v>
      </c>
      <c r="B3736" t="str">
        <f>"48.3743"</f>
        <v>48.3743</v>
      </c>
      <c r="C3736">
        <v>3734</v>
      </c>
      <c r="D3736" s="7">
        <v>48.374299999999998</v>
      </c>
      <c r="E3736" s="7">
        <f t="shared" si="116"/>
        <v>180629.63619999998</v>
      </c>
      <c r="F3736" s="7">
        <f t="shared" si="117"/>
        <v>13942756</v>
      </c>
      <c r="G3736" s="7"/>
    </row>
    <row r="3737" spans="1:7" x14ac:dyDescent="0.35">
      <c r="A3737" t="str">
        <f>"2020-01-10"</f>
        <v>2020-01-10</v>
      </c>
      <c r="B3737" t="str">
        <f>"48.895"</f>
        <v>48.895</v>
      </c>
      <c r="C3737">
        <v>3735</v>
      </c>
      <c r="D3737" s="7">
        <v>48.895000000000003</v>
      </c>
      <c r="E3737" s="7">
        <f t="shared" si="116"/>
        <v>182622.82500000001</v>
      </c>
      <c r="F3737" s="7">
        <f t="shared" si="117"/>
        <v>13950225</v>
      </c>
      <c r="G3737" s="7"/>
    </row>
    <row r="3738" spans="1:7" x14ac:dyDescent="0.35">
      <c r="A3738" t="str">
        <f>"2020-01-13"</f>
        <v>2020-01-13</v>
      </c>
      <c r="B3738" t="str">
        <f>"50.7032"</f>
        <v>50.7032</v>
      </c>
      <c r="C3738">
        <v>3736</v>
      </c>
      <c r="D3738" s="7">
        <v>50.703200000000002</v>
      </c>
      <c r="E3738" s="7">
        <f t="shared" si="116"/>
        <v>189427.15520000001</v>
      </c>
      <c r="F3738" s="7">
        <f t="shared" si="117"/>
        <v>13957696</v>
      </c>
      <c r="G3738" s="7"/>
    </row>
    <row r="3739" spans="1:7" x14ac:dyDescent="0.35">
      <c r="A3739" t="str">
        <f>"2020-01-14"</f>
        <v>2020-01-14</v>
      </c>
      <c r="B3739" t="str">
        <f>"50.9513"</f>
        <v>50.9513</v>
      </c>
      <c r="C3739">
        <v>3737</v>
      </c>
      <c r="D3739" s="7">
        <v>50.951300000000003</v>
      </c>
      <c r="E3739" s="7">
        <f t="shared" si="116"/>
        <v>190405.00810000001</v>
      </c>
      <c r="F3739" s="7">
        <f t="shared" si="117"/>
        <v>13965169</v>
      </c>
      <c r="G3739" s="7"/>
    </row>
    <row r="3740" spans="1:7" x14ac:dyDescent="0.35">
      <c r="A3740" t="str">
        <f>"2020-01-15"</f>
        <v>2020-01-15</v>
      </c>
      <c r="B3740" t="str">
        <f>"50.1067"</f>
        <v>50.1067</v>
      </c>
      <c r="C3740">
        <v>3738</v>
      </c>
      <c r="D3740" s="7">
        <v>50.106699999999996</v>
      </c>
      <c r="E3740" s="7">
        <f t="shared" si="116"/>
        <v>187298.84459999998</v>
      </c>
      <c r="F3740" s="7">
        <f t="shared" si="117"/>
        <v>13972644</v>
      </c>
      <c r="G3740" s="7"/>
    </row>
    <row r="3741" spans="1:7" x14ac:dyDescent="0.35">
      <c r="A3741" t="str">
        <f>"2020-01-16"</f>
        <v>2020-01-16</v>
      </c>
      <c r="B3741" t="str">
        <f>"51.401"</f>
        <v>51.401</v>
      </c>
      <c r="C3741">
        <v>3739</v>
      </c>
      <c r="D3741" s="7">
        <v>51.401000000000003</v>
      </c>
      <c r="E3741" s="7">
        <f t="shared" si="116"/>
        <v>192188.33900000001</v>
      </c>
      <c r="F3741" s="7">
        <f t="shared" si="117"/>
        <v>13980121</v>
      </c>
      <c r="G3741" s="7"/>
    </row>
    <row r="3742" spans="1:7" x14ac:dyDescent="0.35">
      <c r="A3742" t="str">
        <f>"2020-01-17"</f>
        <v>2020-01-17</v>
      </c>
      <c r="B3742" t="str">
        <f>"51.1864"</f>
        <v>51.1864</v>
      </c>
      <c r="C3742">
        <v>3740</v>
      </c>
      <c r="D3742" s="7">
        <v>51.186399999999999</v>
      </c>
      <c r="E3742" s="7">
        <f t="shared" si="116"/>
        <v>191437.136</v>
      </c>
      <c r="F3742" s="7">
        <f t="shared" si="117"/>
        <v>13987600</v>
      </c>
      <c r="G3742" s="7"/>
    </row>
    <row r="3743" spans="1:7" x14ac:dyDescent="0.35">
      <c r="A3743" t="str">
        <f>"2020-01-21"</f>
        <v>2020-01-21</v>
      </c>
      <c r="B3743" t="str">
        <f>"50.2076"</f>
        <v>50.2076</v>
      </c>
      <c r="C3743">
        <v>3741</v>
      </c>
      <c r="D3743" s="7">
        <v>50.207599999999999</v>
      </c>
      <c r="E3743" s="7">
        <f t="shared" si="116"/>
        <v>187826.63159999999</v>
      </c>
      <c r="F3743" s="7">
        <f t="shared" si="117"/>
        <v>13995081</v>
      </c>
      <c r="G3743" s="7"/>
    </row>
    <row r="3744" spans="1:7" x14ac:dyDescent="0.35">
      <c r="A3744" t="str">
        <f>"2020-01-22"</f>
        <v>2020-01-22</v>
      </c>
      <c r="B3744" t="str">
        <f>"49.7508"</f>
        <v>49.7508</v>
      </c>
      <c r="C3744">
        <v>3742</v>
      </c>
      <c r="D3744" s="7">
        <v>49.750799999999998</v>
      </c>
      <c r="E3744" s="7">
        <f t="shared" si="116"/>
        <v>186167.49359999999</v>
      </c>
      <c r="F3744" s="7">
        <f t="shared" si="117"/>
        <v>14002564</v>
      </c>
      <c r="G3744" s="7"/>
    </row>
    <row r="3745" spans="1:7" x14ac:dyDescent="0.35">
      <c r="A3745" t="str">
        <f>"2020-01-23"</f>
        <v>2020-01-23</v>
      </c>
      <c r="B3745" t="str">
        <f>"47.8882"</f>
        <v>47.8882</v>
      </c>
      <c r="C3745">
        <v>3743</v>
      </c>
      <c r="D3745" s="7">
        <v>47.888199999999998</v>
      </c>
      <c r="E3745" s="7">
        <f t="shared" si="116"/>
        <v>179245.53259999998</v>
      </c>
      <c r="F3745" s="7">
        <f t="shared" si="117"/>
        <v>14010049</v>
      </c>
      <c r="G3745" s="7"/>
    </row>
    <row r="3746" spans="1:7" x14ac:dyDescent="0.35">
      <c r="A3746" t="str">
        <f>"2020-01-24"</f>
        <v>2020-01-24</v>
      </c>
      <c r="B3746" t="str">
        <f>"48.5483"</f>
        <v>48.5483</v>
      </c>
      <c r="C3746">
        <v>3744</v>
      </c>
      <c r="D3746" s="7">
        <v>48.548299999999998</v>
      </c>
      <c r="E3746" s="7">
        <f t="shared" si="116"/>
        <v>181764.8352</v>
      </c>
      <c r="F3746" s="7">
        <f t="shared" si="117"/>
        <v>14017536</v>
      </c>
      <c r="G3746" s="7"/>
    </row>
    <row r="3747" spans="1:7" x14ac:dyDescent="0.35">
      <c r="A3747" t="str">
        <f>"2020-01-27"</f>
        <v>2020-01-27</v>
      </c>
      <c r="B3747" t="str">
        <f>"46.786"</f>
        <v>46.786</v>
      </c>
      <c r="C3747">
        <v>3745</v>
      </c>
      <c r="D3747" s="7">
        <v>46.786000000000001</v>
      </c>
      <c r="E3747" s="7">
        <f t="shared" si="116"/>
        <v>175213.57</v>
      </c>
      <c r="F3747" s="7">
        <f t="shared" si="117"/>
        <v>14025025</v>
      </c>
      <c r="G3747" s="7"/>
    </row>
    <row r="3748" spans="1:7" x14ac:dyDescent="0.35">
      <c r="A3748" t="str">
        <f>"2020-01-28"</f>
        <v>2020-01-28</v>
      </c>
      <c r="B3748" t="str">
        <f>"47.2284"</f>
        <v>47.2284</v>
      </c>
      <c r="C3748">
        <v>3746</v>
      </c>
      <c r="D3748" s="7">
        <v>47.228400000000001</v>
      </c>
      <c r="E3748" s="7">
        <f t="shared" si="116"/>
        <v>176917.5864</v>
      </c>
      <c r="F3748" s="7">
        <f t="shared" si="117"/>
        <v>14032516</v>
      </c>
      <c r="G3748" s="7"/>
    </row>
    <row r="3749" spans="1:7" x14ac:dyDescent="0.35">
      <c r="A3749" t="str">
        <f>"2020-01-29"</f>
        <v>2020-01-29</v>
      </c>
      <c r="B3749" t="str">
        <f>"47.0579"</f>
        <v>47.0579</v>
      </c>
      <c r="C3749">
        <v>3747</v>
      </c>
      <c r="D3749" s="7">
        <v>47.057899999999997</v>
      </c>
      <c r="E3749" s="7">
        <f t="shared" si="116"/>
        <v>176325.95129999999</v>
      </c>
      <c r="F3749" s="7">
        <f t="shared" si="117"/>
        <v>14040009</v>
      </c>
      <c r="G3749" s="7"/>
    </row>
    <row r="3750" spans="1:7" x14ac:dyDescent="0.35">
      <c r="A3750" t="str">
        <f>"2020-01-30"</f>
        <v>2020-01-30</v>
      </c>
      <c r="B3750" t="str">
        <f>"45.4729"</f>
        <v>45.4729</v>
      </c>
      <c r="C3750">
        <v>3748</v>
      </c>
      <c r="D3750" s="7">
        <v>45.472900000000003</v>
      </c>
      <c r="E3750" s="7">
        <f t="shared" si="116"/>
        <v>170432.42920000001</v>
      </c>
      <c r="F3750" s="7">
        <f t="shared" si="117"/>
        <v>14047504</v>
      </c>
      <c r="G3750" s="7"/>
    </row>
    <row r="3751" spans="1:7" x14ac:dyDescent="0.35">
      <c r="A3751" t="str">
        <f>"2020-01-31"</f>
        <v>2020-01-31</v>
      </c>
      <c r="B3751" t="str">
        <f>"45.0609"</f>
        <v>45.0609</v>
      </c>
      <c r="C3751">
        <v>3749</v>
      </c>
      <c r="D3751" s="7">
        <v>45.060899999999997</v>
      </c>
      <c r="E3751" s="7">
        <f t="shared" si="116"/>
        <v>168933.31409999999</v>
      </c>
      <c r="F3751" s="7">
        <f t="shared" si="117"/>
        <v>14055001</v>
      </c>
      <c r="G3751" s="7"/>
    </row>
    <row r="3752" spans="1:7" x14ac:dyDescent="0.35">
      <c r="A3752" t="str">
        <f>"2020-02-03"</f>
        <v>2020-02-03</v>
      </c>
      <c r="B3752" t="str">
        <f>"45.6461"</f>
        <v>45.6461</v>
      </c>
      <c r="C3752">
        <v>3750</v>
      </c>
      <c r="D3752" s="7">
        <v>45.646099999999997</v>
      </c>
      <c r="E3752" s="7">
        <f t="shared" si="116"/>
        <v>171172.875</v>
      </c>
      <c r="F3752" s="7">
        <f t="shared" si="117"/>
        <v>14062500</v>
      </c>
      <c r="G3752" s="7"/>
    </row>
    <row r="3753" spans="1:7" x14ac:dyDescent="0.35">
      <c r="A3753" t="str">
        <f>"2020-02-04"</f>
        <v>2020-02-04</v>
      </c>
      <c r="B3753" t="str">
        <f>"48.0786"</f>
        <v>48.0786</v>
      </c>
      <c r="C3753">
        <v>3751</v>
      </c>
      <c r="D3753" s="7">
        <v>48.078600000000002</v>
      </c>
      <c r="E3753" s="7">
        <f t="shared" si="116"/>
        <v>180342.82860000001</v>
      </c>
      <c r="F3753" s="7">
        <f t="shared" si="117"/>
        <v>14070001</v>
      </c>
      <c r="G3753" s="7"/>
    </row>
    <row r="3754" spans="1:7" x14ac:dyDescent="0.35">
      <c r="A3754" t="str">
        <f>"2020-02-05"</f>
        <v>2020-02-05</v>
      </c>
      <c r="B3754" t="str">
        <f>"48.7991"</f>
        <v>48.7991</v>
      </c>
      <c r="C3754">
        <v>3752</v>
      </c>
      <c r="D3754" s="7">
        <v>48.799100000000003</v>
      </c>
      <c r="E3754" s="7">
        <f t="shared" si="116"/>
        <v>183094.22320000001</v>
      </c>
      <c r="F3754" s="7">
        <f t="shared" si="117"/>
        <v>14077504</v>
      </c>
      <c r="G3754" s="7"/>
    </row>
    <row r="3755" spans="1:7" x14ac:dyDescent="0.35">
      <c r="A3755" t="str">
        <f>"2020-02-06"</f>
        <v>2020-02-06</v>
      </c>
      <c r="B3755" t="str">
        <f>"48.9444"</f>
        <v>48.9444</v>
      </c>
      <c r="C3755">
        <v>3753</v>
      </c>
      <c r="D3755" s="7">
        <v>48.944400000000002</v>
      </c>
      <c r="E3755" s="7">
        <f t="shared" si="116"/>
        <v>183688.33319999999</v>
      </c>
      <c r="F3755" s="7">
        <f t="shared" si="117"/>
        <v>14085009</v>
      </c>
      <c r="G3755" s="7"/>
    </row>
    <row r="3756" spans="1:7" x14ac:dyDescent="0.35">
      <c r="A3756" t="str">
        <f>"2020-02-07"</f>
        <v>2020-02-07</v>
      </c>
      <c r="B3756" t="str">
        <f>"47.8856"</f>
        <v>47.8856</v>
      </c>
      <c r="C3756">
        <v>3754</v>
      </c>
      <c r="D3756" s="7">
        <v>47.885599999999997</v>
      </c>
      <c r="E3756" s="7">
        <f t="shared" si="116"/>
        <v>179762.54239999998</v>
      </c>
      <c r="F3756" s="7">
        <f t="shared" si="117"/>
        <v>14092516</v>
      </c>
      <c r="G3756" s="7"/>
    </row>
    <row r="3757" spans="1:7" x14ac:dyDescent="0.35">
      <c r="A3757" t="str">
        <f>"2020-02-10"</f>
        <v>2020-02-10</v>
      </c>
      <c r="B3757" t="str">
        <f>"46.2546"</f>
        <v>46.2546</v>
      </c>
      <c r="C3757">
        <v>3755</v>
      </c>
      <c r="D3757" s="7">
        <v>46.254600000000003</v>
      </c>
      <c r="E3757" s="7">
        <f t="shared" si="116"/>
        <v>173686.02300000002</v>
      </c>
      <c r="F3757" s="7">
        <f t="shared" si="117"/>
        <v>14100025</v>
      </c>
      <c r="G3757" s="7"/>
    </row>
    <row r="3758" spans="1:7" x14ac:dyDescent="0.35">
      <c r="A3758" t="str">
        <f>"2020-02-11"</f>
        <v>2020-02-11</v>
      </c>
      <c r="B3758" t="str">
        <f>"47.2712"</f>
        <v>47.2712</v>
      </c>
      <c r="C3758">
        <v>3756</v>
      </c>
      <c r="D3758" s="7">
        <v>47.2712</v>
      </c>
      <c r="E3758" s="7">
        <f t="shared" si="116"/>
        <v>177550.62719999999</v>
      </c>
      <c r="F3758" s="7">
        <f t="shared" si="117"/>
        <v>14107536</v>
      </c>
      <c r="G3758" s="7"/>
    </row>
    <row r="3759" spans="1:7" x14ac:dyDescent="0.35">
      <c r="A3759" t="str">
        <f>"2020-02-12"</f>
        <v>2020-02-12</v>
      </c>
      <c r="B3759" t="str">
        <f>"48.8843"</f>
        <v>48.8843</v>
      </c>
      <c r="C3759">
        <v>3757</v>
      </c>
      <c r="D3759" s="7">
        <v>48.884300000000003</v>
      </c>
      <c r="E3759" s="7">
        <f t="shared" si="116"/>
        <v>183658.31510000001</v>
      </c>
      <c r="F3759" s="7">
        <f t="shared" si="117"/>
        <v>14115049</v>
      </c>
      <c r="G3759" s="7"/>
    </row>
    <row r="3760" spans="1:7" x14ac:dyDescent="0.35">
      <c r="A3760" t="str">
        <f>"2020-02-13"</f>
        <v>2020-02-13</v>
      </c>
      <c r="B3760" t="str">
        <f>"49.0392"</f>
        <v>49.0392</v>
      </c>
      <c r="C3760">
        <v>3758</v>
      </c>
      <c r="D3760" s="7">
        <v>49.039200000000001</v>
      </c>
      <c r="E3760" s="7">
        <f t="shared" si="116"/>
        <v>184289.31359999999</v>
      </c>
      <c r="F3760" s="7">
        <f t="shared" si="117"/>
        <v>14122564</v>
      </c>
      <c r="G3760" s="7"/>
    </row>
    <row r="3761" spans="1:7" x14ac:dyDescent="0.35">
      <c r="A3761" t="str">
        <f>"2020-02-14"</f>
        <v>2020-02-14</v>
      </c>
      <c r="B3761" t="str">
        <f>"48.4496"</f>
        <v>48.4496</v>
      </c>
      <c r="C3761">
        <v>3759</v>
      </c>
      <c r="D3761" s="7">
        <v>48.449599999999997</v>
      </c>
      <c r="E3761" s="7">
        <f t="shared" si="116"/>
        <v>182122.04639999999</v>
      </c>
      <c r="F3761" s="7">
        <f t="shared" si="117"/>
        <v>14130081</v>
      </c>
      <c r="G3761" s="7"/>
    </row>
    <row r="3762" spans="1:7" x14ac:dyDescent="0.35">
      <c r="A3762" t="str">
        <f>"2020-02-18"</f>
        <v>2020-02-18</v>
      </c>
      <c r="B3762" t="str">
        <f>"48.2239"</f>
        <v>48.2239</v>
      </c>
      <c r="C3762">
        <v>3760</v>
      </c>
      <c r="D3762" s="7">
        <v>48.2239</v>
      </c>
      <c r="E3762" s="7">
        <f t="shared" si="116"/>
        <v>181321.864</v>
      </c>
      <c r="F3762" s="7">
        <f t="shared" si="117"/>
        <v>14137600</v>
      </c>
      <c r="G3762" s="7"/>
    </row>
    <row r="3763" spans="1:7" x14ac:dyDescent="0.35">
      <c r="A3763" t="str">
        <f>"2020-02-19"</f>
        <v>2020-02-19</v>
      </c>
      <c r="B3763" t="str">
        <f>"47.6386"</f>
        <v>47.6386</v>
      </c>
      <c r="C3763">
        <v>3761</v>
      </c>
      <c r="D3763" s="7">
        <v>47.638599999999997</v>
      </c>
      <c r="E3763" s="7">
        <f t="shared" si="116"/>
        <v>179168.77459999998</v>
      </c>
      <c r="F3763" s="7">
        <f t="shared" si="117"/>
        <v>14145121</v>
      </c>
      <c r="G3763" s="7"/>
    </row>
    <row r="3764" spans="1:7" x14ac:dyDescent="0.35">
      <c r="A3764" t="str">
        <f>"2020-02-20"</f>
        <v>2020-02-20</v>
      </c>
      <c r="B3764" t="str">
        <f>"45.5145"</f>
        <v>45.5145</v>
      </c>
      <c r="C3764">
        <v>3762</v>
      </c>
      <c r="D3764" s="7">
        <v>45.514499999999998</v>
      </c>
      <c r="E3764" s="7">
        <f t="shared" si="116"/>
        <v>171225.549</v>
      </c>
      <c r="F3764" s="7">
        <f t="shared" si="117"/>
        <v>14152644</v>
      </c>
      <c r="G3764" s="7"/>
    </row>
    <row r="3765" spans="1:7" x14ac:dyDescent="0.35">
      <c r="A3765" t="str">
        <f>"2020-02-21"</f>
        <v>2020-02-21</v>
      </c>
      <c r="B3765" t="str">
        <f>"44.9073"</f>
        <v>44.9073</v>
      </c>
      <c r="C3765">
        <v>3763</v>
      </c>
      <c r="D3765" s="7">
        <v>44.907299999999999</v>
      </c>
      <c r="E3765" s="7">
        <f t="shared" si="116"/>
        <v>168986.16990000001</v>
      </c>
      <c r="F3765" s="7">
        <f t="shared" si="117"/>
        <v>14160169</v>
      </c>
      <c r="G3765" s="7"/>
    </row>
    <row r="3766" spans="1:7" x14ac:dyDescent="0.35">
      <c r="A3766" t="str">
        <f>"2020-02-24"</f>
        <v>2020-02-24</v>
      </c>
      <c r="B3766" t="str">
        <f>"42.1938"</f>
        <v>42.1938</v>
      </c>
      <c r="C3766">
        <v>3764</v>
      </c>
      <c r="D3766" s="7">
        <v>42.193800000000003</v>
      </c>
      <c r="E3766" s="7">
        <f t="shared" si="116"/>
        <v>158817.4632</v>
      </c>
      <c r="F3766" s="7">
        <f t="shared" si="117"/>
        <v>14167696</v>
      </c>
      <c r="G3766" s="7"/>
    </row>
    <row r="3767" spans="1:7" x14ac:dyDescent="0.35">
      <c r="A3767" t="str">
        <f>"2020-02-25"</f>
        <v>2020-02-25</v>
      </c>
      <c r="B3767" t="str">
        <f>"41.6932"</f>
        <v>41.6932</v>
      </c>
      <c r="C3767">
        <v>3765</v>
      </c>
      <c r="D3767" s="7">
        <v>41.693199999999997</v>
      </c>
      <c r="E3767" s="7">
        <f t="shared" si="116"/>
        <v>156974.89799999999</v>
      </c>
      <c r="F3767" s="7">
        <f t="shared" si="117"/>
        <v>14175225</v>
      </c>
      <c r="G3767" s="7"/>
    </row>
    <row r="3768" spans="1:7" x14ac:dyDescent="0.35">
      <c r="A3768" t="str">
        <f>"2020-02-26"</f>
        <v>2020-02-26</v>
      </c>
      <c r="B3768" t="str">
        <f>"40.8787"</f>
        <v>40.8787</v>
      </c>
      <c r="C3768">
        <v>3766</v>
      </c>
      <c r="D3768" s="7">
        <v>40.878700000000002</v>
      </c>
      <c r="E3768" s="7">
        <f t="shared" si="116"/>
        <v>153949.18420000002</v>
      </c>
      <c r="F3768" s="7">
        <f t="shared" si="117"/>
        <v>14182756</v>
      </c>
      <c r="G3768" s="7"/>
    </row>
    <row r="3769" spans="1:7" x14ac:dyDescent="0.35">
      <c r="A3769" t="str">
        <f>"2020-02-27"</f>
        <v>2020-02-27</v>
      </c>
      <c r="B3769" t="str">
        <f>"37.7765"</f>
        <v>37.7765</v>
      </c>
      <c r="C3769">
        <v>3767</v>
      </c>
      <c r="D3769" s="7">
        <v>37.776499999999999</v>
      </c>
      <c r="E3769" s="7">
        <f t="shared" si="116"/>
        <v>142304.07550000001</v>
      </c>
      <c r="F3769" s="7">
        <f t="shared" si="117"/>
        <v>14190289</v>
      </c>
      <c r="G3769" s="7"/>
    </row>
    <row r="3770" spans="1:7" x14ac:dyDescent="0.35">
      <c r="A3770" t="str">
        <f>"2020-02-28"</f>
        <v>2020-02-28</v>
      </c>
      <c r="B3770" t="str">
        <f>"37.806"</f>
        <v>37.806</v>
      </c>
      <c r="C3770">
        <v>3768</v>
      </c>
      <c r="D3770" s="7">
        <v>37.805999999999997</v>
      </c>
      <c r="E3770" s="7">
        <f t="shared" si="116"/>
        <v>142453.008</v>
      </c>
      <c r="F3770" s="7">
        <f t="shared" si="117"/>
        <v>14197824</v>
      </c>
      <c r="G3770" s="7"/>
    </row>
    <row r="3771" spans="1:7" x14ac:dyDescent="0.35">
      <c r="A3771" t="str">
        <f>"2020-03-02"</f>
        <v>2020-03-02</v>
      </c>
      <c r="B3771" t="str">
        <f>"37.0402"</f>
        <v>37.0402</v>
      </c>
      <c r="C3771">
        <v>3769</v>
      </c>
      <c r="D3771" s="7">
        <v>37.040199999999999</v>
      </c>
      <c r="E3771" s="7">
        <f t="shared" si="116"/>
        <v>139604.51379999999</v>
      </c>
      <c r="F3771" s="7">
        <f t="shared" si="117"/>
        <v>14205361</v>
      </c>
      <c r="G3771" s="7"/>
    </row>
    <row r="3772" spans="1:7" x14ac:dyDescent="0.35">
      <c r="A3772" t="str">
        <f>"2020-03-03"</f>
        <v>2020-03-03</v>
      </c>
      <c r="B3772" t="str">
        <f>"37.0766"</f>
        <v>37.0766</v>
      </c>
      <c r="C3772">
        <v>3770</v>
      </c>
      <c r="D3772" s="7">
        <v>37.076599999999999</v>
      </c>
      <c r="E3772" s="7">
        <f t="shared" si="116"/>
        <v>139778.78200000001</v>
      </c>
      <c r="F3772" s="7">
        <f t="shared" si="117"/>
        <v>14212900</v>
      </c>
      <c r="G3772" s="7"/>
    </row>
    <row r="3773" spans="1:7" x14ac:dyDescent="0.35">
      <c r="A3773" t="str">
        <f>"2020-03-04"</f>
        <v>2020-03-04</v>
      </c>
      <c r="B3773" t="str">
        <f>"36.4657"</f>
        <v>36.4657</v>
      </c>
      <c r="C3773">
        <v>3771</v>
      </c>
      <c r="D3773" s="7">
        <v>36.465699999999998</v>
      </c>
      <c r="E3773" s="7">
        <f t="shared" si="116"/>
        <v>137512.15469999998</v>
      </c>
      <c r="F3773" s="7">
        <f t="shared" si="117"/>
        <v>14220441</v>
      </c>
      <c r="G3773" s="7"/>
    </row>
    <row r="3774" spans="1:7" x14ac:dyDescent="0.35">
      <c r="A3774" t="str">
        <f>"2020-03-05"</f>
        <v>2020-03-05</v>
      </c>
      <c r="B3774" t="str">
        <f>"35.9499"</f>
        <v>35.9499</v>
      </c>
      <c r="C3774">
        <v>3772</v>
      </c>
      <c r="D3774" s="7">
        <v>35.9499</v>
      </c>
      <c r="E3774" s="7">
        <f t="shared" si="116"/>
        <v>135603.02280000001</v>
      </c>
      <c r="F3774" s="7">
        <f t="shared" si="117"/>
        <v>14227984</v>
      </c>
      <c r="G3774" s="7"/>
    </row>
    <row r="3775" spans="1:7" x14ac:dyDescent="0.35">
      <c r="A3775" t="str">
        <f>"2020-03-06"</f>
        <v>2020-03-06</v>
      </c>
      <c r="B3775" t="str">
        <f>"33.9524"</f>
        <v>33.9524</v>
      </c>
      <c r="C3775">
        <v>3773</v>
      </c>
      <c r="D3775" s="7">
        <v>33.952399999999997</v>
      </c>
      <c r="E3775" s="7">
        <f t="shared" si="116"/>
        <v>128102.40519999999</v>
      </c>
      <c r="F3775" s="7">
        <f t="shared" si="117"/>
        <v>14235529</v>
      </c>
      <c r="G3775" s="7"/>
    </row>
    <row r="3776" spans="1:7" x14ac:dyDescent="0.35">
      <c r="A3776" t="str">
        <f>"2020-03-09"</f>
        <v>2020-03-09</v>
      </c>
      <c r="B3776" t="str">
        <f>"31.4988"</f>
        <v>31.4988</v>
      </c>
      <c r="C3776">
        <v>3774</v>
      </c>
      <c r="D3776" s="7">
        <v>31.498799999999999</v>
      </c>
      <c r="E3776" s="7">
        <f t="shared" si="116"/>
        <v>118876.4712</v>
      </c>
      <c r="F3776" s="7">
        <f t="shared" si="117"/>
        <v>14243076</v>
      </c>
      <c r="G3776" s="7"/>
    </row>
    <row r="3777" spans="1:7" x14ac:dyDescent="0.35">
      <c r="A3777" t="str">
        <f>"2020-03-10"</f>
        <v>2020-03-10</v>
      </c>
      <c r="B3777" t="str">
        <f>"30.3553"</f>
        <v>30.3553</v>
      </c>
      <c r="C3777">
        <v>3775</v>
      </c>
      <c r="D3777" s="7">
        <v>30.3553</v>
      </c>
      <c r="E3777" s="7">
        <f t="shared" si="116"/>
        <v>114591.25749999999</v>
      </c>
      <c r="F3777" s="7">
        <f t="shared" si="117"/>
        <v>14250625</v>
      </c>
      <c r="G3777" s="7"/>
    </row>
    <row r="3778" spans="1:7" x14ac:dyDescent="0.35">
      <c r="A3778" t="str">
        <f>"2020-03-11"</f>
        <v>2020-03-11</v>
      </c>
      <c r="B3778" t="str">
        <f>"30.6169"</f>
        <v>30.6169</v>
      </c>
      <c r="C3778">
        <v>3776</v>
      </c>
      <c r="D3778" s="7">
        <v>30.616900000000001</v>
      </c>
      <c r="E3778" s="7">
        <f t="shared" si="116"/>
        <v>115609.41440000001</v>
      </c>
      <c r="F3778" s="7">
        <f t="shared" si="117"/>
        <v>14258176</v>
      </c>
      <c r="G3778" s="7"/>
    </row>
    <row r="3779" spans="1:7" x14ac:dyDescent="0.35">
      <c r="A3779" t="str">
        <f>"2020-03-12"</f>
        <v>2020-03-12</v>
      </c>
      <c r="B3779" t="str">
        <f>"26.7196"</f>
        <v>26.7196</v>
      </c>
      <c r="C3779">
        <v>3777</v>
      </c>
      <c r="D3779" s="7">
        <v>26.7196</v>
      </c>
      <c r="E3779" s="7">
        <f t="shared" si="116"/>
        <v>100919.9292</v>
      </c>
      <c r="F3779" s="7">
        <f t="shared" si="117"/>
        <v>14265729</v>
      </c>
      <c r="G3779" s="7"/>
    </row>
    <row r="3780" spans="1:7" x14ac:dyDescent="0.35">
      <c r="A3780" t="str">
        <f>"2020-03-13"</f>
        <v>2020-03-13</v>
      </c>
      <c r="B3780" t="str">
        <f>"29.5653"</f>
        <v>29.5653</v>
      </c>
      <c r="C3780">
        <v>3778</v>
      </c>
      <c r="D3780" s="7">
        <v>29.565300000000001</v>
      </c>
      <c r="E3780" s="7">
        <f t="shared" ref="E3780:E3843" si="118">C3780*D3780</f>
        <v>111697.7034</v>
      </c>
      <c r="F3780" s="7">
        <f t="shared" ref="F3780:F3843" si="119">C3780*C3780</f>
        <v>14273284</v>
      </c>
      <c r="G3780" s="7"/>
    </row>
    <row r="3781" spans="1:7" x14ac:dyDescent="0.35">
      <c r="A3781" t="str">
        <f>"2020-03-16"</f>
        <v>2020-03-16</v>
      </c>
      <c r="B3781" t="str">
        <f>"27.4196"</f>
        <v>27.4196</v>
      </c>
      <c r="C3781">
        <v>3779</v>
      </c>
      <c r="D3781" s="7">
        <v>27.419599999999999</v>
      </c>
      <c r="E3781" s="7">
        <f t="shared" si="118"/>
        <v>103618.6684</v>
      </c>
      <c r="F3781" s="7">
        <f t="shared" si="119"/>
        <v>14280841</v>
      </c>
      <c r="G3781" s="7"/>
    </row>
    <row r="3782" spans="1:7" x14ac:dyDescent="0.35">
      <c r="A3782" t="str">
        <f>"2020-03-17"</f>
        <v>2020-03-17</v>
      </c>
      <c r="B3782" t="str">
        <f>"25.1263"</f>
        <v>25.1263</v>
      </c>
      <c r="C3782">
        <v>3780</v>
      </c>
      <c r="D3782" s="7">
        <v>25.126300000000001</v>
      </c>
      <c r="E3782" s="7">
        <f t="shared" si="118"/>
        <v>94977.414000000004</v>
      </c>
      <c r="F3782" s="7">
        <f t="shared" si="119"/>
        <v>14288400</v>
      </c>
      <c r="G3782" s="7"/>
    </row>
    <row r="3783" spans="1:7" x14ac:dyDescent="0.35">
      <c r="A3783" t="str">
        <f>"2020-03-18"</f>
        <v>2020-03-18</v>
      </c>
      <c r="B3783" t="str">
        <f>"26.1217"</f>
        <v>26.1217</v>
      </c>
      <c r="C3783">
        <v>3781</v>
      </c>
      <c r="D3783" s="7">
        <v>26.121700000000001</v>
      </c>
      <c r="E3783" s="7">
        <f t="shared" si="118"/>
        <v>98766.147700000001</v>
      </c>
      <c r="F3783" s="7">
        <f t="shared" si="119"/>
        <v>14295961</v>
      </c>
      <c r="G3783" s="7"/>
    </row>
    <row r="3784" spans="1:7" x14ac:dyDescent="0.35">
      <c r="A3784" t="str">
        <f>"2020-03-19"</f>
        <v>2020-03-19</v>
      </c>
      <c r="B3784" t="str">
        <f>"25.7751"</f>
        <v>25.7751</v>
      </c>
      <c r="C3784">
        <v>3782</v>
      </c>
      <c r="D3784" s="7">
        <v>25.775099999999998</v>
      </c>
      <c r="E3784" s="7">
        <f t="shared" si="118"/>
        <v>97481.428199999995</v>
      </c>
      <c r="F3784" s="7">
        <f t="shared" si="119"/>
        <v>14303524</v>
      </c>
      <c r="G3784" s="7"/>
    </row>
    <row r="3785" spans="1:7" x14ac:dyDescent="0.35">
      <c r="A3785" t="str">
        <f>"2020-03-20"</f>
        <v>2020-03-20</v>
      </c>
      <c r="B3785" t="str">
        <f>"25.5689"</f>
        <v>25.5689</v>
      </c>
      <c r="C3785">
        <v>3783</v>
      </c>
      <c r="D3785" s="7">
        <v>25.568899999999999</v>
      </c>
      <c r="E3785" s="7">
        <f t="shared" si="118"/>
        <v>96727.148699999991</v>
      </c>
      <c r="F3785" s="7">
        <f t="shared" si="119"/>
        <v>14311089</v>
      </c>
      <c r="G3785" s="7"/>
    </row>
    <row r="3786" spans="1:7" x14ac:dyDescent="0.35">
      <c r="A3786" t="str">
        <f>"2020-03-23"</f>
        <v>2020-03-23</v>
      </c>
      <c r="B3786" t="str">
        <f>"23.4295"</f>
        <v>23.4295</v>
      </c>
      <c r="C3786">
        <v>3784</v>
      </c>
      <c r="D3786" s="7">
        <v>23.429500000000001</v>
      </c>
      <c r="E3786" s="7">
        <f t="shared" si="118"/>
        <v>88657.228000000003</v>
      </c>
      <c r="F3786" s="7">
        <f t="shared" si="119"/>
        <v>14318656</v>
      </c>
      <c r="G3786" s="7"/>
    </row>
    <row r="3787" spans="1:7" x14ac:dyDescent="0.35">
      <c r="A3787" t="str">
        <f>"2020-03-24"</f>
        <v>2020-03-24</v>
      </c>
      <c r="B3787" t="str">
        <f>"23.7809"</f>
        <v>23.7809</v>
      </c>
      <c r="C3787">
        <v>3785</v>
      </c>
      <c r="D3787" s="7">
        <v>23.780899999999999</v>
      </c>
      <c r="E3787" s="7">
        <f t="shared" si="118"/>
        <v>90010.7065</v>
      </c>
      <c r="F3787" s="7">
        <f t="shared" si="119"/>
        <v>14326225</v>
      </c>
      <c r="G3787" s="7"/>
    </row>
    <row r="3788" spans="1:7" x14ac:dyDescent="0.35">
      <c r="A3788" t="str">
        <f>"2020-03-25"</f>
        <v>2020-03-25</v>
      </c>
      <c r="B3788" t="str">
        <f>"25.8752"</f>
        <v>25.8752</v>
      </c>
      <c r="C3788">
        <v>3786</v>
      </c>
      <c r="D3788" s="7">
        <v>25.8752</v>
      </c>
      <c r="E3788" s="7">
        <f t="shared" si="118"/>
        <v>97963.507199999993</v>
      </c>
      <c r="F3788" s="7">
        <f t="shared" si="119"/>
        <v>14333796</v>
      </c>
      <c r="G3788" s="7"/>
    </row>
    <row r="3789" spans="1:7" x14ac:dyDescent="0.35">
      <c r="A3789" t="str">
        <f>"2020-03-26"</f>
        <v>2020-03-26</v>
      </c>
      <c r="B3789" t="str">
        <f>"27.1938"</f>
        <v>27.1938</v>
      </c>
      <c r="C3789">
        <v>3787</v>
      </c>
      <c r="D3789" s="7">
        <v>27.1938</v>
      </c>
      <c r="E3789" s="7">
        <f t="shared" si="118"/>
        <v>102982.9206</v>
      </c>
      <c r="F3789" s="7">
        <f t="shared" si="119"/>
        <v>14341369</v>
      </c>
      <c r="G3789" s="7"/>
    </row>
    <row r="3790" spans="1:7" x14ac:dyDescent="0.35">
      <c r="A3790" t="str">
        <f>"2020-03-27"</f>
        <v>2020-03-27</v>
      </c>
      <c r="B3790" t="str">
        <f>"26.5764"</f>
        <v>26.5764</v>
      </c>
      <c r="C3790">
        <v>3788</v>
      </c>
      <c r="D3790" s="7">
        <v>26.5764</v>
      </c>
      <c r="E3790" s="7">
        <f t="shared" si="118"/>
        <v>100671.4032</v>
      </c>
      <c r="F3790" s="7">
        <f t="shared" si="119"/>
        <v>14348944</v>
      </c>
      <c r="G3790" s="7"/>
    </row>
    <row r="3791" spans="1:7" x14ac:dyDescent="0.35">
      <c r="A3791" t="str">
        <f>"2020-03-30"</f>
        <v>2020-03-30</v>
      </c>
      <c r="B3791" t="str">
        <f>"25.7964"</f>
        <v>25.7964</v>
      </c>
      <c r="C3791">
        <v>3789</v>
      </c>
      <c r="D3791" s="7">
        <v>25.796399999999998</v>
      </c>
      <c r="E3791" s="7">
        <f t="shared" si="118"/>
        <v>97742.559599999993</v>
      </c>
      <c r="F3791" s="7">
        <f t="shared" si="119"/>
        <v>14356521</v>
      </c>
      <c r="G3791" s="7"/>
    </row>
    <row r="3792" spans="1:7" x14ac:dyDescent="0.35">
      <c r="A3792" t="str">
        <f>"2020-03-31"</f>
        <v>2020-03-31</v>
      </c>
      <c r="B3792" t="str">
        <f>"27.0788"</f>
        <v>27.0788</v>
      </c>
      <c r="C3792">
        <v>3790</v>
      </c>
      <c r="D3792" s="7">
        <v>27.078800000000001</v>
      </c>
      <c r="E3792" s="7">
        <f t="shared" si="118"/>
        <v>102628.652</v>
      </c>
      <c r="F3792" s="7">
        <f t="shared" si="119"/>
        <v>14364100</v>
      </c>
      <c r="G3792" s="7"/>
    </row>
    <row r="3793" spans="1:7" x14ac:dyDescent="0.35">
      <c r="A3793" t="str">
        <f>"2020-04-01"</f>
        <v>2020-04-01</v>
      </c>
      <c r="B3793" t="str">
        <f>"26.7624"</f>
        <v>26.7624</v>
      </c>
      <c r="C3793">
        <v>3791</v>
      </c>
      <c r="D3793" s="7">
        <v>26.7624</v>
      </c>
      <c r="E3793" s="7">
        <f t="shared" si="118"/>
        <v>101456.25839999999</v>
      </c>
      <c r="F3793" s="7">
        <f t="shared" si="119"/>
        <v>14371681</v>
      </c>
      <c r="G3793" s="7"/>
    </row>
    <row r="3794" spans="1:7" x14ac:dyDescent="0.35">
      <c r="A3794" t="str">
        <f>"2020-04-02"</f>
        <v>2020-04-02</v>
      </c>
      <c r="B3794" t="str">
        <f>"25.6152"</f>
        <v>25.6152</v>
      </c>
      <c r="C3794">
        <v>3792</v>
      </c>
      <c r="D3794" s="7">
        <v>25.615200000000002</v>
      </c>
      <c r="E3794" s="7">
        <f t="shared" si="118"/>
        <v>97132.838400000008</v>
      </c>
      <c r="F3794" s="7">
        <f t="shared" si="119"/>
        <v>14379264</v>
      </c>
      <c r="G3794" s="7"/>
    </row>
    <row r="3795" spans="1:7" x14ac:dyDescent="0.35">
      <c r="A3795" t="str">
        <f>"2020-04-03"</f>
        <v>2020-04-03</v>
      </c>
      <c r="B3795" t="str">
        <f>"25.6345"</f>
        <v>25.6345</v>
      </c>
      <c r="C3795">
        <v>3793</v>
      </c>
      <c r="D3795" s="7">
        <v>25.634499999999999</v>
      </c>
      <c r="E3795" s="7">
        <f t="shared" si="118"/>
        <v>97231.65849999999</v>
      </c>
      <c r="F3795" s="7">
        <f t="shared" si="119"/>
        <v>14386849</v>
      </c>
      <c r="G3795" s="7"/>
    </row>
    <row r="3796" spans="1:7" x14ac:dyDescent="0.35">
      <c r="A3796" t="str">
        <f>"2020-04-06"</f>
        <v>2020-04-06</v>
      </c>
      <c r="B3796" t="str">
        <f>"25.234"</f>
        <v>25.234</v>
      </c>
      <c r="C3796">
        <v>3794</v>
      </c>
      <c r="D3796" s="7">
        <v>25.234000000000002</v>
      </c>
      <c r="E3796" s="7">
        <f t="shared" si="118"/>
        <v>95737.796000000002</v>
      </c>
      <c r="F3796" s="7">
        <f t="shared" si="119"/>
        <v>14394436</v>
      </c>
      <c r="G3796" s="7"/>
    </row>
    <row r="3797" spans="1:7" x14ac:dyDescent="0.35">
      <c r="A3797" t="str">
        <f>"2020-04-07"</f>
        <v>2020-04-07</v>
      </c>
      <c r="B3797" t="str">
        <f>"26.3165"</f>
        <v>26.3165</v>
      </c>
      <c r="C3797">
        <v>3795</v>
      </c>
      <c r="D3797" s="7">
        <v>26.316500000000001</v>
      </c>
      <c r="E3797" s="7">
        <f t="shared" si="118"/>
        <v>99871.117500000008</v>
      </c>
      <c r="F3797" s="7">
        <f t="shared" si="119"/>
        <v>14402025</v>
      </c>
      <c r="G3797" s="7"/>
    </row>
    <row r="3798" spans="1:7" x14ac:dyDescent="0.35">
      <c r="A3798" t="str">
        <f>"2020-04-08"</f>
        <v>2020-04-08</v>
      </c>
      <c r="B3798" t="str">
        <f>"26.4211"</f>
        <v>26.4211</v>
      </c>
      <c r="C3798">
        <v>3796</v>
      </c>
      <c r="D3798" s="7">
        <v>26.421099999999999</v>
      </c>
      <c r="E3798" s="7">
        <f t="shared" si="118"/>
        <v>100294.49559999999</v>
      </c>
      <c r="F3798" s="7">
        <f t="shared" si="119"/>
        <v>14409616</v>
      </c>
      <c r="G3798" s="7"/>
    </row>
    <row r="3799" spans="1:7" x14ac:dyDescent="0.35">
      <c r="A3799" t="str">
        <f>"2020-04-09"</f>
        <v>2020-04-09</v>
      </c>
      <c r="B3799" t="str">
        <f>"25.7893"</f>
        <v>25.7893</v>
      </c>
      <c r="C3799">
        <v>3797</v>
      </c>
      <c r="D3799" s="7">
        <v>25.789300000000001</v>
      </c>
      <c r="E3799" s="7">
        <f t="shared" si="118"/>
        <v>97921.972099999999</v>
      </c>
      <c r="F3799" s="7">
        <f t="shared" si="119"/>
        <v>14417209</v>
      </c>
      <c r="G3799" s="7"/>
    </row>
    <row r="3800" spans="1:7" x14ac:dyDescent="0.35">
      <c r="A3800" t="str">
        <f>"2020-04-13"</f>
        <v>2020-04-13</v>
      </c>
      <c r="B3800" t="str">
        <f>"27.0467"</f>
        <v>27.0467</v>
      </c>
      <c r="C3800">
        <v>3798</v>
      </c>
      <c r="D3800" s="7">
        <v>27.046700000000001</v>
      </c>
      <c r="E3800" s="7">
        <f t="shared" si="118"/>
        <v>102723.36660000001</v>
      </c>
      <c r="F3800" s="7">
        <f t="shared" si="119"/>
        <v>14424804</v>
      </c>
      <c r="G3800" s="7"/>
    </row>
    <row r="3801" spans="1:7" x14ac:dyDescent="0.35">
      <c r="A3801" t="str">
        <f>"2020-04-14"</f>
        <v>2020-04-14</v>
      </c>
      <c r="B3801" t="str">
        <f>"28.5966"</f>
        <v>28.5966</v>
      </c>
      <c r="C3801">
        <v>3799</v>
      </c>
      <c r="D3801" s="7">
        <v>28.596599999999999</v>
      </c>
      <c r="E3801" s="7">
        <f t="shared" si="118"/>
        <v>108638.4834</v>
      </c>
      <c r="F3801" s="7">
        <f t="shared" si="119"/>
        <v>14432401</v>
      </c>
      <c r="G3801" s="7"/>
    </row>
    <row r="3802" spans="1:7" x14ac:dyDescent="0.35">
      <c r="A3802" t="str">
        <f>"2020-04-15"</f>
        <v>2020-04-15</v>
      </c>
      <c r="B3802" t="str">
        <f>"27.4221"</f>
        <v>27.4221</v>
      </c>
      <c r="C3802">
        <v>3800</v>
      </c>
      <c r="D3802" s="7">
        <v>27.4221</v>
      </c>
      <c r="E3802" s="7">
        <f t="shared" si="118"/>
        <v>104203.98</v>
      </c>
      <c r="F3802" s="7">
        <f t="shared" si="119"/>
        <v>14440000</v>
      </c>
      <c r="G3802" s="7"/>
    </row>
    <row r="3803" spans="1:7" x14ac:dyDescent="0.35">
      <c r="A3803" t="str">
        <f>"2020-04-16"</f>
        <v>2020-04-16</v>
      </c>
      <c r="B3803" t="str">
        <f>"26.6587"</f>
        <v>26.6587</v>
      </c>
      <c r="C3803">
        <v>3801</v>
      </c>
      <c r="D3803" s="7">
        <v>26.6587</v>
      </c>
      <c r="E3803" s="7">
        <f t="shared" si="118"/>
        <v>101329.7187</v>
      </c>
      <c r="F3803" s="7">
        <f t="shared" si="119"/>
        <v>14447601</v>
      </c>
      <c r="G3803" s="7"/>
    </row>
    <row r="3804" spans="1:7" x14ac:dyDescent="0.35">
      <c r="A3804" t="str">
        <f>"2020-04-17"</f>
        <v>2020-04-17</v>
      </c>
      <c r="B3804" t="str">
        <f>"27.9306"</f>
        <v>27.9306</v>
      </c>
      <c r="C3804">
        <v>3802</v>
      </c>
      <c r="D3804" s="7">
        <v>27.930599999999998</v>
      </c>
      <c r="E3804" s="7">
        <f t="shared" si="118"/>
        <v>106192.1412</v>
      </c>
      <c r="F3804" s="7">
        <f t="shared" si="119"/>
        <v>14455204</v>
      </c>
      <c r="G3804" s="7"/>
    </row>
    <row r="3805" spans="1:7" x14ac:dyDescent="0.35">
      <c r="A3805" t="str">
        <f>"2020-04-20"</f>
        <v>2020-04-20</v>
      </c>
      <c r="B3805" t="str">
        <f>"28.1687"</f>
        <v>28.1687</v>
      </c>
      <c r="C3805">
        <v>3803</v>
      </c>
      <c r="D3805" s="7">
        <v>28.168700000000001</v>
      </c>
      <c r="E3805" s="7">
        <f t="shared" si="118"/>
        <v>107125.56610000001</v>
      </c>
      <c r="F3805" s="7">
        <f t="shared" si="119"/>
        <v>14462809</v>
      </c>
      <c r="G3805" s="7"/>
    </row>
    <row r="3806" spans="1:7" x14ac:dyDescent="0.35">
      <c r="A3806" t="str">
        <f>"2020-04-21"</f>
        <v>2020-04-21</v>
      </c>
      <c r="B3806" t="str">
        <f>"27.9319"</f>
        <v>27.9319</v>
      </c>
      <c r="C3806">
        <v>3804</v>
      </c>
      <c r="D3806" s="7">
        <v>27.931899999999999</v>
      </c>
      <c r="E3806" s="7">
        <f t="shared" si="118"/>
        <v>106252.9476</v>
      </c>
      <c r="F3806" s="7">
        <f t="shared" si="119"/>
        <v>14470416</v>
      </c>
      <c r="G3806" s="7"/>
    </row>
    <row r="3807" spans="1:7" x14ac:dyDescent="0.35">
      <c r="A3807" t="str">
        <f>"2020-04-22"</f>
        <v>2020-04-22</v>
      </c>
      <c r="B3807" t="str">
        <f>"26.8028"</f>
        <v>26.8028</v>
      </c>
      <c r="C3807">
        <v>3805</v>
      </c>
      <c r="D3807" s="7">
        <v>26.802800000000001</v>
      </c>
      <c r="E3807" s="7">
        <f t="shared" si="118"/>
        <v>101984.65400000001</v>
      </c>
      <c r="F3807" s="7">
        <f t="shared" si="119"/>
        <v>14478025</v>
      </c>
      <c r="G3807" s="7"/>
    </row>
    <row r="3808" spans="1:7" x14ac:dyDescent="0.35">
      <c r="A3808" t="str">
        <f>"2020-04-24"</f>
        <v>2020-04-24</v>
      </c>
      <c r="B3808" t="str">
        <f>"26.6705"</f>
        <v>26.6705</v>
      </c>
      <c r="C3808">
        <v>3806</v>
      </c>
      <c r="D3808" s="7">
        <v>26.670500000000001</v>
      </c>
      <c r="E3808" s="7">
        <f t="shared" si="118"/>
        <v>101507.923</v>
      </c>
      <c r="F3808" s="7">
        <f t="shared" si="119"/>
        <v>14485636</v>
      </c>
      <c r="G3808" s="7"/>
    </row>
    <row r="3809" spans="1:7" x14ac:dyDescent="0.35">
      <c r="A3809" t="str">
        <f>"2020-04-27"</f>
        <v>2020-04-27</v>
      </c>
      <c r="B3809" t="str">
        <f>"28.222"</f>
        <v>28.222</v>
      </c>
      <c r="C3809">
        <v>3807</v>
      </c>
      <c r="D3809" s="7">
        <v>28.222000000000001</v>
      </c>
      <c r="E3809" s="7">
        <f t="shared" si="118"/>
        <v>107441.15400000001</v>
      </c>
      <c r="F3809" s="7">
        <f t="shared" si="119"/>
        <v>14493249</v>
      </c>
      <c r="G3809" s="7"/>
    </row>
    <row r="3810" spans="1:7" x14ac:dyDescent="0.35">
      <c r="A3810" t="str">
        <f>"2020-04-28"</f>
        <v>2020-04-28</v>
      </c>
      <c r="B3810" t="str">
        <f>"27.7497"</f>
        <v>27.7497</v>
      </c>
      <c r="C3810">
        <v>3808</v>
      </c>
      <c r="D3810" s="7">
        <v>27.749700000000001</v>
      </c>
      <c r="E3810" s="7">
        <f t="shared" si="118"/>
        <v>105670.8576</v>
      </c>
      <c r="F3810" s="7">
        <f t="shared" si="119"/>
        <v>14500864</v>
      </c>
      <c r="G3810" s="7"/>
    </row>
    <row r="3811" spans="1:7" x14ac:dyDescent="0.35">
      <c r="A3811" t="str">
        <f>"2020-04-29"</f>
        <v>2020-04-29</v>
      </c>
      <c r="B3811" t="str">
        <f>"27.7275"</f>
        <v>27.7275</v>
      </c>
      <c r="C3811">
        <v>3809</v>
      </c>
      <c r="D3811" s="7">
        <v>27.727499999999999</v>
      </c>
      <c r="E3811" s="7">
        <f t="shared" si="118"/>
        <v>105614.0475</v>
      </c>
      <c r="F3811" s="7">
        <f t="shared" si="119"/>
        <v>14508481</v>
      </c>
      <c r="G3811" s="7"/>
    </row>
    <row r="3812" spans="1:7" x14ac:dyDescent="0.35">
      <c r="A3812" t="str">
        <f>"2020-04-30"</f>
        <v>2020-04-30</v>
      </c>
      <c r="B3812" t="str">
        <f>"28.3487"</f>
        <v>28.3487</v>
      </c>
      <c r="C3812">
        <v>3810</v>
      </c>
      <c r="D3812" s="7">
        <v>28.348700000000001</v>
      </c>
      <c r="E3812" s="7">
        <f t="shared" si="118"/>
        <v>108008.54700000001</v>
      </c>
      <c r="F3812" s="7">
        <f t="shared" si="119"/>
        <v>14516100</v>
      </c>
      <c r="G3812" s="7"/>
    </row>
    <row r="3813" spans="1:7" x14ac:dyDescent="0.35">
      <c r="A3813" t="str">
        <f>"2020-05-04"</f>
        <v>2020-05-04</v>
      </c>
      <c r="B3813" t="str">
        <f>"27.3458"</f>
        <v>27.3458</v>
      </c>
      <c r="C3813">
        <v>3811</v>
      </c>
      <c r="D3813" s="7">
        <v>27.345800000000001</v>
      </c>
      <c r="E3813" s="7">
        <f t="shared" si="118"/>
        <v>104214.8438</v>
      </c>
      <c r="F3813" s="7">
        <f t="shared" si="119"/>
        <v>14523721</v>
      </c>
      <c r="G3813" s="7"/>
    </row>
    <row r="3814" spans="1:7" x14ac:dyDescent="0.35">
      <c r="A3814" t="str">
        <f>"2020-05-05"</f>
        <v>2020-05-05</v>
      </c>
      <c r="B3814" t="str">
        <f>"27.2776"</f>
        <v>27.2776</v>
      </c>
      <c r="C3814">
        <v>3812</v>
      </c>
      <c r="D3814" s="7">
        <v>27.2776</v>
      </c>
      <c r="E3814" s="7">
        <f t="shared" si="118"/>
        <v>103982.21120000001</v>
      </c>
      <c r="F3814" s="7">
        <f t="shared" si="119"/>
        <v>14531344</v>
      </c>
      <c r="G3814" s="7"/>
    </row>
    <row r="3815" spans="1:7" x14ac:dyDescent="0.35">
      <c r="A3815" t="str">
        <f>"2020-05-06"</f>
        <v>2020-05-06</v>
      </c>
      <c r="B3815" t="str">
        <f>"27.5048"</f>
        <v>27.5048</v>
      </c>
      <c r="C3815">
        <v>3813</v>
      </c>
      <c r="D3815" s="7">
        <v>27.504799999999999</v>
      </c>
      <c r="E3815" s="7">
        <f t="shared" si="118"/>
        <v>104875.8024</v>
      </c>
      <c r="F3815" s="7">
        <f t="shared" si="119"/>
        <v>14538969</v>
      </c>
      <c r="G3815" s="7"/>
    </row>
    <row r="3816" spans="1:7" x14ac:dyDescent="0.35">
      <c r="A3816" t="str">
        <f>"2020-05-07"</f>
        <v>2020-05-07</v>
      </c>
      <c r="B3816" t="str">
        <f>"26.656"</f>
        <v>26.656</v>
      </c>
      <c r="C3816">
        <v>3814</v>
      </c>
      <c r="D3816" s="7">
        <v>26.655999999999999</v>
      </c>
      <c r="E3816" s="7">
        <f t="shared" si="118"/>
        <v>101665.984</v>
      </c>
      <c r="F3816" s="7">
        <f t="shared" si="119"/>
        <v>14546596</v>
      </c>
      <c r="G3816" s="7"/>
    </row>
    <row r="3817" spans="1:7" x14ac:dyDescent="0.35">
      <c r="A3817" t="str">
        <f>"2020-05-08"</f>
        <v>2020-05-08</v>
      </c>
      <c r="B3817" t="str">
        <f>"27.2021"</f>
        <v>27.2021</v>
      </c>
      <c r="C3817">
        <v>3815</v>
      </c>
      <c r="D3817" s="7">
        <v>27.202100000000002</v>
      </c>
      <c r="E3817" s="7">
        <f t="shared" si="118"/>
        <v>103776.01150000001</v>
      </c>
      <c r="F3817" s="7">
        <f t="shared" si="119"/>
        <v>14554225</v>
      </c>
      <c r="G3817" s="7"/>
    </row>
    <row r="3818" spans="1:7" x14ac:dyDescent="0.35">
      <c r="A3818" t="str">
        <f>"2020-05-11"</f>
        <v>2020-05-11</v>
      </c>
      <c r="B3818" t="str">
        <f>"27.466"</f>
        <v>27.466</v>
      </c>
      <c r="C3818">
        <v>3816</v>
      </c>
      <c r="D3818" s="7">
        <v>27.466000000000001</v>
      </c>
      <c r="E3818" s="7">
        <f t="shared" si="118"/>
        <v>104810.25600000001</v>
      </c>
      <c r="F3818" s="7">
        <f t="shared" si="119"/>
        <v>14561856</v>
      </c>
      <c r="G3818" s="7"/>
    </row>
    <row r="3819" spans="1:7" x14ac:dyDescent="0.35">
      <c r="A3819" t="str">
        <f>"2020-05-12"</f>
        <v>2020-05-12</v>
      </c>
      <c r="B3819" t="str">
        <f>"27.5153"</f>
        <v>27.5153</v>
      </c>
      <c r="C3819">
        <v>3817</v>
      </c>
      <c r="D3819" s="7">
        <v>27.5153</v>
      </c>
      <c r="E3819" s="7">
        <f t="shared" si="118"/>
        <v>105025.9001</v>
      </c>
      <c r="F3819" s="7">
        <f t="shared" si="119"/>
        <v>14569489</v>
      </c>
      <c r="G3819" s="7"/>
    </row>
    <row r="3820" spans="1:7" x14ac:dyDescent="0.35">
      <c r="A3820" t="str">
        <f>"2020-05-13"</f>
        <v>2020-05-13</v>
      </c>
      <c r="B3820" t="str">
        <f>"27.642"</f>
        <v>27.642</v>
      </c>
      <c r="C3820">
        <v>3818</v>
      </c>
      <c r="D3820" s="7">
        <v>27.641999999999999</v>
      </c>
      <c r="E3820" s="7">
        <f t="shared" si="118"/>
        <v>105537.156</v>
      </c>
      <c r="F3820" s="7">
        <f t="shared" si="119"/>
        <v>14577124</v>
      </c>
      <c r="G3820" s="7"/>
    </row>
    <row r="3821" spans="1:7" x14ac:dyDescent="0.35">
      <c r="A3821" t="str">
        <f>"2020-05-14"</f>
        <v>2020-05-14</v>
      </c>
      <c r="B3821" t="str">
        <f>"27.0614"</f>
        <v>27.0614</v>
      </c>
      <c r="C3821">
        <v>3819</v>
      </c>
      <c r="D3821" s="7">
        <v>27.061399999999999</v>
      </c>
      <c r="E3821" s="7">
        <f t="shared" si="118"/>
        <v>103347.48659999999</v>
      </c>
      <c r="F3821" s="7">
        <f t="shared" si="119"/>
        <v>14584761</v>
      </c>
      <c r="G3821" s="7"/>
    </row>
    <row r="3822" spans="1:7" x14ac:dyDescent="0.35">
      <c r="A3822" t="str">
        <f>"2020-05-15"</f>
        <v>2020-05-15</v>
      </c>
      <c r="B3822" t="str">
        <f>"27.126"</f>
        <v>27.126</v>
      </c>
      <c r="C3822">
        <v>3820</v>
      </c>
      <c r="D3822" s="7">
        <v>27.126000000000001</v>
      </c>
      <c r="E3822" s="7">
        <f t="shared" si="118"/>
        <v>103621.32</v>
      </c>
      <c r="F3822" s="7">
        <f t="shared" si="119"/>
        <v>14592400</v>
      </c>
      <c r="G3822" s="7"/>
    </row>
    <row r="3823" spans="1:7" x14ac:dyDescent="0.35">
      <c r="A3823" t="str">
        <f>"2020-05-18"</f>
        <v>2020-05-18</v>
      </c>
      <c r="B3823" t="str">
        <f>"28.258"</f>
        <v>28.258</v>
      </c>
      <c r="C3823">
        <v>3821</v>
      </c>
      <c r="D3823" s="7">
        <v>28.257999999999999</v>
      </c>
      <c r="E3823" s="7">
        <f t="shared" si="118"/>
        <v>107973.818</v>
      </c>
      <c r="F3823" s="7">
        <f t="shared" si="119"/>
        <v>14600041</v>
      </c>
      <c r="G3823" s="7"/>
    </row>
    <row r="3824" spans="1:7" x14ac:dyDescent="0.35">
      <c r="A3824" t="str">
        <f>"2020-05-20"</f>
        <v>2020-05-20</v>
      </c>
      <c r="B3824" t="str">
        <f>"28.4863"</f>
        <v>28.4863</v>
      </c>
      <c r="C3824">
        <v>3822</v>
      </c>
      <c r="D3824" s="7">
        <v>28.4863</v>
      </c>
      <c r="E3824" s="7">
        <f t="shared" si="118"/>
        <v>108874.63860000001</v>
      </c>
      <c r="F3824" s="7">
        <f t="shared" si="119"/>
        <v>14607684</v>
      </c>
      <c r="G3824" s="7"/>
    </row>
    <row r="3825" spans="1:7" x14ac:dyDescent="0.35">
      <c r="A3825" t="str">
        <f>"2020-05-21"</f>
        <v>2020-05-21</v>
      </c>
      <c r="B3825" t="str">
        <f>"29.5525"</f>
        <v>29.5525</v>
      </c>
      <c r="C3825">
        <v>3823</v>
      </c>
      <c r="D3825" s="7">
        <v>29.552499999999998</v>
      </c>
      <c r="E3825" s="7">
        <f t="shared" si="118"/>
        <v>112979.20749999999</v>
      </c>
      <c r="F3825" s="7">
        <f t="shared" si="119"/>
        <v>14615329</v>
      </c>
      <c r="G3825" s="7"/>
    </row>
    <row r="3826" spans="1:7" x14ac:dyDescent="0.35">
      <c r="A3826" t="str">
        <f>"2020-05-22"</f>
        <v>2020-05-22</v>
      </c>
      <c r="B3826" t="str">
        <f>"29.6037"</f>
        <v>29.6037</v>
      </c>
      <c r="C3826">
        <v>3824</v>
      </c>
      <c r="D3826" s="7">
        <v>29.6037</v>
      </c>
      <c r="E3826" s="7">
        <f t="shared" si="118"/>
        <v>113204.5488</v>
      </c>
      <c r="F3826" s="7">
        <f t="shared" si="119"/>
        <v>14622976</v>
      </c>
      <c r="G3826" s="7"/>
    </row>
    <row r="3827" spans="1:7" x14ac:dyDescent="0.35">
      <c r="A3827" t="str">
        <f>"2020-05-27"</f>
        <v>2020-05-27</v>
      </c>
      <c r="B3827" t="str">
        <f>"33.3406"</f>
        <v>33.3406</v>
      </c>
      <c r="C3827">
        <v>3825</v>
      </c>
      <c r="D3827" s="7">
        <v>33.340600000000002</v>
      </c>
      <c r="E3827" s="7">
        <f t="shared" si="118"/>
        <v>127527.79500000001</v>
      </c>
      <c r="F3827" s="7">
        <f t="shared" si="119"/>
        <v>14630625</v>
      </c>
      <c r="G3827" s="7"/>
    </row>
    <row r="3828" spans="1:7" x14ac:dyDescent="0.35">
      <c r="A3828" t="str">
        <f>"2020-05-28"</f>
        <v>2020-05-28</v>
      </c>
      <c r="B3828" t="str">
        <f>"33.921"</f>
        <v>33.921</v>
      </c>
      <c r="C3828">
        <v>3826</v>
      </c>
      <c r="D3828" s="7">
        <v>33.920999999999999</v>
      </c>
      <c r="E3828" s="7">
        <f t="shared" si="118"/>
        <v>129781.746</v>
      </c>
      <c r="F3828" s="7">
        <f t="shared" si="119"/>
        <v>14638276</v>
      </c>
      <c r="G3828" s="7"/>
    </row>
    <row r="3829" spans="1:7" x14ac:dyDescent="0.35">
      <c r="A3829" t="str">
        <f>"2020-05-29"</f>
        <v>2020-05-29</v>
      </c>
      <c r="B3829" t="str">
        <f>"32.8122"</f>
        <v>32.8122</v>
      </c>
      <c r="C3829">
        <v>3827</v>
      </c>
      <c r="D3829" s="7">
        <v>32.812199999999997</v>
      </c>
      <c r="E3829" s="7">
        <f t="shared" si="118"/>
        <v>125572.28939999999</v>
      </c>
      <c r="F3829" s="7">
        <f t="shared" si="119"/>
        <v>14645929</v>
      </c>
      <c r="G3829" s="7"/>
    </row>
    <row r="3830" spans="1:7" x14ac:dyDescent="0.35">
      <c r="A3830" t="str">
        <f>"2020-06-01"</f>
        <v>2020-06-01</v>
      </c>
      <c r="B3830" t="str">
        <f>"33.6178"</f>
        <v>33.6178</v>
      </c>
      <c r="C3830">
        <v>3828</v>
      </c>
      <c r="D3830" s="7">
        <v>33.617800000000003</v>
      </c>
      <c r="E3830" s="7">
        <f t="shared" si="118"/>
        <v>128688.93840000001</v>
      </c>
      <c r="F3830" s="7">
        <f t="shared" si="119"/>
        <v>14653584</v>
      </c>
      <c r="G3830" s="7"/>
    </row>
    <row r="3831" spans="1:7" x14ac:dyDescent="0.35">
      <c r="A3831" t="str">
        <f>"2020-06-02"</f>
        <v>2020-06-02</v>
      </c>
      <c r="B3831" t="str">
        <f>"33.4369"</f>
        <v>33.4369</v>
      </c>
      <c r="C3831">
        <v>3829</v>
      </c>
      <c r="D3831" s="7">
        <v>33.436900000000001</v>
      </c>
      <c r="E3831" s="7">
        <f t="shared" si="118"/>
        <v>128029.8901</v>
      </c>
      <c r="F3831" s="7">
        <f t="shared" si="119"/>
        <v>14661241</v>
      </c>
      <c r="G3831" s="7"/>
    </row>
    <row r="3832" spans="1:7" x14ac:dyDescent="0.35">
      <c r="A3832" t="str">
        <f>"2020-06-03"</f>
        <v>2020-06-03</v>
      </c>
      <c r="B3832" t="str">
        <f>"34.2798"</f>
        <v>34.2798</v>
      </c>
      <c r="C3832">
        <v>3830</v>
      </c>
      <c r="D3832" s="7">
        <v>34.279800000000002</v>
      </c>
      <c r="E3832" s="7">
        <f t="shared" si="118"/>
        <v>131291.63400000002</v>
      </c>
      <c r="F3832" s="7">
        <f t="shared" si="119"/>
        <v>14668900</v>
      </c>
      <c r="G3832" s="7"/>
    </row>
    <row r="3833" spans="1:7" x14ac:dyDescent="0.35">
      <c r="A3833" t="str">
        <f>"2020-06-04"</f>
        <v>2020-06-04</v>
      </c>
      <c r="B3833" t="str">
        <f>"33.9613"</f>
        <v>33.9613</v>
      </c>
      <c r="C3833">
        <v>3831</v>
      </c>
      <c r="D3833" s="7">
        <v>33.961300000000001</v>
      </c>
      <c r="E3833" s="7">
        <f t="shared" si="118"/>
        <v>130105.7403</v>
      </c>
      <c r="F3833" s="7">
        <f t="shared" si="119"/>
        <v>14676561</v>
      </c>
      <c r="G3833" s="7"/>
    </row>
    <row r="3834" spans="1:7" x14ac:dyDescent="0.35">
      <c r="A3834" t="str">
        <f>"2020-06-05"</f>
        <v>2020-06-05</v>
      </c>
      <c r="B3834" t="str">
        <f>"35.0284"</f>
        <v>35.0284</v>
      </c>
      <c r="C3834">
        <v>3832</v>
      </c>
      <c r="D3834" s="7">
        <v>35.028399999999998</v>
      </c>
      <c r="E3834" s="7">
        <f t="shared" si="118"/>
        <v>134228.82879999999</v>
      </c>
      <c r="F3834" s="7">
        <f t="shared" si="119"/>
        <v>14684224</v>
      </c>
      <c r="G3834" s="7"/>
    </row>
    <row r="3835" spans="1:7" x14ac:dyDescent="0.35">
      <c r="A3835" t="str">
        <f>"2020-06-08"</f>
        <v>2020-06-08</v>
      </c>
      <c r="B3835" t="str">
        <f>"34.2378"</f>
        <v>34.2378</v>
      </c>
      <c r="C3835">
        <v>3833</v>
      </c>
      <c r="D3835" s="7">
        <v>34.2378</v>
      </c>
      <c r="E3835" s="7">
        <f t="shared" si="118"/>
        <v>131233.48740000001</v>
      </c>
      <c r="F3835" s="7">
        <f t="shared" si="119"/>
        <v>14691889</v>
      </c>
      <c r="G3835" s="7"/>
    </row>
    <row r="3836" spans="1:7" x14ac:dyDescent="0.35">
      <c r="A3836" t="str">
        <f>"2020-06-09"</f>
        <v>2020-06-09</v>
      </c>
      <c r="B3836" t="str">
        <f>"33.8135"</f>
        <v>33.8135</v>
      </c>
      <c r="C3836">
        <v>3834</v>
      </c>
      <c r="D3836" s="7">
        <v>33.813499999999998</v>
      </c>
      <c r="E3836" s="7">
        <f t="shared" si="118"/>
        <v>129640.95899999999</v>
      </c>
      <c r="F3836" s="7">
        <f t="shared" si="119"/>
        <v>14699556</v>
      </c>
      <c r="G3836" s="7"/>
    </row>
    <row r="3837" spans="1:7" x14ac:dyDescent="0.35">
      <c r="A3837" t="str">
        <f>"2020-06-10"</f>
        <v>2020-06-10</v>
      </c>
      <c r="B3837" t="str">
        <f>"33.861"</f>
        <v>33.861</v>
      </c>
      <c r="C3837">
        <v>3835</v>
      </c>
      <c r="D3837" s="7">
        <v>33.860999999999997</v>
      </c>
      <c r="E3837" s="7">
        <f t="shared" si="118"/>
        <v>129856.93499999998</v>
      </c>
      <c r="F3837" s="7">
        <f t="shared" si="119"/>
        <v>14707225</v>
      </c>
      <c r="G3837" s="7"/>
    </row>
    <row r="3838" spans="1:7" x14ac:dyDescent="0.35">
      <c r="A3838" t="str">
        <f>"2020-06-11"</f>
        <v>2020-06-11</v>
      </c>
      <c r="B3838" t="str">
        <f>"33.1581"</f>
        <v>33.1581</v>
      </c>
      <c r="C3838">
        <v>3836</v>
      </c>
      <c r="D3838" s="7">
        <v>33.158099999999997</v>
      </c>
      <c r="E3838" s="7">
        <f t="shared" si="118"/>
        <v>127194.47159999999</v>
      </c>
      <c r="F3838" s="7">
        <f t="shared" si="119"/>
        <v>14714896</v>
      </c>
      <c r="G3838" s="7"/>
    </row>
    <row r="3839" spans="1:7" x14ac:dyDescent="0.35">
      <c r="A3839" t="str">
        <f>"2020-06-12"</f>
        <v>2020-06-12</v>
      </c>
      <c r="B3839" t="str">
        <f>"33.4983"</f>
        <v>33.4983</v>
      </c>
      <c r="C3839">
        <v>3837</v>
      </c>
      <c r="D3839" s="7">
        <v>33.4983</v>
      </c>
      <c r="E3839" s="7">
        <f t="shared" si="118"/>
        <v>128532.9771</v>
      </c>
      <c r="F3839" s="7">
        <f t="shared" si="119"/>
        <v>14722569</v>
      </c>
      <c r="G3839" s="7"/>
    </row>
    <row r="3840" spans="1:7" x14ac:dyDescent="0.35">
      <c r="A3840" t="str">
        <f>"2020-06-15"</f>
        <v>2020-06-15</v>
      </c>
      <c r="B3840" t="str">
        <f>"33.3827"</f>
        <v>33.3827</v>
      </c>
      <c r="C3840">
        <v>3838</v>
      </c>
      <c r="D3840" s="7">
        <v>33.3827</v>
      </c>
      <c r="E3840" s="7">
        <f t="shared" si="118"/>
        <v>128122.8026</v>
      </c>
      <c r="F3840" s="7">
        <f t="shared" si="119"/>
        <v>14730244</v>
      </c>
      <c r="G3840" s="7"/>
    </row>
    <row r="3841" spans="1:7" x14ac:dyDescent="0.35">
      <c r="A3841" t="str">
        <f>"2020-06-16"</f>
        <v>2020-06-16</v>
      </c>
      <c r="B3841" t="str">
        <f>"33.2133"</f>
        <v>33.2133</v>
      </c>
      <c r="C3841">
        <v>3839</v>
      </c>
      <c r="D3841" s="7">
        <v>33.213299999999997</v>
      </c>
      <c r="E3841" s="7">
        <f t="shared" si="118"/>
        <v>127505.85869999998</v>
      </c>
      <c r="F3841" s="7">
        <f t="shared" si="119"/>
        <v>14737921</v>
      </c>
      <c r="G3841" s="7"/>
    </row>
    <row r="3842" spans="1:7" x14ac:dyDescent="0.35">
      <c r="A3842" t="str">
        <f>"2020-06-17"</f>
        <v>2020-06-17</v>
      </c>
      <c r="B3842" t="str">
        <f>"32.8096"</f>
        <v>32.8096</v>
      </c>
      <c r="C3842">
        <v>3840</v>
      </c>
      <c r="D3842" s="7">
        <v>32.809600000000003</v>
      </c>
      <c r="E3842" s="7">
        <f t="shared" si="118"/>
        <v>125988.86400000002</v>
      </c>
      <c r="F3842" s="7">
        <f t="shared" si="119"/>
        <v>14745600</v>
      </c>
      <c r="G3842" s="7"/>
    </row>
    <row r="3843" spans="1:7" x14ac:dyDescent="0.35">
      <c r="A3843" t="str">
        <f>"2020-06-18"</f>
        <v>2020-06-18</v>
      </c>
      <c r="B3843" t="str">
        <f>"33.0476"</f>
        <v>33.0476</v>
      </c>
      <c r="C3843">
        <v>3841</v>
      </c>
      <c r="D3843" s="7">
        <v>33.047600000000003</v>
      </c>
      <c r="E3843" s="7">
        <f t="shared" si="118"/>
        <v>126935.8316</v>
      </c>
      <c r="F3843" s="7">
        <f t="shared" si="119"/>
        <v>14753281</v>
      </c>
      <c r="G3843" s="7"/>
    </row>
    <row r="3844" spans="1:7" x14ac:dyDescent="0.35">
      <c r="A3844" t="str">
        <f>"2020-06-19"</f>
        <v>2020-06-19</v>
      </c>
      <c r="B3844" t="str">
        <f>"32.5987"</f>
        <v>32.5987</v>
      </c>
      <c r="C3844">
        <v>3842</v>
      </c>
      <c r="D3844" s="7">
        <v>32.598700000000001</v>
      </c>
      <c r="E3844" s="7">
        <f t="shared" ref="E3844:E3907" si="120">C3844*D3844</f>
        <v>125244.20540000001</v>
      </c>
      <c r="F3844" s="7">
        <f t="shared" ref="F3844:F3907" si="121">C3844*C3844</f>
        <v>14760964</v>
      </c>
      <c r="G3844" s="7"/>
    </row>
    <row r="3845" spans="1:7" x14ac:dyDescent="0.35">
      <c r="A3845" t="str">
        <f>"2020-06-22"</f>
        <v>2020-06-22</v>
      </c>
      <c r="B3845" t="str">
        <f>"32.6345"</f>
        <v>32.6345</v>
      </c>
      <c r="C3845">
        <v>3843</v>
      </c>
      <c r="D3845" s="7">
        <v>32.634500000000003</v>
      </c>
      <c r="E3845" s="7">
        <f t="shared" si="120"/>
        <v>125414.38350000001</v>
      </c>
      <c r="F3845" s="7">
        <f t="shared" si="121"/>
        <v>14768649</v>
      </c>
      <c r="G3845" s="7"/>
    </row>
    <row r="3846" spans="1:7" x14ac:dyDescent="0.35">
      <c r="A3846" t="str">
        <f>"2020-06-23"</f>
        <v>2020-06-23</v>
      </c>
      <c r="B3846" t="str">
        <f>"32.1931"</f>
        <v>32.1931</v>
      </c>
      <c r="C3846">
        <v>3844</v>
      </c>
      <c r="D3846" s="7">
        <v>32.193100000000001</v>
      </c>
      <c r="E3846" s="7">
        <f t="shared" si="120"/>
        <v>123750.2764</v>
      </c>
      <c r="F3846" s="7">
        <f t="shared" si="121"/>
        <v>14776336</v>
      </c>
      <c r="G3846" s="7"/>
    </row>
    <row r="3847" spans="1:7" x14ac:dyDescent="0.35">
      <c r="A3847" t="str">
        <f>"2020-06-24"</f>
        <v>2020-06-24</v>
      </c>
      <c r="B3847" t="str">
        <f>"31.8853"</f>
        <v>31.8853</v>
      </c>
      <c r="C3847">
        <v>3845</v>
      </c>
      <c r="D3847" s="7">
        <v>31.885300000000001</v>
      </c>
      <c r="E3847" s="7">
        <f t="shared" si="120"/>
        <v>122598.9785</v>
      </c>
      <c r="F3847" s="7">
        <f t="shared" si="121"/>
        <v>14784025</v>
      </c>
      <c r="G3847" s="7"/>
    </row>
    <row r="3848" spans="1:7" x14ac:dyDescent="0.35">
      <c r="A3848" t="str">
        <f>"2020-06-25"</f>
        <v>2020-06-25</v>
      </c>
      <c r="B3848" t="str">
        <f>"31.9249"</f>
        <v>31.9249</v>
      </c>
      <c r="C3848">
        <v>3846</v>
      </c>
      <c r="D3848" s="7">
        <v>31.924900000000001</v>
      </c>
      <c r="E3848" s="7">
        <f t="shared" si="120"/>
        <v>122783.1654</v>
      </c>
      <c r="F3848" s="7">
        <f t="shared" si="121"/>
        <v>14791716</v>
      </c>
      <c r="G3848" s="7"/>
    </row>
    <row r="3849" spans="1:7" x14ac:dyDescent="0.35">
      <c r="A3849" t="str">
        <f>"2020-06-26"</f>
        <v>2020-06-26</v>
      </c>
      <c r="B3849" t="str">
        <f>"31.9319"</f>
        <v>31.9319</v>
      </c>
      <c r="C3849">
        <v>3847</v>
      </c>
      <c r="D3849" s="7">
        <v>31.931899999999999</v>
      </c>
      <c r="E3849" s="7">
        <f t="shared" si="120"/>
        <v>122842.0193</v>
      </c>
      <c r="F3849" s="7">
        <f t="shared" si="121"/>
        <v>14799409</v>
      </c>
      <c r="G3849" s="7"/>
    </row>
    <row r="3850" spans="1:7" x14ac:dyDescent="0.35">
      <c r="A3850" t="str">
        <f>"2020-06-29"</f>
        <v>2020-06-29</v>
      </c>
      <c r="B3850" t="str">
        <f>"31.9008"</f>
        <v>31.9008</v>
      </c>
      <c r="C3850">
        <v>3848</v>
      </c>
      <c r="D3850" s="7">
        <v>31.9008</v>
      </c>
      <c r="E3850" s="7">
        <f t="shared" si="120"/>
        <v>122754.2784</v>
      </c>
      <c r="F3850" s="7">
        <f t="shared" si="121"/>
        <v>14807104</v>
      </c>
      <c r="G3850" s="7"/>
    </row>
    <row r="3851" spans="1:7" x14ac:dyDescent="0.35">
      <c r="A3851" t="str">
        <f>"2020-06-30"</f>
        <v>2020-06-30</v>
      </c>
      <c r="B3851" t="str">
        <f>"31.7591"</f>
        <v>31.7591</v>
      </c>
      <c r="C3851">
        <v>3849</v>
      </c>
      <c r="D3851" s="7">
        <v>31.7591</v>
      </c>
      <c r="E3851" s="7">
        <f t="shared" si="120"/>
        <v>122240.77589999999</v>
      </c>
      <c r="F3851" s="7">
        <f t="shared" si="121"/>
        <v>14814801</v>
      </c>
      <c r="G3851" s="7"/>
    </row>
    <row r="3852" spans="1:7" x14ac:dyDescent="0.35">
      <c r="A3852" t="str">
        <f>"2020-07-01"</f>
        <v>2020-07-01</v>
      </c>
      <c r="B3852" t="str">
        <f>"31.458"</f>
        <v>31.458</v>
      </c>
      <c r="C3852">
        <v>3850</v>
      </c>
      <c r="D3852" s="7">
        <v>31.457999999999998</v>
      </c>
      <c r="E3852" s="7">
        <f t="shared" si="120"/>
        <v>121113.29999999999</v>
      </c>
      <c r="F3852" s="7">
        <f t="shared" si="121"/>
        <v>14822500</v>
      </c>
      <c r="G3852" s="7"/>
    </row>
    <row r="3853" spans="1:7" x14ac:dyDescent="0.35">
      <c r="A3853" t="str">
        <f>"2020-07-02"</f>
        <v>2020-07-02</v>
      </c>
      <c r="B3853" t="str">
        <f>"31.2243"</f>
        <v>31.2243</v>
      </c>
      <c r="C3853">
        <v>3851</v>
      </c>
      <c r="D3853" s="7">
        <v>31.224299999999999</v>
      </c>
      <c r="E3853" s="7">
        <f t="shared" si="120"/>
        <v>120244.77929999999</v>
      </c>
      <c r="F3853" s="7">
        <f t="shared" si="121"/>
        <v>14830201</v>
      </c>
      <c r="G3853" s="7"/>
    </row>
    <row r="3854" spans="1:7" x14ac:dyDescent="0.35">
      <c r="A3854" t="str">
        <f>"2020-07-06"</f>
        <v>2020-07-06</v>
      </c>
      <c r="B3854" t="str">
        <f>"30.1744"</f>
        <v>30.1744</v>
      </c>
      <c r="C3854">
        <v>3852</v>
      </c>
      <c r="D3854" s="7">
        <v>30.174399999999999</v>
      </c>
      <c r="E3854" s="7">
        <f t="shared" si="120"/>
        <v>116231.78879999999</v>
      </c>
      <c r="F3854" s="7">
        <f t="shared" si="121"/>
        <v>14837904</v>
      </c>
      <c r="G3854" s="7"/>
    </row>
    <row r="3855" spans="1:7" x14ac:dyDescent="0.35">
      <c r="A3855" t="str">
        <f>"2020-07-07"</f>
        <v>2020-07-07</v>
      </c>
      <c r="B3855" t="str">
        <f>"29.2681"</f>
        <v>29.2681</v>
      </c>
      <c r="C3855">
        <v>3853</v>
      </c>
      <c r="D3855" s="7">
        <v>29.2681</v>
      </c>
      <c r="E3855" s="7">
        <f t="shared" si="120"/>
        <v>112769.9893</v>
      </c>
      <c r="F3855" s="7">
        <f t="shared" si="121"/>
        <v>14845609</v>
      </c>
      <c r="G3855" s="7"/>
    </row>
    <row r="3856" spans="1:7" x14ac:dyDescent="0.35">
      <c r="A3856" t="str">
        <f>"2020-07-08"</f>
        <v>2020-07-08</v>
      </c>
      <c r="B3856" t="str">
        <f>"28.298"</f>
        <v>28.298</v>
      </c>
      <c r="C3856">
        <v>3854</v>
      </c>
      <c r="D3856" s="7">
        <v>28.297999999999998</v>
      </c>
      <c r="E3856" s="7">
        <f t="shared" si="120"/>
        <v>109060.492</v>
      </c>
      <c r="F3856" s="7">
        <f t="shared" si="121"/>
        <v>14853316</v>
      </c>
      <c r="G3856" s="7"/>
    </row>
    <row r="3857" spans="1:7" x14ac:dyDescent="0.35">
      <c r="A3857" t="str">
        <f>"2020-07-09"</f>
        <v>2020-07-09</v>
      </c>
      <c r="B3857" t="str">
        <f>"28.9388"</f>
        <v>28.9388</v>
      </c>
      <c r="C3857">
        <v>3855</v>
      </c>
      <c r="D3857" s="7">
        <v>28.938800000000001</v>
      </c>
      <c r="E3857" s="7">
        <f t="shared" si="120"/>
        <v>111559.07400000001</v>
      </c>
      <c r="F3857" s="7">
        <f t="shared" si="121"/>
        <v>14861025</v>
      </c>
      <c r="G3857" s="7"/>
    </row>
    <row r="3858" spans="1:7" x14ac:dyDescent="0.35">
      <c r="A3858" t="str">
        <f>"2020-07-10"</f>
        <v>2020-07-10</v>
      </c>
      <c r="B3858" t="str">
        <f>"29.7375"</f>
        <v>29.7375</v>
      </c>
      <c r="C3858">
        <v>3856</v>
      </c>
      <c r="D3858" s="7">
        <v>29.737500000000001</v>
      </c>
      <c r="E3858" s="7">
        <f t="shared" si="120"/>
        <v>114667.8</v>
      </c>
      <c r="F3858" s="7">
        <f t="shared" si="121"/>
        <v>14868736</v>
      </c>
      <c r="G3858" s="7"/>
    </row>
    <row r="3859" spans="1:7" x14ac:dyDescent="0.35">
      <c r="A3859" t="str">
        <f>"2020-07-13"</f>
        <v>2020-07-13</v>
      </c>
      <c r="B3859" t="str">
        <f>"29.9946"</f>
        <v>29.9946</v>
      </c>
      <c r="C3859">
        <v>3857</v>
      </c>
      <c r="D3859" s="7">
        <v>29.994599999999998</v>
      </c>
      <c r="E3859" s="7">
        <f t="shared" si="120"/>
        <v>115689.1722</v>
      </c>
      <c r="F3859" s="7">
        <f t="shared" si="121"/>
        <v>14876449</v>
      </c>
      <c r="G3859" s="7"/>
    </row>
    <row r="3860" spans="1:7" x14ac:dyDescent="0.35">
      <c r="A3860" t="str">
        <f>"2020-07-14"</f>
        <v>2020-07-14</v>
      </c>
      <c r="B3860" t="str">
        <f>"29.6191"</f>
        <v>29.6191</v>
      </c>
      <c r="C3860">
        <v>3858</v>
      </c>
      <c r="D3860" s="7">
        <v>29.6191</v>
      </c>
      <c r="E3860" s="7">
        <f t="shared" si="120"/>
        <v>114270.4878</v>
      </c>
      <c r="F3860" s="7">
        <f t="shared" si="121"/>
        <v>14884164</v>
      </c>
      <c r="G3860" s="7"/>
    </row>
    <row r="3861" spans="1:7" x14ac:dyDescent="0.35">
      <c r="A3861" t="str">
        <f>"2020-07-16"</f>
        <v>2020-07-16</v>
      </c>
      <c r="B3861" t="str">
        <f>"30.1539"</f>
        <v>30.1539</v>
      </c>
      <c r="C3861">
        <v>3859</v>
      </c>
      <c r="D3861" s="7">
        <v>30.1539</v>
      </c>
      <c r="E3861" s="7">
        <f t="shared" si="120"/>
        <v>116363.9001</v>
      </c>
      <c r="F3861" s="7">
        <f t="shared" si="121"/>
        <v>14891881</v>
      </c>
      <c r="G3861" s="7"/>
    </row>
    <row r="3862" spans="1:7" x14ac:dyDescent="0.35">
      <c r="A3862" t="str">
        <f>"2020-07-17"</f>
        <v>2020-07-17</v>
      </c>
      <c r="B3862" t="str">
        <f>"29.9066"</f>
        <v>29.9066</v>
      </c>
      <c r="C3862">
        <v>3860</v>
      </c>
      <c r="D3862" s="7">
        <v>29.906600000000001</v>
      </c>
      <c r="E3862" s="7">
        <f t="shared" si="120"/>
        <v>115439.47600000001</v>
      </c>
      <c r="F3862" s="7">
        <f t="shared" si="121"/>
        <v>14899600</v>
      </c>
      <c r="G3862" s="7"/>
    </row>
    <row r="3863" spans="1:7" x14ac:dyDescent="0.35">
      <c r="A3863" t="str">
        <f>"2020-07-20"</f>
        <v>2020-07-20</v>
      </c>
      <c r="B3863" t="str">
        <f>"29.6477"</f>
        <v>29.6477</v>
      </c>
      <c r="C3863">
        <v>3861</v>
      </c>
      <c r="D3863" s="7">
        <v>29.6477</v>
      </c>
      <c r="E3863" s="7">
        <f t="shared" si="120"/>
        <v>114469.7697</v>
      </c>
      <c r="F3863" s="7">
        <f t="shared" si="121"/>
        <v>14907321</v>
      </c>
      <c r="G3863" s="7"/>
    </row>
    <row r="3864" spans="1:7" x14ac:dyDescent="0.35">
      <c r="A3864" t="str">
        <f>"2020-07-21"</f>
        <v>2020-07-21</v>
      </c>
      <c r="B3864" t="str">
        <f>"28.8443"</f>
        <v>28.8443</v>
      </c>
      <c r="C3864">
        <v>3862</v>
      </c>
      <c r="D3864" s="7">
        <v>28.8443</v>
      </c>
      <c r="E3864" s="7">
        <f t="shared" si="120"/>
        <v>111396.6866</v>
      </c>
      <c r="F3864" s="7">
        <f t="shared" si="121"/>
        <v>14915044</v>
      </c>
      <c r="G3864" s="7"/>
    </row>
    <row r="3865" spans="1:7" x14ac:dyDescent="0.35">
      <c r="A3865" t="str">
        <f>"2020-07-22"</f>
        <v>2020-07-22</v>
      </c>
      <c r="B3865" t="str">
        <f>"28.6203"</f>
        <v>28.6203</v>
      </c>
      <c r="C3865">
        <v>3863</v>
      </c>
      <c r="D3865" s="7">
        <v>28.6203</v>
      </c>
      <c r="E3865" s="7">
        <f t="shared" si="120"/>
        <v>110560.21890000001</v>
      </c>
      <c r="F3865" s="7">
        <f t="shared" si="121"/>
        <v>14922769</v>
      </c>
      <c r="G3865" s="7"/>
    </row>
    <row r="3866" spans="1:7" x14ac:dyDescent="0.35">
      <c r="A3866" t="str">
        <f>"2020-07-23"</f>
        <v>2020-07-23</v>
      </c>
      <c r="B3866" t="str">
        <f>"28.4514"</f>
        <v>28.4514</v>
      </c>
      <c r="C3866">
        <v>3864</v>
      </c>
      <c r="D3866" s="7">
        <v>28.4514</v>
      </c>
      <c r="E3866" s="7">
        <f t="shared" si="120"/>
        <v>109936.2096</v>
      </c>
      <c r="F3866" s="7">
        <f t="shared" si="121"/>
        <v>14930496</v>
      </c>
      <c r="G3866" s="7"/>
    </row>
    <row r="3867" spans="1:7" x14ac:dyDescent="0.35">
      <c r="A3867" t="str">
        <f>"2020-07-24"</f>
        <v>2020-07-24</v>
      </c>
      <c r="B3867" t="str">
        <f>"28.1317"</f>
        <v>28.1317</v>
      </c>
      <c r="C3867">
        <v>3865</v>
      </c>
      <c r="D3867" s="7">
        <v>28.131699999999999</v>
      </c>
      <c r="E3867" s="7">
        <f t="shared" si="120"/>
        <v>108729.0205</v>
      </c>
      <c r="F3867" s="7">
        <f t="shared" si="121"/>
        <v>14938225</v>
      </c>
      <c r="G3867" s="7"/>
    </row>
    <row r="3868" spans="1:7" x14ac:dyDescent="0.35">
      <c r="A3868" t="str">
        <f>"2020-07-27"</f>
        <v>2020-07-27</v>
      </c>
      <c r="B3868" t="str">
        <f>"27.3139"</f>
        <v>27.3139</v>
      </c>
      <c r="C3868">
        <v>3866</v>
      </c>
      <c r="D3868" s="7">
        <v>27.3139</v>
      </c>
      <c r="E3868" s="7">
        <f t="shared" si="120"/>
        <v>105595.5374</v>
      </c>
      <c r="F3868" s="7">
        <f t="shared" si="121"/>
        <v>14945956</v>
      </c>
      <c r="G3868" s="7"/>
    </row>
    <row r="3869" spans="1:7" x14ac:dyDescent="0.35">
      <c r="A3869" t="str">
        <f>"2020-07-28"</f>
        <v>2020-07-28</v>
      </c>
      <c r="B3869" t="str">
        <f>"25.7611"</f>
        <v>25.7611</v>
      </c>
      <c r="C3869">
        <v>3867</v>
      </c>
      <c r="D3869" s="7">
        <v>25.761099999999999</v>
      </c>
      <c r="E3869" s="7">
        <f t="shared" si="120"/>
        <v>99618.173699999999</v>
      </c>
      <c r="F3869" s="7">
        <f t="shared" si="121"/>
        <v>14953689</v>
      </c>
      <c r="G3869" s="7"/>
    </row>
    <row r="3870" spans="1:7" x14ac:dyDescent="0.35">
      <c r="A3870" t="str">
        <f>"2020-07-29"</f>
        <v>2020-07-29</v>
      </c>
      <c r="B3870" t="str">
        <f>"24.8508"</f>
        <v>24.8508</v>
      </c>
      <c r="C3870">
        <v>3868</v>
      </c>
      <c r="D3870" s="7">
        <v>24.8508</v>
      </c>
      <c r="E3870" s="7">
        <f t="shared" si="120"/>
        <v>96122.894400000005</v>
      </c>
      <c r="F3870" s="7">
        <f t="shared" si="121"/>
        <v>14961424</v>
      </c>
      <c r="G3870" s="7"/>
    </row>
    <row r="3871" spans="1:7" x14ac:dyDescent="0.35">
      <c r="A3871" t="str">
        <f>"2020-07-30"</f>
        <v>2020-07-30</v>
      </c>
      <c r="B3871" t="str">
        <f>"24.5581"</f>
        <v>24.5581</v>
      </c>
      <c r="C3871">
        <v>3869</v>
      </c>
      <c r="D3871" s="7">
        <v>24.5581</v>
      </c>
      <c r="E3871" s="7">
        <f t="shared" si="120"/>
        <v>95015.2889</v>
      </c>
      <c r="F3871" s="7">
        <f t="shared" si="121"/>
        <v>14969161</v>
      </c>
      <c r="G3871" s="7"/>
    </row>
    <row r="3872" spans="1:7" x14ac:dyDescent="0.35">
      <c r="A3872" t="str">
        <f>"2020-08-04"</f>
        <v>2020-08-04</v>
      </c>
      <c r="B3872" t="str">
        <f>"24.5628"</f>
        <v>24.5628</v>
      </c>
      <c r="C3872">
        <v>3870</v>
      </c>
      <c r="D3872" s="7">
        <v>24.562799999999999</v>
      </c>
      <c r="E3872" s="7">
        <f t="shared" si="120"/>
        <v>95058.035999999993</v>
      </c>
      <c r="F3872" s="7">
        <f t="shared" si="121"/>
        <v>14976900</v>
      </c>
      <c r="G3872" s="7"/>
    </row>
    <row r="3873" spans="1:7" x14ac:dyDescent="0.35">
      <c r="A3873" t="str">
        <f>"2020-08-05"</f>
        <v>2020-08-05</v>
      </c>
      <c r="B3873" t="str">
        <f>"23.9894"</f>
        <v>23.9894</v>
      </c>
      <c r="C3873">
        <v>3871</v>
      </c>
      <c r="D3873" s="7">
        <v>23.9894</v>
      </c>
      <c r="E3873" s="7">
        <f t="shared" si="120"/>
        <v>92862.967399999994</v>
      </c>
      <c r="F3873" s="7">
        <f t="shared" si="121"/>
        <v>14984641</v>
      </c>
      <c r="G3873" s="7"/>
    </row>
    <row r="3874" spans="1:7" x14ac:dyDescent="0.35">
      <c r="A3874" t="str">
        <f>"2020-08-06"</f>
        <v>2020-08-06</v>
      </c>
      <c r="B3874" t="str">
        <f>"21.98"</f>
        <v>21.98</v>
      </c>
      <c r="C3874">
        <v>3872</v>
      </c>
      <c r="D3874" s="7">
        <v>21.98</v>
      </c>
      <c r="E3874" s="7">
        <f t="shared" si="120"/>
        <v>85106.559999999998</v>
      </c>
      <c r="F3874" s="7">
        <f t="shared" si="121"/>
        <v>14992384</v>
      </c>
      <c r="G3874" s="7"/>
    </row>
    <row r="3875" spans="1:7" x14ac:dyDescent="0.35">
      <c r="A3875" t="str">
        <f>"2020-08-07"</f>
        <v>2020-08-07</v>
      </c>
      <c r="B3875" t="str">
        <f>"22.9429"</f>
        <v>22.9429</v>
      </c>
      <c r="C3875">
        <v>3873</v>
      </c>
      <c r="D3875" s="7">
        <v>22.942900000000002</v>
      </c>
      <c r="E3875" s="7">
        <f t="shared" si="120"/>
        <v>88857.851699999999</v>
      </c>
      <c r="F3875" s="7">
        <f t="shared" si="121"/>
        <v>15000129</v>
      </c>
      <c r="G3875" s="7"/>
    </row>
    <row r="3876" spans="1:7" x14ac:dyDescent="0.35">
      <c r="A3876" t="str">
        <f>"2020-08-10"</f>
        <v>2020-08-10</v>
      </c>
      <c r="B3876" t="str">
        <f>"22.2057"</f>
        <v>22.2057</v>
      </c>
      <c r="C3876">
        <v>3874</v>
      </c>
      <c r="D3876" s="7">
        <v>22.2057</v>
      </c>
      <c r="E3876" s="7">
        <f t="shared" si="120"/>
        <v>86024.881800000003</v>
      </c>
      <c r="F3876" s="7">
        <f t="shared" si="121"/>
        <v>15007876</v>
      </c>
      <c r="G3876" s="7"/>
    </row>
    <row r="3877" spans="1:7" x14ac:dyDescent="0.35">
      <c r="A3877" t="str">
        <f>"2020-08-11"</f>
        <v>2020-08-11</v>
      </c>
      <c r="B3877" t="str">
        <f>"25.4981"</f>
        <v>25.4981</v>
      </c>
      <c r="C3877">
        <v>3875</v>
      </c>
      <c r="D3877" s="7">
        <v>25.498100000000001</v>
      </c>
      <c r="E3877" s="7">
        <f t="shared" si="120"/>
        <v>98805.137499999997</v>
      </c>
      <c r="F3877" s="7">
        <f t="shared" si="121"/>
        <v>15015625</v>
      </c>
      <c r="G3877" s="7"/>
    </row>
    <row r="3878" spans="1:7" x14ac:dyDescent="0.35">
      <c r="A3878" t="str">
        <f>"2020-08-12"</f>
        <v>2020-08-12</v>
      </c>
      <c r="B3878" t="str">
        <f>"25.6119"</f>
        <v>25.6119</v>
      </c>
      <c r="C3878">
        <v>3876</v>
      </c>
      <c r="D3878" s="7">
        <v>25.611899999999999</v>
      </c>
      <c r="E3878" s="7">
        <f t="shared" si="120"/>
        <v>99271.724399999992</v>
      </c>
      <c r="F3878" s="7">
        <f t="shared" si="121"/>
        <v>15023376</v>
      </c>
      <c r="G3878" s="7"/>
    </row>
    <row r="3879" spans="1:7" x14ac:dyDescent="0.35">
      <c r="A3879" t="str">
        <f>"2020-08-13"</f>
        <v>2020-08-13</v>
      </c>
      <c r="B3879" t="str">
        <f>"24.2814"</f>
        <v>24.2814</v>
      </c>
      <c r="C3879">
        <v>3877</v>
      </c>
      <c r="D3879" s="7">
        <v>24.281400000000001</v>
      </c>
      <c r="E3879" s="7">
        <f t="shared" si="120"/>
        <v>94138.987800000003</v>
      </c>
      <c r="F3879" s="7">
        <f t="shared" si="121"/>
        <v>15031129</v>
      </c>
      <c r="G3879" s="7"/>
    </row>
    <row r="3880" spans="1:7" x14ac:dyDescent="0.35">
      <c r="A3880" t="str">
        <f>"2020-08-14"</f>
        <v>2020-08-14</v>
      </c>
      <c r="B3880" t="str">
        <f>"24.3751"</f>
        <v>24.3751</v>
      </c>
      <c r="C3880">
        <v>3878</v>
      </c>
      <c r="D3880" s="7">
        <v>24.3751</v>
      </c>
      <c r="E3880" s="7">
        <f t="shared" si="120"/>
        <v>94526.637799999997</v>
      </c>
      <c r="F3880" s="7">
        <f t="shared" si="121"/>
        <v>15038884</v>
      </c>
      <c r="G3880" s="7"/>
    </row>
    <row r="3881" spans="1:7" x14ac:dyDescent="0.35">
      <c r="A3881" t="str">
        <f>"2020-08-17"</f>
        <v>2020-08-17</v>
      </c>
      <c r="B3881" t="str">
        <f>"23.3146"</f>
        <v>23.3146</v>
      </c>
      <c r="C3881">
        <v>3879</v>
      </c>
      <c r="D3881" s="7">
        <v>23.314599999999999</v>
      </c>
      <c r="E3881" s="7">
        <f t="shared" si="120"/>
        <v>90437.333399999989</v>
      </c>
      <c r="F3881" s="7">
        <f t="shared" si="121"/>
        <v>15046641</v>
      </c>
      <c r="G3881" s="7"/>
    </row>
    <row r="3882" spans="1:7" x14ac:dyDescent="0.35">
      <c r="A3882" t="str">
        <f>"2020-08-18"</f>
        <v>2020-08-18</v>
      </c>
      <c r="B3882" t="str">
        <f>"23.3765"</f>
        <v>23.3765</v>
      </c>
      <c r="C3882">
        <v>3880</v>
      </c>
      <c r="D3882" s="7">
        <v>23.3765</v>
      </c>
      <c r="E3882" s="7">
        <f t="shared" si="120"/>
        <v>90700.82</v>
      </c>
      <c r="F3882" s="7">
        <f t="shared" si="121"/>
        <v>15054400</v>
      </c>
      <c r="G3882" s="7"/>
    </row>
    <row r="3883" spans="1:7" x14ac:dyDescent="0.35">
      <c r="A3883" t="str">
        <f>"2020-08-19"</f>
        <v>2020-08-19</v>
      </c>
      <c r="B3883" t="str">
        <f>"24.2996"</f>
        <v>24.2996</v>
      </c>
      <c r="C3883">
        <v>3881</v>
      </c>
      <c r="D3883" s="7">
        <v>24.299600000000002</v>
      </c>
      <c r="E3883" s="7">
        <f t="shared" si="120"/>
        <v>94306.747600000002</v>
      </c>
      <c r="F3883" s="7">
        <f t="shared" si="121"/>
        <v>15062161</v>
      </c>
      <c r="G3883" s="7"/>
    </row>
    <row r="3884" spans="1:7" x14ac:dyDescent="0.35">
      <c r="A3884" t="str">
        <f>"2020-08-20"</f>
        <v>2020-08-20</v>
      </c>
      <c r="B3884" t="str">
        <f>"24.752"</f>
        <v>24.752</v>
      </c>
      <c r="C3884">
        <v>3882</v>
      </c>
      <c r="D3884" s="7">
        <v>24.751999999999999</v>
      </c>
      <c r="E3884" s="7">
        <f t="shared" si="120"/>
        <v>96087.263999999996</v>
      </c>
      <c r="F3884" s="7">
        <f t="shared" si="121"/>
        <v>15069924</v>
      </c>
      <c r="G3884" s="7"/>
    </row>
    <row r="3885" spans="1:7" x14ac:dyDescent="0.35">
      <c r="A3885" t="str">
        <f>"2020-08-21"</f>
        <v>2020-08-21</v>
      </c>
      <c r="B3885" t="str">
        <f>"24.3932"</f>
        <v>24.3932</v>
      </c>
      <c r="C3885">
        <v>3883</v>
      </c>
      <c r="D3885" s="7">
        <v>24.3932</v>
      </c>
      <c r="E3885" s="7">
        <f t="shared" si="120"/>
        <v>94718.795599999998</v>
      </c>
      <c r="F3885" s="7">
        <f t="shared" si="121"/>
        <v>15077689</v>
      </c>
      <c r="G3885" s="7"/>
    </row>
    <row r="3886" spans="1:7" x14ac:dyDescent="0.35">
      <c r="A3886" t="str">
        <f>"2020-08-24"</f>
        <v>2020-08-24</v>
      </c>
      <c r="B3886" t="str">
        <f>"24.5418"</f>
        <v>24.5418</v>
      </c>
      <c r="C3886">
        <v>3884</v>
      </c>
      <c r="D3886" s="7">
        <v>24.541799999999999</v>
      </c>
      <c r="E3886" s="7">
        <f t="shared" si="120"/>
        <v>95320.35119999999</v>
      </c>
      <c r="F3886" s="7">
        <f t="shared" si="121"/>
        <v>15085456</v>
      </c>
      <c r="G3886" s="7"/>
    </row>
    <row r="3887" spans="1:7" x14ac:dyDescent="0.35">
      <c r="A3887" t="str">
        <f>"2020-08-25"</f>
        <v>2020-08-25</v>
      </c>
      <c r="B3887" t="str">
        <f>"24.648"</f>
        <v>24.648</v>
      </c>
      <c r="C3887">
        <v>3885</v>
      </c>
      <c r="D3887" s="7">
        <v>24.648</v>
      </c>
      <c r="E3887" s="7">
        <f t="shared" si="120"/>
        <v>95757.48</v>
      </c>
      <c r="F3887" s="7">
        <f t="shared" si="121"/>
        <v>15093225</v>
      </c>
      <c r="G3887" s="7"/>
    </row>
    <row r="3888" spans="1:7" x14ac:dyDescent="0.35">
      <c r="A3888" t="str">
        <f>"2020-08-26"</f>
        <v>2020-08-26</v>
      </c>
      <c r="B3888" t="str">
        <f>"23.9108"</f>
        <v>23.9108</v>
      </c>
      <c r="C3888">
        <v>3886</v>
      </c>
      <c r="D3888" s="7">
        <v>23.910799999999998</v>
      </c>
      <c r="E3888" s="7">
        <f t="shared" si="120"/>
        <v>92917.368799999997</v>
      </c>
      <c r="F3888" s="7">
        <f t="shared" si="121"/>
        <v>15100996</v>
      </c>
      <c r="G3888" s="7"/>
    </row>
    <row r="3889" spans="1:7" x14ac:dyDescent="0.35">
      <c r="A3889" t="str">
        <f>"2020-08-27"</f>
        <v>2020-08-27</v>
      </c>
      <c r="B3889" t="str">
        <f>"24.4487"</f>
        <v>24.4487</v>
      </c>
      <c r="C3889">
        <v>3887</v>
      </c>
      <c r="D3889" s="7">
        <v>24.448699999999999</v>
      </c>
      <c r="E3889" s="7">
        <f t="shared" si="120"/>
        <v>95032.09689999999</v>
      </c>
      <c r="F3889" s="7">
        <f t="shared" si="121"/>
        <v>15108769</v>
      </c>
      <c r="G3889" s="7"/>
    </row>
    <row r="3890" spans="1:7" x14ac:dyDescent="0.35">
      <c r="A3890" t="str">
        <f>"2020-08-28"</f>
        <v>2020-08-28</v>
      </c>
      <c r="B3890" t="str">
        <f>"23.6642"</f>
        <v>23.6642</v>
      </c>
      <c r="C3890">
        <v>3888</v>
      </c>
      <c r="D3890" s="7">
        <v>23.664200000000001</v>
      </c>
      <c r="E3890" s="7">
        <f t="shared" si="120"/>
        <v>92006.409599999999</v>
      </c>
      <c r="F3890" s="7">
        <f t="shared" si="121"/>
        <v>15116544</v>
      </c>
      <c r="G3890" s="7"/>
    </row>
    <row r="3891" spans="1:7" x14ac:dyDescent="0.35">
      <c r="A3891" t="str">
        <f>"2020-08-31"</f>
        <v>2020-08-31</v>
      </c>
      <c r="B3891" t="str">
        <f>"22.8758"</f>
        <v>22.8758</v>
      </c>
      <c r="C3891">
        <v>3889</v>
      </c>
      <c r="D3891" s="7">
        <v>22.875800000000002</v>
      </c>
      <c r="E3891" s="7">
        <f t="shared" si="120"/>
        <v>88963.986199999999</v>
      </c>
      <c r="F3891" s="7">
        <f t="shared" si="121"/>
        <v>15124321</v>
      </c>
      <c r="G3891" s="7"/>
    </row>
    <row r="3892" spans="1:7" x14ac:dyDescent="0.35">
      <c r="A3892" t="str">
        <f>"2020-09-01"</f>
        <v>2020-09-01</v>
      </c>
      <c r="B3892" t="str">
        <f>"22.9116"</f>
        <v>22.9116</v>
      </c>
      <c r="C3892">
        <v>3890</v>
      </c>
      <c r="D3892" s="7">
        <v>22.9116</v>
      </c>
      <c r="E3892" s="7">
        <f t="shared" si="120"/>
        <v>89126.123999999996</v>
      </c>
      <c r="F3892" s="7">
        <f t="shared" si="121"/>
        <v>15132100</v>
      </c>
      <c r="G3892" s="7"/>
    </row>
    <row r="3893" spans="1:7" x14ac:dyDescent="0.35">
      <c r="A3893" t="str">
        <f>"2020-09-02"</f>
        <v>2020-09-02</v>
      </c>
      <c r="B3893" t="str">
        <f>"22.9846"</f>
        <v>22.9846</v>
      </c>
      <c r="C3893">
        <v>3891</v>
      </c>
      <c r="D3893" s="7">
        <v>22.9846</v>
      </c>
      <c r="E3893" s="7">
        <f t="shared" si="120"/>
        <v>89433.078600000008</v>
      </c>
      <c r="F3893" s="7">
        <f t="shared" si="121"/>
        <v>15139881</v>
      </c>
      <c r="G3893" s="7"/>
    </row>
    <row r="3894" spans="1:7" x14ac:dyDescent="0.35">
      <c r="A3894" t="str">
        <f>"2020-09-03"</f>
        <v>2020-09-03</v>
      </c>
      <c r="B3894" t="str">
        <f>"22.7249"</f>
        <v>22.7249</v>
      </c>
      <c r="C3894">
        <v>3892</v>
      </c>
      <c r="D3894" s="7">
        <v>22.724900000000002</v>
      </c>
      <c r="E3894" s="7">
        <f t="shared" si="120"/>
        <v>88445.310800000007</v>
      </c>
      <c r="F3894" s="7">
        <f t="shared" si="121"/>
        <v>15147664</v>
      </c>
      <c r="G3894" s="7"/>
    </row>
    <row r="3895" spans="1:7" x14ac:dyDescent="0.35">
      <c r="A3895" t="str">
        <f>"2020-09-04"</f>
        <v>2020-09-04</v>
      </c>
      <c r="B3895" t="str">
        <f>"22.8715"</f>
        <v>22.8715</v>
      </c>
      <c r="C3895">
        <v>3893</v>
      </c>
      <c r="D3895" s="7">
        <v>22.871500000000001</v>
      </c>
      <c r="E3895" s="7">
        <f t="shared" si="120"/>
        <v>89038.749500000005</v>
      </c>
      <c r="F3895" s="7">
        <f t="shared" si="121"/>
        <v>15155449</v>
      </c>
      <c r="G3895" s="7"/>
    </row>
    <row r="3896" spans="1:7" x14ac:dyDescent="0.35">
      <c r="A3896" t="str">
        <f>"2020-09-08"</f>
        <v>2020-09-08</v>
      </c>
      <c r="B3896" t="str">
        <f>"23.284"</f>
        <v>23.284</v>
      </c>
      <c r="C3896">
        <v>3894</v>
      </c>
      <c r="D3896" s="7">
        <v>23.283999999999999</v>
      </c>
      <c r="E3896" s="7">
        <f t="shared" si="120"/>
        <v>90667.895999999993</v>
      </c>
      <c r="F3896" s="7">
        <f t="shared" si="121"/>
        <v>15163236</v>
      </c>
      <c r="G3896" s="7"/>
    </row>
    <row r="3897" spans="1:7" x14ac:dyDescent="0.35">
      <c r="A3897" t="str">
        <f>"2020-09-09"</f>
        <v>2020-09-09</v>
      </c>
      <c r="B3897" t="str">
        <f>"23.1812"</f>
        <v>23.1812</v>
      </c>
      <c r="C3897">
        <v>3895</v>
      </c>
      <c r="D3897" s="7">
        <v>23.1812</v>
      </c>
      <c r="E3897" s="7">
        <f t="shared" si="120"/>
        <v>90290.774000000005</v>
      </c>
      <c r="F3897" s="7">
        <f t="shared" si="121"/>
        <v>15171025</v>
      </c>
      <c r="G3897" s="7"/>
    </row>
    <row r="3898" spans="1:7" x14ac:dyDescent="0.35">
      <c r="A3898" t="str">
        <f>"2020-09-10"</f>
        <v>2020-09-10</v>
      </c>
      <c r="B3898" t="str">
        <f>"22.9296"</f>
        <v>22.9296</v>
      </c>
      <c r="C3898">
        <v>3896</v>
      </c>
      <c r="D3898" s="7">
        <v>22.929600000000001</v>
      </c>
      <c r="E3898" s="7">
        <f t="shared" si="120"/>
        <v>89333.721600000004</v>
      </c>
      <c r="F3898" s="7">
        <f t="shared" si="121"/>
        <v>15178816</v>
      </c>
      <c r="G3898" s="7"/>
    </row>
    <row r="3899" spans="1:7" x14ac:dyDescent="0.35">
      <c r="A3899" t="str">
        <f>"2020-09-11"</f>
        <v>2020-09-11</v>
      </c>
      <c r="B3899" t="str">
        <f>"23.5507"</f>
        <v>23.5507</v>
      </c>
      <c r="C3899">
        <v>3897</v>
      </c>
      <c r="D3899" s="7">
        <v>23.550699999999999</v>
      </c>
      <c r="E3899" s="7">
        <f t="shared" si="120"/>
        <v>91777.077899999989</v>
      </c>
      <c r="F3899" s="7">
        <f t="shared" si="121"/>
        <v>15186609</v>
      </c>
      <c r="G3899" s="7"/>
    </row>
    <row r="3900" spans="1:7" x14ac:dyDescent="0.35">
      <c r="A3900" t="str">
        <f>"2020-09-14"</f>
        <v>2020-09-14</v>
      </c>
      <c r="B3900" t="str">
        <f>"23.246"</f>
        <v>23.246</v>
      </c>
      <c r="C3900">
        <v>3898</v>
      </c>
      <c r="D3900" s="7">
        <v>23.245999999999999</v>
      </c>
      <c r="E3900" s="7">
        <f t="shared" si="120"/>
        <v>90612.907999999996</v>
      </c>
      <c r="F3900" s="7">
        <f t="shared" si="121"/>
        <v>15194404</v>
      </c>
      <c r="G3900" s="7"/>
    </row>
    <row r="3901" spans="1:7" x14ac:dyDescent="0.35">
      <c r="A3901" t="str">
        <f>"2020-09-15"</f>
        <v>2020-09-15</v>
      </c>
      <c r="B3901" t="str">
        <f>"22.7965"</f>
        <v>22.7965</v>
      </c>
      <c r="C3901">
        <v>3899</v>
      </c>
      <c r="D3901" s="7">
        <v>22.796500000000002</v>
      </c>
      <c r="E3901" s="7">
        <f t="shared" si="120"/>
        <v>88883.553500000009</v>
      </c>
      <c r="F3901" s="7">
        <f t="shared" si="121"/>
        <v>15202201</v>
      </c>
      <c r="G3901" s="7"/>
    </row>
    <row r="3902" spans="1:7" x14ac:dyDescent="0.35">
      <c r="A3902" t="str">
        <f>"2020-09-16"</f>
        <v>2020-09-16</v>
      </c>
      <c r="B3902" t="str">
        <f>"22.5334"</f>
        <v>22.5334</v>
      </c>
      <c r="C3902">
        <v>3900</v>
      </c>
      <c r="D3902" s="7">
        <v>22.5334</v>
      </c>
      <c r="E3902" s="7">
        <f t="shared" si="120"/>
        <v>87880.26</v>
      </c>
      <c r="F3902" s="7">
        <f t="shared" si="121"/>
        <v>15210000</v>
      </c>
      <c r="G3902" s="7"/>
    </row>
    <row r="3903" spans="1:7" x14ac:dyDescent="0.35">
      <c r="A3903" t="str">
        <f>"2020-09-17"</f>
        <v>2020-09-17</v>
      </c>
      <c r="B3903" t="str">
        <f>"22.8101"</f>
        <v>22.8101</v>
      </c>
      <c r="C3903">
        <v>3901</v>
      </c>
      <c r="D3903" s="7">
        <v>22.810099999999998</v>
      </c>
      <c r="E3903" s="7">
        <f t="shared" si="120"/>
        <v>88982.200099999987</v>
      </c>
      <c r="F3903" s="7">
        <f t="shared" si="121"/>
        <v>15217801</v>
      </c>
      <c r="G3903" s="7"/>
    </row>
    <row r="3904" spans="1:7" x14ac:dyDescent="0.35">
      <c r="A3904" t="str">
        <f>"2020-09-18"</f>
        <v>2020-09-18</v>
      </c>
      <c r="B3904" t="str">
        <f>"22.4494"</f>
        <v>22.4494</v>
      </c>
      <c r="C3904">
        <v>3902</v>
      </c>
      <c r="D3904" s="7">
        <v>22.449400000000001</v>
      </c>
      <c r="E3904" s="7">
        <f t="shared" si="120"/>
        <v>87597.558799999999</v>
      </c>
      <c r="F3904" s="7">
        <f t="shared" si="121"/>
        <v>15225604</v>
      </c>
      <c r="G3904" s="7"/>
    </row>
    <row r="3905" spans="1:7" x14ac:dyDescent="0.35">
      <c r="A3905" t="str">
        <f>"2020-09-21"</f>
        <v>2020-09-21</v>
      </c>
      <c r="B3905" t="str">
        <f>"22.383"</f>
        <v>22.383</v>
      </c>
      <c r="C3905">
        <v>3903</v>
      </c>
      <c r="D3905" s="7">
        <v>22.382999999999999</v>
      </c>
      <c r="E3905" s="7">
        <f t="shared" si="120"/>
        <v>87360.849000000002</v>
      </c>
      <c r="F3905" s="7">
        <f t="shared" si="121"/>
        <v>15233409</v>
      </c>
      <c r="G3905" s="7"/>
    </row>
    <row r="3906" spans="1:7" x14ac:dyDescent="0.35">
      <c r="A3906" t="str">
        <f>"2020-09-22"</f>
        <v>2020-09-22</v>
      </c>
      <c r="B3906" t="str">
        <f>"22.7131"</f>
        <v>22.7131</v>
      </c>
      <c r="C3906">
        <v>3904</v>
      </c>
      <c r="D3906" s="7">
        <v>22.713100000000001</v>
      </c>
      <c r="E3906" s="7">
        <f t="shared" si="120"/>
        <v>88671.9424</v>
      </c>
      <c r="F3906" s="7">
        <f t="shared" si="121"/>
        <v>15241216</v>
      </c>
      <c r="G3906" s="7"/>
    </row>
    <row r="3907" spans="1:7" x14ac:dyDescent="0.35">
      <c r="A3907" t="str">
        <f>"2020-09-23"</f>
        <v>2020-09-23</v>
      </c>
      <c r="B3907" t="str">
        <f>"22.9659"</f>
        <v>22.9659</v>
      </c>
      <c r="C3907">
        <v>3905</v>
      </c>
      <c r="D3907" s="7">
        <v>22.965900000000001</v>
      </c>
      <c r="E3907" s="7">
        <f t="shared" si="120"/>
        <v>89681.839500000002</v>
      </c>
      <c r="F3907" s="7">
        <f t="shared" si="121"/>
        <v>15249025</v>
      </c>
      <c r="G3907" s="7"/>
    </row>
    <row r="3908" spans="1:7" x14ac:dyDescent="0.35">
      <c r="A3908" t="str">
        <f>"2020-09-24"</f>
        <v>2020-09-24</v>
      </c>
      <c r="B3908" t="str">
        <f>"22.7276"</f>
        <v>22.7276</v>
      </c>
      <c r="C3908">
        <v>3906</v>
      </c>
      <c r="D3908" s="7">
        <v>22.727599999999999</v>
      </c>
      <c r="E3908" s="7">
        <f t="shared" ref="E3908:E3971" si="122">C3908*D3908</f>
        <v>88774.005599999989</v>
      </c>
      <c r="F3908" s="7">
        <f t="shared" ref="F3908:F3971" si="123">C3908*C3908</f>
        <v>15256836</v>
      </c>
      <c r="G3908" s="7"/>
    </row>
    <row r="3909" spans="1:7" x14ac:dyDescent="0.35">
      <c r="A3909" t="str">
        <f>"2020-09-25"</f>
        <v>2020-09-25</v>
      </c>
      <c r="B3909" t="str">
        <f>"23.0621"</f>
        <v>23.0621</v>
      </c>
      <c r="C3909">
        <v>3907</v>
      </c>
      <c r="D3909" s="7">
        <v>23.062100000000001</v>
      </c>
      <c r="E3909" s="7">
        <f t="shared" si="122"/>
        <v>90103.6247</v>
      </c>
      <c r="F3909" s="7">
        <f t="shared" si="123"/>
        <v>15264649</v>
      </c>
      <c r="G3909" s="7"/>
    </row>
    <row r="3910" spans="1:7" x14ac:dyDescent="0.35">
      <c r="A3910" t="str">
        <f>"2020-09-28"</f>
        <v>2020-09-28</v>
      </c>
      <c r="B3910" t="str">
        <f>"22.489"</f>
        <v>22.489</v>
      </c>
      <c r="C3910">
        <v>3908</v>
      </c>
      <c r="D3910" s="7">
        <v>22.489000000000001</v>
      </c>
      <c r="E3910" s="7">
        <f t="shared" si="122"/>
        <v>87887.012000000002</v>
      </c>
      <c r="F3910" s="7">
        <f t="shared" si="123"/>
        <v>15272464</v>
      </c>
      <c r="G3910" s="7"/>
    </row>
    <row r="3911" spans="1:7" x14ac:dyDescent="0.35">
      <c r="A3911" t="str">
        <f>"2020-09-29"</f>
        <v>2020-09-29</v>
      </c>
      <c r="B3911" t="str">
        <f>"21.8424"</f>
        <v>21.8424</v>
      </c>
      <c r="C3911">
        <v>3909</v>
      </c>
      <c r="D3911" s="7">
        <v>21.842400000000001</v>
      </c>
      <c r="E3911" s="7">
        <f t="shared" si="122"/>
        <v>85381.941600000006</v>
      </c>
      <c r="F3911" s="7">
        <f t="shared" si="123"/>
        <v>15280281</v>
      </c>
      <c r="G3911" s="7"/>
    </row>
    <row r="3912" spans="1:7" x14ac:dyDescent="0.35">
      <c r="A3912" t="str">
        <f>"2020-09-30"</f>
        <v>2020-09-30</v>
      </c>
      <c r="B3912" t="str">
        <f>"22.1085"</f>
        <v>22.1085</v>
      </c>
      <c r="C3912">
        <v>3910</v>
      </c>
      <c r="D3912" s="7">
        <v>22.108499999999999</v>
      </c>
      <c r="E3912" s="7">
        <f t="shared" si="122"/>
        <v>86444.235000000001</v>
      </c>
      <c r="F3912" s="7">
        <f t="shared" si="123"/>
        <v>15288100</v>
      </c>
      <c r="G3912" s="7"/>
    </row>
    <row r="3913" spans="1:7" x14ac:dyDescent="0.35">
      <c r="A3913" t="str">
        <f>"2020-10-01"</f>
        <v>2020-10-01</v>
      </c>
      <c r="B3913" t="str">
        <f>"22.356"</f>
        <v>22.356</v>
      </c>
      <c r="C3913">
        <v>3911</v>
      </c>
      <c r="D3913" s="7">
        <v>22.356000000000002</v>
      </c>
      <c r="E3913" s="7">
        <f t="shared" si="122"/>
        <v>87434.316000000006</v>
      </c>
      <c r="F3913" s="7">
        <f t="shared" si="123"/>
        <v>15295921</v>
      </c>
      <c r="G3913" s="7"/>
    </row>
    <row r="3914" spans="1:7" x14ac:dyDescent="0.35">
      <c r="A3914" t="str">
        <f>"2020-10-02"</f>
        <v>2020-10-02</v>
      </c>
      <c r="B3914" t="str">
        <f>"22.4684"</f>
        <v>22.4684</v>
      </c>
      <c r="C3914">
        <v>3912</v>
      </c>
      <c r="D3914" s="7">
        <v>22.468399999999999</v>
      </c>
      <c r="E3914" s="7">
        <f t="shared" si="122"/>
        <v>87896.380799999999</v>
      </c>
      <c r="F3914" s="7">
        <f t="shared" si="123"/>
        <v>15303744</v>
      </c>
      <c r="G3914" s="7"/>
    </row>
    <row r="3915" spans="1:7" x14ac:dyDescent="0.35">
      <c r="A3915" t="str">
        <f>"2020-10-05"</f>
        <v>2020-10-05</v>
      </c>
      <c r="B3915" t="str">
        <f>"22.4506"</f>
        <v>22.4506</v>
      </c>
      <c r="C3915">
        <v>3913</v>
      </c>
      <c r="D3915" s="7">
        <v>22.450600000000001</v>
      </c>
      <c r="E3915" s="7">
        <f t="shared" si="122"/>
        <v>87849.197800000009</v>
      </c>
      <c r="F3915" s="7">
        <f t="shared" si="123"/>
        <v>15311569</v>
      </c>
      <c r="G3915" s="7"/>
    </row>
    <row r="3916" spans="1:7" x14ac:dyDescent="0.35">
      <c r="A3916" t="str">
        <f>"2020-10-06"</f>
        <v>2020-10-06</v>
      </c>
      <c r="B3916" t="str">
        <f>"22.4118"</f>
        <v>22.4118</v>
      </c>
      <c r="C3916">
        <v>3914</v>
      </c>
      <c r="D3916" s="7">
        <v>22.411799999999999</v>
      </c>
      <c r="E3916" s="7">
        <f t="shared" si="122"/>
        <v>87719.785199999998</v>
      </c>
      <c r="F3916" s="7">
        <f t="shared" si="123"/>
        <v>15319396</v>
      </c>
      <c r="G3916" s="7"/>
    </row>
    <row r="3917" spans="1:7" x14ac:dyDescent="0.35">
      <c r="A3917" t="str">
        <f>"2020-10-07"</f>
        <v>2020-10-07</v>
      </c>
      <c r="B3917" t="str">
        <f>"22.5591"</f>
        <v>22.5591</v>
      </c>
      <c r="C3917">
        <v>3915</v>
      </c>
      <c r="D3917" s="7">
        <v>22.559100000000001</v>
      </c>
      <c r="E3917" s="7">
        <f t="shared" si="122"/>
        <v>88318.876499999998</v>
      </c>
      <c r="F3917" s="7">
        <f t="shared" si="123"/>
        <v>15327225</v>
      </c>
      <c r="G3917" s="7"/>
    </row>
    <row r="3918" spans="1:7" x14ac:dyDescent="0.35">
      <c r="A3918" t="str">
        <f>"2020-10-08"</f>
        <v>2020-10-08</v>
      </c>
      <c r="B3918" t="str">
        <f>"22.3627"</f>
        <v>22.3627</v>
      </c>
      <c r="C3918">
        <v>3916</v>
      </c>
      <c r="D3918" s="7">
        <v>22.3627</v>
      </c>
      <c r="E3918" s="7">
        <f t="shared" si="122"/>
        <v>87572.333200000008</v>
      </c>
      <c r="F3918" s="7">
        <f t="shared" si="123"/>
        <v>15335056</v>
      </c>
      <c r="G3918" s="7"/>
    </row>
    <row r="3919" spans="1:7" x14ac:dyDescent="0.35">
      <c r="A3919" t="str">
        <f>"2020-10-09"</f>
        <v>2020-10-09</v>
      </c>
      <c r="B3919" t="str">
        <f>"21.9786"</f>
        <v>21.9786</v>
      </c>
      <c r="C3919">
        <v>3917</v>
      </c>
      <c r="D3919" s="7">
        <v>21.9786</v>
      </c>
      <c r="E3919" s="7">
        <f t="shared" si="122"/>
        <v>86090.176200000002</v>
      </c>
      <c r="F3919" s="7">
        <f t="shared" si="123"/>
        <v>15342889</v>
      </c>
      <c r="G3919" s="7"/>
    </row>
    <row r="3920" spans="1:7" x14ac:dyDescent="0.35">
      <c r="A3920" t="str">
        <f>"2020-10-12"</f>
        <v>2020-10-12</v>
      </c>
      <c r="B3920" t="str">
        <f>"22.272"</f>
        <v>22.272</v>
      </c>
      <c r="C3920">
        <v>3918</v>
      </c>
      <c r="D3920" s="7">
        <v>22.271999999999998</v>
      </c>
      <c r="E3920" s="7">
        <f t="shared" si="122"/>
        <v>87261.695999999996</v>
      </c>
      <c r="F3920" s="7">
        <f t="shared" si="123"/>
        <v>15350724</v>
      </c>
      <c r="G3920" s="7"/>
    </row>
    <row r="3921" spans="1:7" x14ac:dyDescent="0.35">
      <c r="A3921" t="str">
        <f>"2020-10-13"</f>
        <v>2020-10-13</v>
      </c>
      <c r="B3921" t="str">
        <f>"22.1816"</f>
        <v>22.1816</v>
      </c>
      <c r="C3921">
        <v>3919</v>
      </c>
      <c r="D3921" s="7">
        <v>22.1816</v>
      </c>
      <c r="E3921" s="7">
        <f t="shared" si="122"/>
        <v>86929.690399999992</v>
      </c>
      <c r="F3921" s="7">
        <f t="shared" si="123"/>
        <v>15358561</v>
      </c>
      <c r="G3921" s="7"/>
    </row>
    <row r="3922" spans="1:7" x14ac:dyDescent="0.35">
      <c r="A3922" t="str">
        <f>"2020-10-14"</f>
        <v>2020-10-14</v>
      </c>
      <c r="B3922" t="str">
        <f>"22.0167"</f>
        <v>22.0167</v>
      </c>
      <c r="C3922">
        <v>3920</v>
      </c>
      <c r="D3922" s="7">
        <v>22.0167</v>
      </c>
      <c r="E3922" s="7">
        <f t="shared" si="122"/>
        <v>86305.464000000007</v>
      </c>
      <c r="F3922" s="7">
        <f t="shared" si="123"/>
        <v>15366400</v>
      </c>
      <c r="G3922" s="7"/>
    </row>
    <row r="3923" spans="1:7" x14ac:dyDescent="0.35">
      <c r="A3923" t="str">
        <f>"2020-10-15"</f>
        <v>2020-10-15</v>
      </c>
      <c r="B3923" t="str">
        <f>"21.725"</f>
        <v>21.725</v>
      </c>
      <c r="C3923">
        <v>3921</v>
      </c>
      <c r="D3923" s="7">
        <v>21.725000000000001</v>
      </c>
      <c r="E3923" s="7">
        <f t="shared" si="122"/>
        <v>85183.725000000006</v>
      </c>
      <c r="F3923" s="7">
        <f t="shared" si="123"/>
        <v>15374241</v>
      </c>
      <c r="G3923" s="7"/>
    </row>
    <row r="3924" spans="1:7" x14ac:dyDescent="0.35">
      <c r="A3924" t="str">
        <f>"2020-10-16"</f>
        <v>2020-10-16</v>
      </c>
      <c r="B3924" t="str">
        <f>"21.8085"</f>
        <v>21.8085</v>
      </c>
      <c r="C3924">
        <v>3922</v>
      </c>
      <c r="D3924" s="7">
        <v>21.808499999999999</v>
      </c>
      <c r="E3924" s="7">
        <f t="shared" si="122"/>
        <v>85532.936999999991</v>
      </c>
      <c r="F3924" s="7">
        <f t="shared" si="123"/>
        <v>15382084</v>
      </c>
      <c r="G3924" s="7"/>
    </row>
    <row r="3925" spans="1:7" x14ac:dyDescent="0.35">
      <c r="A3925" t="str">
        <f>"2020-10-19"</f>
        <v>2020-10-19</v>
      </c>
      <c r="B3925" t="str">
        <f>"21.9193"</f>
        <v>21.9193</v>
      </c>
      <c r="C3925">
        <v>3923</v>
      </c>
      <c r="D3925" s="7">
        <v>21.9193</v>
      </c>
      <c r="E3925" s="7">
        <f t="shared" si="122"/>
        <v>85989.4139</v>
      </c>
      <c r="F3925" s="7">
        <f t="shared" si="123"/>
        <v>15389929</v>
      </c>
      <c r="G3925" s="7"/>
    </row>
    <row r="3926" spans="1:7" x14ac:dyDescent="0.35">
      <c r="A3926" t="str">
        <f>"2020-10-20"</f>
        <v>2020-10-20</v>
      </c>
      <c r="B3926" t="str">
        <f>"21.8595"</f>
        <v>21.8595</v>
      </c>
      <c r="C3926">
        <v>3924</v>
      </c>
      <c r="D3926" s="7">
        <v>21.859500000000001</v>
      </c>
      <c r="E3926" s="7">
        <f t="shared" si="122"/>
        <v>85776.678</v>
      </c>
      <c r="F3926" s="7">
        <f t="shared" si="123"/>
        <v>15397776</v>
      </c>
      <c r="G3926" s="7"/>
    </row>
    <row r="3927" spans="1:7" x14ac:dyDescent="0.35">
      <c r="A3927" t="str">
        <f>"2020-10-21"</f>
        <v>2020-10-21</v>
      </c>
      <c r="B3927" t="str">
        <f>"21.5535"</f>
        <v>21.5535</v>
      </c>
      <c r="C3927">
        <v>3925</v>
      </c>
      <c r="D3927" s="7">
        <v>21.5535</v>
      </c>
      <c r="E3927" s="7">
        <f t="shared" si="122"/>
        <v>84597.487500000003</v>
      </c>
      <c r="F3927" s="7">
        <f t="shared" si="123"/>
        <v>15405625</v>
      </c>
      <c r="G3927" s="7"/>
    </row>
    <row r="3928" spans="1:7" x14ac:dyDescent="0.35">
      <c r="A3928" t="str">
        <f>"2020-10-22"</f>
        <v>2020-10-22</v>
      </c>
      <c r="B3928" t="str">
        <f>"21.75"</f>
        <v>21.75</v>
      </c>
      <c r="C3928">
        <v>3926</v>
      </c>
      <c r="D3928" s="7">
        <v>21.75</v>
      </c>
      <c r="E3928" s="7">
        <f t="shared" si="122"/>
        <v>85390.5</v>
      </c>
      <c r="F3928" s="7">
        <f t="shared" si="123"/>
        <v>15413476</v>
      </c>
      <c r="G3928" s="7"/>
    </row>
    <row r="3929" spans="1:7" x14ac:dyDescent="0.35">
      <c r="A3929" t="str">
        <f>"2020-10-23"</f>
        <v>2020-10-23</v>
      </c>
      <c r="B3929" t="str">
        <f>"21.3546"</f>
        <v>21.3546</v>
      </c>
      <c r="C3929">
        <v>3927</v>
      </c>
      <c r="D3929" s="7">
        <v>21.354600000000001</v>
      </c>
      <c r="E3929" s="7">
        <f t="shared" si="122"/>
        <v>83859.514200000005</v>
      </c>
      <c r="F3929" s="7">
        <f t="shared" si="123"/>
        <v>15421329</v>
      </c>
      <c r="G3929" s="7"/>
    </row>
    <row r="3930" spans="1:7" x14ac:dyDescent="0.35">
      <c r="A3930" t="str">
        <f>"2020-10-26"</f>
        <v>2020-10-26</v>
      </c>
      <c r="B3930" t="str">
        <f>"20.0711"</f>
        <v>20.0711</v>
      </c>
      <c r="C3930">
        <v>3928</v>
      </c>
      <c r="D3930" s="7">
        <v>20.071100000000001</v>
      </c>
      <c r="E3930" s="7">
        <f t="shared" si="122"/>
        <v>78839.280800000008</v>
      </c>
      <c r="F3930" s="7">
        <f t="shared" si="123"/>
        <v>15429184</v>
      </c>
      <c r="G3930" s="7"/>
    </row>
    <row r="3931" spans="1:7" x14ac:dyDescent="0.35">
      <c r="A3931" t="str">
        <f>"2020-10-27"</f>
        <v>2020-10-27</v>
      </c>
      <c r="B3931" t="str">
        <f>"19.0336"</f>
        <v>19.0336</v>
      </c>
      <c r="C3931">
        <v>3929</v>
      </c>
      <c r="D3931" s="7">
        <v>19.0336</v>
      </c>
      <c r="E3931" s="7">
        <f t="shared" si="122"/>
        <v>74783.0144</v>
      </c>
      <c r="F3931" s="7">
        <f t="shared" si="123"/>
        <v>15437041</v>
      </c>
      <c r="G3931" s="7"/>
    </row>
    <row r="3932" spans="1:7" x14ac:dyDescent="0.35">
      <c r="A3932" t="str">
        <f>"2020-10-28"</f>
        <v>2020-10-28</v>
      </c>
      <c r="B3932" t="str">
        <f>"18.5353"</f>
        <v>18.5353</v>
      </c>
      <c r="C3932">
        <v>3930</v>
      </c>
      <c r="D3932" s="7">
        <v>18.535299999999999</v>
      </c>
      <c r="E3932" s="7">
        <f t="shared" si="122"/>
        <v>72843.728999999992</v>
      </c>
      <c r="F3932" s="7">
        <f t="shared" si="123"/>
        <v>15444900</v>
      </c>
      <c r="G3932" s="7"/>
    </row>
    <row r="3933" spans="1:7" x14ac:dyDescent="0.35">
      <c r="A3933" t="str">
        <f>"2020-10-30"</f>
        <v>2020-10-30</v>
      </c>
      <c r="B3933" t="str">
        <f>"18.009"</f>
        <v>18.009</v>
      </c>
      <c r="C3933">
        <v>3931</v>
      </c>
      <c r="D3933" s="7">
        <v>18.009</v>
      </c>
      <c r="E3933" s="7">
        <f t="shared" si="122"/>
        <v>70793.379000000001</v>
      </c>
      <c r="F3933" s="7">
        <f t="shared" si="123"/>
        <v>15452761</v>
      </c>
      <c r="G3933" s="7"/>
    </row>
    <row r="3934" spans="1:7" x14ac:dyDescent="0.35">
      <c r="A3934" t="str">
        <f>"2020-11-02"</f>
        <v>2020-11-02</v>
      </c>
      <c r="B3934" t="str">
        <f>"18.5319"</f>
        <v>18.5319</v>
      </c>
      <c r="C3934">
        <v>3932</v>
      </c>
      <c r="D3934" s="7">
        <v>18.5319</v>
      </c>
      <c r="E3934" s="7">
        <f t="shared" si="122"/>
        <v>72867.430800000002</v>
      </c>
      <c r="F3934" s="7">
        <f t="shared" si="123"/>
        <v>15460624</v>
      </c>
      <c r="G3934" s="7"/>
    </row>
    <row r="3935" spans="1:7" x14ac:dyDescent="0.35">
      <c r="A3935" t="str">
        <f>"2020-11-03"</f>
        <v>2020-11-03</v>
      </c>
      <c r="B3935" t="str">
        <f>"18.3774"</f>
        <v>18.3774</v>
      </c>
      <c r="C3935">
        <v>3933</v>
      </c>
      <c r="D3935" s="7">
        <v>18.377400000000002</v>
      </c>
      <c r="E3935" s="7">
        <f t="shared" si="122"/>
        <v>72278.314200000008</v>
      </c>
      <c r="F3935" s="7">
        <f t="shared" si="123"/>
        <v>15468489</v>
      </c>
      <c r="G3935" s="7"/>
    </row>
    <row r="3936" spans="1:7" x14ac:dyDescent="0.35">
      <c r="A3936" t="str">
        <f>"2020-11-04"</f>
        <v>2020-11-04</v>
      </c>
      <c r="B3936" t="str">
        <f>"19.0609"</f>
        <v>19.0609</v>
      </c>
      <c r="C3936">
        <v>3934</v>
      </c>
      <c r="D3936" s="7">
        <v>19.0609</v>
      </c>
      <c r="E3936" s="7">
        <f t="shared" si="122"/>
        <v>74985.580600000001</v>
      </c>
      <c r="F3936" s="7">
        <f t="shared" si="123"/>
        <v>15476356</v>
      </c>
      <c r="G3936" s="7"/>
    </row>
    <row r="3937" spans="1:7" x14ac:dyDescent="0.35">
      <c r="A3937" t="str">
        <f>"2020-11-05"</f>
        <v>2020-11-05</v>
      </c>
      <c r="B3937" t="str">
        <f>"18.3939"</f>
        <v>18.3939</v>
      </c>
      <c r="C3937">
        <v>3935</v>
      </c>
      <c r="D3937" s="7">
        <v>18.393899999999999</v>
      </c>
      <c r="E3937" s="7">
        <f t="shared" si="122"/>
        <v>72379.996499999994</v>
      </c>
      <c r="F3937" s="7">
        <f t="shared" si="123"/>
        <v>15484225</v>
      </c>
      <c r="G3937" s="7"/>
    </row>
    <row r="3938" spans="1:7" x14ac:dyDescent="0.35">
      <c r="A3938" t="str">
        <f>"2020-11-06"</f>
        <v>2020-11-06</v>
      </c>
      <c r="B3938" t="str">
        <f>"18.3905"</f>
        <v>18.3905</v>
      </c>
      <c r="C3938">
        <v>3936</v>
      </c>
      <c r="D3938" s="7">
        <v>18.390499999999999</v>
      </c>
      <c r="E3938" s="7">
        <f t="shared" si="122"/>
        <v>72385.008000000002</v>
      </c>
      <c r="F3938" s="7">
        <f t="shared" si="123"/>
        <v>15492096</v>
      </c>
      <c r="G3938" s="7"/>
    </row>
    <row r="3939" spans="1:7" x14ac:dyDescent="0.35">
      <c r="A3939" t="str">
        <f>"2020-11-09"</f>
        <v>2020-11-09</v>
      </c>
      <c r="B3939" t="str">
        <f>"21.2437"</f>
        <v>21.2437</v>
      </c>
      <c r="C3939">
        <v>3937</v>
      </c>
      <c r="D3939" s="7">
        <v>21.2437</v>
      </c>
      <c r="E3939" s="7">
        <f t="shared" si="122"/>
        <v>83636.446899999995</v>
      </c>
      <c r="F3939" s="7">
        <f t="shared" si="123"/>
        <v>15499969</v>
      </c>
      <c r="G3939" s="7"/>
    </row>
    <row r="3940" spans="1:7" x14ac:dyDescent="0.35">
      <c r="A3940" t="str">
        <f>"2020-11-10"</f>
        <v>2020-11-10</v>
      </c>
      <c r="B3940" t="str">
        <f>"23.5041"</f>
        <v>23.5041</v>
      </c>
      <c r="C3940">
        <v>3938</v>
      </c>
      <c r="D3940" s="7">
        <v>23.504100000000001</v>
      </c>
      <c r="E3940" s="7">
        <f t="shared" si="122"/>
        <v>92559.145799999998</v>
      </c>
      <c r="F3940" s="7">
        <f t="shared" si="123"/>
        <v>15507844</v>
      </c>
      <c r="G3940" s="7"/>
    </row>
    <row r="3941" spans="1:7" x14ac:dyDescent="0.35">
      <c r="A3941" t="str">
        <f>"2020-11-11"</f>
        <v>2020-11-11</v>
      </c>
      <c r="B3941" t="str">
        <f>"24.2049"</f>
        <v>24.2049</v>
      </c>
      <c r="C3941">
        <v>3939</v>
      </c>
      <c r="D3941" s="7">
        <v>24.204899999999999</v>
      </c>
      <c r="E3941" s="7">
        <f t="shared" si="122"/>
        <v>95343.1011</v>
      </c>
      <c r="F3941" s="7">
        <f t="shared" si="123"/>
        <v>15515721</v>
      </c>
      <c r="G3941" s="7"/>
    </row>
    <row r="3942" spans="1:7" x14ac:dyDescent="0.35">
      <c r="A3942" t="str">
        <f>"2020-11-12"</f>
        <v>2020-11-12</v>
      </c>
      <c r="B3942" t="str">
        <f>"24.9905"</f>
        <v>24.9905</v>
      </c>
      <c r="C3942">
        <v>3940</v>
      </c>
      <c r="D3942" s="7">
        <v>24.990500000000001</v>
      </c>
      <c r="E3942" s="7">
        <f t="shared" si="122"/>
        <v>98462.57</v>
      </c>
      <c r="F3942" s="7">
        <f t="shared" si="123"/>
        <v>15523600</v>
      </c>
      <c r="G3942" s="7"/>
    </row>
    <row r="3943" spans="1:7" x14ac:dyDescent="0.35">
      <c r="A3943" t="str">
        <f>"2020-11-13"</f>
        <v>2020-11-13</v>
      </c>
      <c r="B3943" t="str">
        <f>"24.7143"</f>
        <v>24.7143</v>
      </c>
      <c r="C3943">
        <v>3941</v>
      </c>
      <c r="D3943" s="7">
        <v>24.714300000000001</v>
      </c>
      <c r="E3943" s="7">
        <f t="shared" si="122"/>
        <v>97399.056300000011</v>
      </c>
      <c r="F3943" s="7">
        <f t="shared" si="123"/>
        <v>15531481</v>
      </c>
      <c r="G3943" s="7"/>
    </row>
    <row r="3944" spans="1:7" x14ac:dyDescent="0.35">
      <c r="A3944" t="str">
        <f>"2020-11-16"</f>
        <v>2020-11-16</v>
      </c>
      <c r="B3944" t="str">
        <f>"25.521"</f>
        <v>25.521</v>
      </c>
      <c r="C3944">
        <v>3942</v>
      </c>
      <c r="D3944" s="7">
        <v>25.521000000000001</v>
      </c>
      <c r="E3944" s="7">
        <f t="shared" si="122"/>
        <v>100603.78200000001</v>
      </c>
      <c r="F3944" s="7">
        <f t="shared" si="123"/>
        <v>15539364</v>
      </c>
      <c r="G3944" s="7"/>
    </row>
    <row r="3945" spans="1:7" x14ac:dyDescent="0.35">
      <c r="A3945" t="str">
        <f>"2020-11-17"</f>
        <v>2020-11-17</v>
      </c>
      <c r="B3945" t="str">
        <f>"24.5801"</f>
        <v>24.5801</v>
      </c>
      <c r="C3945">
        <v>3943</v>
      </c>
      <c r="D3945" s="7">
        <v>24.580100000000002</v>
      </c>
      <c r="E3945" s="7">
        <f t="shared" si="122"/>
        <v>96919.334300000002</v>
      </c>
      <c r="F3945" s="7">
        <f t="shared" si="123"/>
        <v>15547249</v>
      </c>
      <c r="G3945" s="7"/>
    </row>
    <row r="3946" spans="1:7" x14ac:dyDescent="0.35">
      <c r="A3946" t="str">
        <f>"2020-11-18"</f>
        <v>2020-11-18</v>
      </c>
      <c r="B3946" t="str">
        <f>"25.3311"</f>
        <v>25.3311</v>
      </c>
      <c r="C3946">
        <v>3944</v>
      </c>
      <c r="D3946" s="7">
        <v>25.331099999999999</v>
      </c>
      <c r="E3946" s="7">
        <f t="shared" si="122"/>
        <v>99905.858399999997</v>
      </c>
      <c r="F3946" s="7">
        <f t="shared" si="123"/>
        <v>15555136</v>
      </c>
      <c r="G3946" s="7"/>
    </row>
    <row r="3947" spans="1:7" x14ac:dyDescent="0.35">
      <c r="A3947" t="str">
        <f>"2020-11-19"</f>
        <v>2020-11-19</v>
      </c>
      <c r="B3947" t="str">
        <f>"25.4672"</f>
        <v>25.4672</v>
      </c>
      <c r="C3947">
        <v>3945</v>
      </c>
      <c r="D3947" s="7">
        <v>25.467199999999998</v>
      </c>
      <c r="E3947" s="7">
        <f t="shared" si="122"/>
        <v>100468.10399999999</v>
      </c>
      <c r="F3947" s="7">
        <f t="shared" si="123"/>
        <v>15563025</v>
      </c>
      <c r="G3947" s="7"/>
    </row>
    <row r="3948" spans="1:7" x14ac:dyDescent="0.35">
      <c r="A3948" t="str">
        <f>"2020-11-20"</f>
        <v>2020-11-20</v>
      </c>
      <c r="B3948" t="str">
        <f>"26.2598"</f>
        <v>26.2598</v>
      </c>
      <c r="C3948">
        <v>3946</v>
      </c>
      <c r="D3948" s="7">
        <v>26.259799999999998</v>
      </c>
      <c r="E3948" s="7">
        <f t="shared" si="122"/>
        <v>103621.17079999999</v>
      </c>
      <c r="F3948" s="7">
        <f t="shared" si="123"/>
        <v>15570916</v>
      </c>
      <c r="G3948" s="7"/>
    </row>
    <row r="3949" spans="1:7" x14ac:dyDescent="0.35">
      <c r="A3949" t="str">
        <f>"2020-11-23"</f>
        <v>2020-11-23</v>
      </c>
      <c r="B3949" t="str">
        <f>"26.1066"</f>
        <v>26.1066</v>
      </c>
      <c r="C3949">
        <v>3947</v>
      </c>
      <c r="D3949" s="7">
        <v>26.1066</v>
      </c>
      <c r="E3949" s="7">
        <f t="shared" si="122"/>
        <v>103042.75019999999</v>
      </c>
      <c r="F3949" s="7">
        <f t="shared" si="123"/>
        <v>15578809</v>
      </c>
      <c r="G3949" s="7"/>
    </row>
    <row r="3950" spans="1:7" x14ac:dyDescent="0.35">
      <c r="A3950" t="str">
        <f>"2020-11-24"</f>
        <v>2020-11-24</v>
      </c>
      <c r="B3950" t="str">
        <f>"25.8926"</f>
        <v>25.8926</v>
      </c>
      <c r="C3950">
        <v>3948</v>
      </c>
      <c r="D3950" s="7">
        <v>25.892600000000002</v>
      </c>
      <c r="E3950" s="7">
        <f t="shared" si="122"/>
        <v>102223.98480000001</v>
      </c>
      <c r="F3950" s="7">
        <f t="shared" si="123"/>
        <v>15586704</v>
      </c>
      <c r="G3950" s="7"/>
    </row>
    <row r="3951" spans="1:7" x14ac:dyDescent="0.35">
      <c r="A3951" t="str">
        <f>"2020-11-25"</f>
        <v>2020-11-25</v>
      </c>
      <c r="B3951" t="str">
        <f>"25.7928"</f>
        <v>25.7928</v>
      </c>
      <c r="C3951">
        <v>3949</v>
      </c>
      <c r="D3951" s="7">
        <v>25.7928</v>
      </c>
      <c r="E3951" s="7">
        <f t="shared" si="122"/>
        <v>101855.7672</v>
      </c>
      <c r="F3951" s="7">
        <f t="shared" si="123"/>
        <v>15594601</v>
      </c>
      <c r="G3951" s="7"/>
    </row>
    <row r="3952" spans="1:7" x14ac:dyDescent="0.35">
      <c r="A3952" t="str">
        <f>"2020-11-27"</f>
        <v>2020-11-27</v>
      </c>
      <c r="B3952" t="str">
        <f>"26.5458"</f>
        <v>26.5458</v>
      </c>
      <c r="C3952">
        <v>3950</v>
      </c>
      <c r="D3952" s="7">
        <v>26.5458</v>
      </c>
      <c r="E3952" s="7">
        <f t="shared" si="122"/>
        <v>104855.91</v>
      </c>
      <c r="F3952" s="7">
        <f t="shared" si="123"/>
        <v>15602500</v>
      </c>
      <c r="G3952" s="7"/>
    </row>
    <row r="3953" spans="1:7" x14ac:dyDescent="0.35">
      <c r="A3953" t="str">
        <f>"2020-11-30"</f>
        <v>2020-11-30</v>
      </c>
      <c r="B3953" t="str">
        <f>"25.6335"</f>
        <v>25.6335</v>
      </c>
      <c r="C3953">
        <v>3951</v>
      </c>
      <c r="D3953" s="7">
        <v>25.633500000000002</v>
      </c>
      <c r="E3953" s="7">
        <f t="shared" si="122"/>
        <v>101277.95850000001</v>
      </c>
      <c r="F3953" s="7">
        <f t="shared" si="123"/>
        <v>15610401</v>
      </c>
      <c r="G3953" s="7"/>
    </row>
    <row r="3954" spans="1:7" x14ac:dyDescent="0.35">
      <c r="A3954" t="str">
        <f>"2020-12-01"</f>
        <v>2020-12-01</v>
      </c>
      <c r="B3954" t="str">
        <f>"27.3534"</f>
        <v>27.3534</v>
      </c>
      <c r="C3954">
        <v>3952</v>
      </c>
      <c r="D3954" s="7">
        <v>27.353400000000001</v>
      </c>
      <c r="E3954" s="7">
        <f t="shared" si="122"/>
        <v>108100.63680000001</v>
      </c>
      <c r="F3954" s="7">
        <f t="shared" si="123"/>
        <v>15618304</v>
      </c>
      <c r="G3954" s="7"/>
    </row>
    <row r="3955" spans="1:7" x14ac:dyDescent="0.35">
      <c r="A3955" t="str">
        <f>"2020-12-02"</f>
        <v>2020-12-02</v>
      </c>
      <c r="B3955" t="str">
        <f>"26.7833"</f>
        <v>26.7833</v>
      </c>
      <c r="C3955">
        <v>3953</v>
      </c>
      <c r="D3955" s="7">
        <v>26.783300000000001</v>
      </c>
      <c r="E3955" s="7">
        <f t="shared" si="122"/>
        <v>105874.3849</v>
      </c>
      <c r="F3955" s="7">
        <f t="shared" si="123"/>
        <v>15626209</v>
      </c>
      <c r="G3955" s="7"/>
    </row>
    <row r="3956" spans="1:7" x14ac:dyDescent="0.35">
      <c r="A3956" t="str">
        <f>"2020-12-03"</f>
        <v>2020-12-03</v>
      </c>
      <c r="B3956" t="str">
        <f>"26.2939"</f>
        <v>26.2939</v>
      </c>
      <c r="C3956">
        <v>3954</v>
      </c>
      <c r="D3956" s="7">
        <v>26.293900000000001</v>
      </c>
      <c r="E3956" s="7">
        <f t="shared" si="122"/>
        <v>103966.0806</v>
      </c>
      <c r="F3956" s="7">
        <f t="shared" si="123"/>
        <v>15634116</v>
      </c>
      <c r="G3956" s="7"/>
    </row>
    <row r="3957" spans="1:7" x14ac:dyDescent="0.35">
      <c r="A3957" t="str">
        <f>"2020-12-04"</f>
        <v>2020-12-04</v>
      </c>
      <c r="B3957" t="str">
        <f>"26.5192"</f>
        <v>26.5192</v>
      </c>
      <c r="C3957">
        <v>3955</v>
      </c>
      <c r="D3957" s="7">
        <v>26.519200000000001</v>
      </c>
      <c r="E3957" s="7">
        <f t="shared" si="122"/>
        <v>104883.436</v>
      </c>
      <c r="F3957" s="7">
        <f t="shared" si="123"/>
        <v>15642025</v>
      </c>
      <c r="G3957" s="7"/>
    </row>
    <row r="3958" spans="1:7" x14ac:dyDescent="0.35">
      <c r="A3958" t="str">
        <f>"2020-12-07"</f>
        <v>2020-12-07</v>
      </c>
      <c r="B3958" t="str">
        <f>"26.3182"</f>
        <v>26.3182</v>
      </c>
      <c r="C3958">
        <v>3956</v>
      </c>
      <c r="D3958" s="7">
        <v>26.318200000000001</v>
      </c>
      <c r="E3958" s="7">
        <f t="shared" si="122"/>
        <v>104114.79920000001</v>
      </c>
      <c r="F3958" s="7">
        <f t="shared" si="123"/>
        <v>15649936</v>
      </c>
      <c r="G3958" s="7"/>
    </row>
    <row r="3959" spans="1:7" x14ac:dyDescent="0.35">
      <c r="A3959" t="str">
        <f>"2020-12-08"</f>
        <v>2020-12-08</v>
      </c>
      <c r="B3959" t="str">
        <f>"26.0792"</f>
        <v>26.0792</v>
      </c>
      <c r="C3959">
        <v>3957</v>
      </c>
      <c r="D3959" s="7">
        <v>26.0792</v>
      </c>
      <c r="E3959" s="7">
        <f t="shared" si="122"/>
        <v>103195.3944</v>
      </c>
      <c r="F3959" s="7">
        <f t="shared" si="123"/>
        <v>15657849</v>
      </c>
      <c r="G3959" s="7"/>
    </row>
    <row r="3960" spans="1:7" x14ac:dyDescent="0.35">
      <c r="A3960" t="str">
        <f>"2020-12-09"</f>
        <v>2020-12-09</v>
      </c>
      <c r="B3960" t="str">
        <f>"26.6801"</f>
        <v>26.6801</v>
      </c>
      <c r="C3960">
        <v>3958</v>
      </c>
      <c r="D3960" s="7">
        <v>26.680099999999999</v>
      </c>
      <c r="E3960" s="7">
        <f t="shared" si="122"/>
        <v>105599.8358</v>
      </c>
      <c r="F3960" s="7">
        <f t="shared" si="123"/>
        <v>15665764</v>
      </c>
      <c r="G3960" s="7"/>
    </row>
    <row r="3961" spans="1:7" x14ac:dyDescent="0.35">
      <c r="A3961" t="str">
        <f>"2020-12-10"</f>
        <v>2020-12-10</v>
      </c>
      <c r="B3961" t="str">
        <f>"26.4938"</f>
        <v>26.4938</v>
      </c>
      <c r="C3961">
        <v>3959</v>
      </c>
      <c r="D3961" s="7">
        <v>26.4938</v>
      </c>
      <c r="E3961" s="7">
        <f t="shared" si="122"/>
        <v>104888.95420000001</v>
      </c>
      <c r="F3961" s="7">
        <f t="shared" si="123"/>
        <v>15673681</v>
      </c>
      <c r="G3961" s="7"/>
    </row>
    <row r="3962" spans="1:7" x14ac:dyDescent="0.35">
      <c r="A3962" t="str">
        <f>"2020-12-11"</f>
        <v>2020-12-11</v>
      </c>
      <c r="B3962" t="str">
        <f>"26.3676"</f>
        <v>26.3676</v>
      </c>
      <c r="C3962">
        <v>3960</v>
      </c>
      <c r="D3962" s="7">
        <v>26.367599999999999</v>
      </c>
      <c r="E3962" s="7">
        <f t="shared" si="122"/>
        <v>104415.696</v>
      </c>
      <c r="F3962" s="7">
        <f t="shared" si="123"/>
        <v>15681600</v>
      </c>
      <c r="G3962" s="7"/>
    </row>
    <row r="3963" spans="1:7" x14ac:dyDescent="0.35">
      <c r="A3963" t="str">
        <f>"2020-12-14"</f>
        <v>2020-12-14</v>
      </c>
      <c r="B3963" t="str">
        <f>"27.1986"</f>
        <v>27.1986</v>
      </c>
      <c r="C3963">
        <v>3961</v>
      </c>
      <c r="D3963" s="7">
        <v>27.198599999999999</v>
      </c>
      <c r="E3963" s="7">
        <f t="shared" si="122"/>
        <v>107733.65459999999</v>
      </c>
      <c r="F3963" s="7">
        <f t="shared" si="123"/>
        <v>15689521</v>
      </c>
      <c r="G3963" s="7"/>
    </row>
    <row r="3964" spans="1:7" x14ac:dyDescent="0.35">
      <c r="A3964" t="str">
        <f>"2020-12-15"</f>
        <v>2020-12-15</v>
      </c>
      <c r="B3964" t="str">
        <f>"27.0694"</f>
        <v>27.0694</v>
      </c>
      <c r="C3964">
        <v>3962</v>
      </c>
      <c r="D3964" s="7">
        <v>27.069400000000002</v>
      </c>
      <c r="E3964" s="7">
        <f t="shared" si="122"/>
        <v>107248.96280000001</v>
      </c>
      <c r="F3964" s="7">
        <f t="shared" si="123"/>
        <v>15697444</v>
      </c>
      <c r="G3964" s="7"/>
    </row>
    <row r="3965" spans="1:7" x14ac:dyDescent="0.35">
      <c r="A3965" t="str">
        <f>"2020-12-16"</f>
        <v>2020-12-16</v>
      </c>
      <c r="B3965" t="str">
        <f>"27.2639"</f>
        <v>27.2639</v>
      </c>
      <c r="C3965">
        <v>3963</v>
      </c>
      <c r="D3965" s="7">
        <v>27.2639</v>
      </c>
      <c r="E3965" s="7">
        <f t="shared" si="122"/>
        <v>108046.8357</v>
      </c>
      <c r="F3965" s="7">
        <f t="shared" si="123"/>
        <v>15705369</v>
      </c>
      <c r="G3965" s="7"/>
    </row>
    <row r="3966" spans="1:7" x14ac:dyDescent="0.35">
      <c r="A3966" t="str">
        <f>"2020-12-17"</f>
        <v>2020-12-17</v>
      </c>
      <c r="B3966" t="str">
        <f>"27.5509"</f>
        <v>27.5509</v>
      </c>
      <c r="C3966">
        <v>3964</v>
      </c>
      <c r="D3966" s="7">
        <v>27.550899999999999</v>
      </c>
      <c r="E3966" s="7">
        <f t="shared" si="122"/>
        <v>109211.76759999999</v>
      </c>
      <c r="F3966" s="7">
        <f t="shared" si="123"/>
        <v>15713296</v>
      </c>
      <c r="G3966" s="7"/>
    </row>
    <row r="3967" spans="1:7" x14ac:dyDescent="0.35">
      <c r="A3967" t="str">
        <f>"2020-12-18"</f>
        <v>2020-12-18</v>
      </c>
      <c r="B3967" t="str">
        <f>"27.856"</f>
        <v>27.856</v>
      </c>
      <c r="C3967">
        <v>3965</v>
      </c>
      <c r="D3967" s="7">
        <v>27.856000000000002</v>
      </c>
      <c r="E3967" s="7">
        <f t="shared" si="122"/>
        <v>110449.04000000001</v>
      </c>
      <c r="F3967" s="7">
        <f t="shared" si="123"/>
        <v>15721225</v>
      </c>
      <c r="G3967" s="7"/>
    </row>
    <row r="3968" spans="1:7" x14ac:dyDescent="0.35">
      <c r="A3968" t="str">
        <f>"2020-12-21"</f>
        <v>2020-12-21</v>
      </c>
      <c r="B3968" t="str">
        <f>"26.3231"</f>
        <v>26.3231</v>
      </c>
      <c r="C3968">
        <v>3966</v>
      </c>
      <c r="D3968" s="7">
        <v>26.3231</v>
      </c>
      <c r="E3968" s="7">
        <f t="shared" si="122"/>
        <v>104397.4146</v>
      </c>
      <c r="F3968" s="7">
        <f t="shared" si="123"/>
        <v>15729156</v>
      </c>
      <c r="G3968" s="7"/>
    </row>
    <row r="3969" spans="1:7" x14ac:dyDescent="0.35">
      <c r="A3969" t="str">
        <f>"2020-12-22"</f>
        <v>2020-12-22</v>
      </c>
      <c r="B3969" t="str">
        <f>"27.1207"</f>
        <v>27.1207</v>
      </c>
      <c r="C3969">
        <v>3967</v>
      </c>
      <c r="D3969" s="7">
        <v>27.120699999999999</v>
      </c>
      <c r="E3969" s="7">
        <f t="shared" si="122"/>
        <v>107587.81689999999</v>
      </c>
      <c r="F3969" s="7">
        <f t="shared" si="123"/>
        <v>15737089</v>
      </c>
      <c r="G3969" s="7"/>
    </row>
    <row r="3970" spans="1:7" x14ac:dyDescent="0.35">
      <c r="A3970" t="str">
        <f>"2020-12-23"</f>
        <v>2020-12-23</v>
      </c>
      <c r="B3970" t="str">
        <f>"26.9532"</f>
        <v>26.9532</v>
      </c>
      <c r="C3970">
        <v>3968</v>
      </c>
      <c r="D3970" s="7">
        <v>26.953199999999999</v>
      </c>
      <c r="E3970" s="7">
        <f t="shared" si="122"/>
        <v>106950.29759999999</v>
      </c>
      <c r="F3970" s="7">
        <f t="shared" si="123"/>
        <v>15745024</v>
      </c>
      <c r="G3970" s="7"/>
    </row>
    <row r="3971" spans="1:7" x14ac:dyDescent="0.35">
      <c r="A3971" t="str">
        <f>"2020-12-24"</f>
        <v>2020-12-24</v>
      </c>
      <c r="B3971" t="str">
        <f>"27.7008"</f>
        <v>27.7008</v>
      </c>
      <c r="C3971">
        <v>3969</v>
      </c>
      <c r="D3971" s="7">
        <v>27.700800000000001</v>
      </c>
      <c r="E3971" s="7">
        <f t="shared" si="122"/>
        <v>109944.4752</v>
      </c>
      <c r="F3971" s="7">
        <f t="shared" si="123"/>
        <v>15752961</v>
      </c>
      <c r="G3971" s="7"/>
    </row>
    <row r="3972" spans="1:7" x14ac:dyDescent="0.35">
      <c r="A3972" t="str">
        <f>"2020-12-28"</f>
        <v>2020-12-28</v>
      </c>
      <c r="B3972" t="str">
        <f>"27.6462"</f>
        <v>27.6462</v>
      </c>
      <c r="C3972">
        <v>3970</v>
      </c>
      <c r="D3972" s="7">
        <v>27.6462</v>
      </c>
      <c r="E3972" s="7">
        <f t="shared" ref="E3972:E4035" si="124">C3972*D3972</f>
        <v>109755.414</v>
      </c>
      <c r="F3972" s="7">
        <f t="shared" ref="F3972:F4035" si="125">C3972*C3972</f>
        <v>15760900</v>
      </c>
      <c r="G3972" s="7"/>
    </row>
    <row r="3973" spans="1:7" x14ac:dyDescent="0.35">
      <c r="A3973" t="str">
        <f>"2020-12-29"</f>
        <v>2020-12-29</v>
      </c>
      <c r="B3973" t="str">
        <f>"28.6705"</f>
        <v>28.6705</v>
      </c>
      <c r="C3973">
        <v>3971</v>
      </c>
      <c r="D3973" s="7">
        <v>28.670500000000001</v>
      </c>
      <c r="E3973" s="7">
        <f t="shared" si="124"/>
        <v>113850.5555</v>
      </c>
      <c r="F3973" s="7">
        <f t="shared" si="125"/>
        <v>15768841</v>
      </c>
      <c r="G3973" s="7"/>
    </row>
    <row r="3974" spans="1:7" x14ac:dyDescent="0.35">
      <c r="A3974" t="str">
        <f>"2020-12-30"</f>
        <v>2020-12-30</v>
      </c>
      <c r="B3974" t="str">
        <f>"28.7612"</f>
        <v>28.7612</v>
      </c>
      <c r="C3974">
        <v>3972</v>
      </c>
      <c r="D3974" s="7">
        <v>28.761199999999999</v>
      </c>
      <c r="E3974" s="7">
        <f t="shared" si="124"/>
        <v>114239.48639999999</v>
      </c>
      <c r="F3974" s="7">
        <f t="shared" si="125"/>
        <v>15776784</v>
      </c>
      <c r="G3974" s="7"/>
    </row>
    <row r="3975" spans="1:7" x14ac:dyDescent="0.35">
      <c r="A3975" t="str">
        <f>"2020-12-31"</f>
        <v>2020-12-31</v>
      </c>
      <c r="B3975" t="str">
        <f>"29.0108"</f>
        <v>29.0108</v>
      </c>
      <c r="C3975">
        <v>3973</v>
      </c>
      <c r="D3975" s="7">
        <v>29.0108</v>
      </c>
      <c r="E3975" s="7">
        <f t="shared" si="124"/>
        <v>115259.9084</v>
      </c>
      <c r="F3975" s="7">
        <f t="shared" si="125"/>
        <v>15784729</v>
      </c>
      <c r="G3975" s="7"/>
    </row>
    <row r="3976" spans="1:7" x14ac:dyDescent="0.35">
      <c r="A3976" t="str">
        <f>"2021-01-04"</f>
        <v>2021-01-04</v>
      </c>
      <c r="B3976" t="str">
        <f>"27.2827"</f>
        <v>27.2827</v>
      </c>
      <c r="C3976">
        <v>3974</v>
      </c>
      <c r="D3976" s="7">
        <v>27.282699999999998</v>
      </c>
      <c r="E3976" s="7">
        <f t="shared" si="124"/>
        <v>108421.44979999999</v>
      </c>
      <c r="F3976" s="7">
        <f t="shared" si="125"/>
        <v>15792676</v>
      </c>
      <c r="G3976" s="7"/>
    </row>
    <row r="3977" spans="1:7" x14ac:dyDescent="0.35">
      <c r="A3977" t="str">
        <f>"2021-01-05"</f>
        <v>2021-01-05</v>
      </c>
      <c r="B3977" t="str">
        <f>"26.9999"</f>
        <v>26.9999</v>
      </c>
      <c r="C3977">
        <v>3975</v>
      </c>
      <c r="D3977" s="7">
        <v>26.9999</v>
      </c>
      <c r="E3977" s="7">
        <f t="shared" si="124"/>
        <v>107324.60250000001</v>
      </c>
      <c r="F3977" s="7">
        <f t="shared" si="125"/>
        <v>15800625</v>
      </c>
      <c r="G3977" s="7"/>
    </row>
    <row r="3978" spans="1:7" x14ac:dyDescent="0.35">
      <c r="A3978" t="str">
        <f>"2021-01-06"</f>
        <v>2021-01-06</v>
      </c>
      <c r="B3978" t="str">
        <f>"28.0105"</f>
        <v>28.0105</v>
      </c>
      <c r="C3978">
        <v>3976</v>
      </c>
      <c r="D3978" s="7">
        <v>28.0105</v>
      </c>
      <c r="E3978" s="7">
        <f t="shared" si="124"/>
        <v>111369.74800000001</v>
      </c>
      <c r="F3978" s="7">
        <f t="shared" si="125"/>
        <v>15808576</v>
      </c>
      <c r="G3978" s="7"/>
    </row>
    <row r="3979" spans="1:7" x14ac:dyDescent="0.35">
      <c r="A3979" t="str">
        <f>"2021-01-07"</f>
        <v>2021-01-07</v>
      </c>
      <c r="B3979" t="str">
        <f>"28.2531"</f>
        <v>28.2531</v>
      </c>
      <c r="C3979">
        <v>3977</v>
      </c>
      <c r="D3979" s="7">
        <v>28.2531</v>
      </c>
      <c r="E3979" s="7">
        <f t="shared" si="124"/>
        <v>112362.5787</v>
      </c>
      <c r="F3979" s="7">
        <f t="shared" si="125"/>
        <v>15816529</v>
      </c>
      <c r="G3979" s="7"/>
    </row>
    <row r="3980" spans="1:7" x14ac:dyDescent="0.35">
      <c r="A3980" t="str">
        <f>"2021-01-08"</f>
        <v>2021-01-08</v>
      </c>
      <c r="B3980" t="str">
        <f>"29.72"</f>
        <v>29.72</v>
      </c>
      <c r="C3980">
        <v>3978</v>
      </c>
      <c r="D3980" s="7">
        <v>29.72</v>
      </c>
      <c r="E3980" s="7">
        <f t="shared" si="124"/>
        <v>118226.15999999999</v>
      </c>
      <c r="F3980" s="7">
        <f t="shared" si="125"/>
        <v>15824484</v>
      </c>
      <c r="G3980" s="7"/>
    </row>
    <row r="3981" spans="1:7" x14ac:dyDescent="0.35">
      <c r="A3981" t="str">
        <f>"2021-01-11"</f>
        <v>2021-01-11</v>
      </c>
      <c r="B3981" t="str">
        <f>"29.0266"</f>
        <v>29.0266</v>
      </c>
      <c r="C3981">
        <v>3979</v>
      </c>
      <c r="D3981" s="7">
        <v>29.026599999999998</v>
      </c>
      <c r="E3981" s="7">
        <f t="shared" si="124"/>
        <v>115496.84139999999</v>
      </c>
      <c r="F3981" s="7">
        <f t="shared" si="125"/>
        <v>15832441</v>
      </c>
      <c r="G3981" s="7"/>
    </row>
    <row r="3982" spans="1:7" x14ac:dyDescent="0.35">
      <c r="A3982" t="str">
        <f>"2021-01-12"</f>
        <v>2021-01-12</v>
      </c>
      <c r="B3982" t="str">
        <f>"29.0253"</f>
        <v>29.0253</v>
      </c>
      <c r="C3982">
        <v>3980</v>
      </c>
      <c r="D3982" s="7">
        <v>29.025300000000001</v>
      </c>
      <c r="E3982" s="7">
        <f t="shared" si="124"/>
        <v>115520.694</v>
      </c>
      <c r="F3982" s="7">
        <f t="shared" si="125"/>
        <v>15840400</v>
      </c>
      <c r="G3982" s="7"/>
    </row>
    <row r="3983" spans="1:7" x14ac:dyDescent="0.35">
      <c r="A3983" t="str">
        <f>"2021-01-13"</f>
        <v>2021-01-13</v>
      </c>
      <c r="B3983" t="str">
        <f>"29.8784"</f>
        <v>29.8784</v>
      </c>
      <c r="C3983">
        <v>3981</v>
      </c>
      <c r="D3983" s="7">
        <v>29.878399999999999</v>
      </c>
      <c r="E3983" s="7">
        <f t="shared" si="124"/>
        <v>118945.91039999999</v>
      </c>
      <c r="F3983" s="7">
        <f t="shared" si="125"/>
        <v>15848361</v>
      </c>
      <c r="G3983" s="7"/>
    </row>
    <row r="3984" spans="1:7" x14ac:dyDescent="0.35">
      <c r="A3984" t="str">
        <f>"2021-01-14"</f>
        <v>2021-01-14</v>
      </c>
      <c r="B3984" t="str">
        <f>"30.0995"</f>
        <v>30.0995</v>
      </c>
      <c r="C3984">
        <v>3982</v>
      </c>
      <c r="D3984" s="7">
        <v>30.099499999999999</v>
      </c>
      <c r="E3984" s="7">
        <f t="shared" si="124"/>
        <v>119856.209</v>
      </c>
      <c r="F3984" s="7">
        <f t="shared" si="125"/>
        <v>15856324</v>
      </c>
      <c r="G3984" s="7"/>
    </row>
    <row r="3985" spans="1:7" x14ac:dyDescent="0.35">
      <c r="A3985" t="str">
        <f>"2021-01-15"</f>
        <v>2021-01-15</v>
      </c>
      <c r="B3985" t="str">
        <f>"30.6538"</f>
        <v>30.6538</v>
      </c>
      <c r="C3985">
        <v>3983</v>
      </c>
      <c r="D3985" s="7">
        <v>30.6538</v>
      </c>
      <c r="E3985" s="7">
        <f t="shared" si="124"/>
        <v>122094.0854</v>
      </c>
      <c r="F3985" s="7">
        <f t="shared" si="125"/>
        <v>15864289</v>
      </c>
      <c r="G3985" s="7"/>
    </row>
    <row r="3986" spans="1:7" x14ac:dyDescent="0.35">
      <c r="A3986" t="str">
        <f>"2021-01-19"</f>
        <v>2021-01-19</v>
      </c>
      <c r="B3986" t="str">
        <f>"30.514"</f>
        <v>30.514</v>
      </c>
      <c r="C3986">
        <v>3984</v>
      </c>
      <c r="D3986" s="7">
        <v>30.513999999999999</v>
      </c>
      <c r="E3986" s="7">
        <f t="shared" si="124"/>
        <v>121567.776</v>
      </c>
      <c r="F3986" s="7">
        <f t="shared" si="125"/>
        <v>15872256</v>
      </c>
      <c r="G3986" s="7"/>
    </row>
    <row r="3987" spans="1:7" x14ac:dyDescent="0.35">
      <c r="A3987" t="str">
        <f>"2021-01-20"</f>
        <v>2021-01-20</v>
      </c>
      <c r="B3987" t="str">
        <f>"29.6046"</f>
        <v>29.6046</v>
      </c>
      <c r="C3987">
        <v>3985</v>
      </c>
      <c r="D3987" s="7">
        <v>29.604600000000001</v>
      </c>
      <c r="E3987" s="7">
        <f t="shared" si="124"/>
        <v>117974.33100000001</v>
      </c>
      <c r="F3987" s="7">
        <f t="shared" si="125"/>
        <v>15880225</v>
      </c>
      <c r="G3987" s="7"/>
    </row>
    <row r="3988" spans="1:7" x14ac:dyDescent="0.35">
      <c r="A3988" t="str">
        <f>"2021-01-21"</f>
        <v>2021-01-21</v>
      </c>
      <c r="B3988" t="str">
        <f>"29.3192"</f>
        <v>29.3192</v>
      </c>
      <c r="C3988">
        <v>3986</v>
      </c>
      <c r="D3988" s="7">
        <v>29.319199999999999</v>
      </c>
      <c r="E3988" s="7">
        <f t="shared" si="124"/>
        <v>116866.3312</v>
      </c>
      <c r="F3988" s="7">
        <f t="shared" si="125"/>
        <v>15888196</v>
      </c>
      <c r="G3988" s="7"/>
    </row>
    <row r="3989" spans="1:7" x14ac:dyDescent="0.35">
      <c r="A3989" t="str">
        <f>"2021-01-22"</f>
        <v>2021-01-22</v>
      </c>
      <c r="B3989" t="str">
        <f>"29.4229"</f>
        <v>29.4229</v>
      </c>
      <c r="C3989">
        <v>3987</v>
      </c>
      <c r="D3989" s="7">
        <v>29.422899999999998</v>
      </c>
      <c r="E3989" s="7">
        <f t="shared" si="124"/>
        <v>117309.1023</v>
      </c>
      <c r="F3989" s="7">
        <f t="shared" si="125"/>
        <v>15896169</v>
      </c>
      <c r="G3989" s="7"/>
    </row>
    <row r="3990" spans="1:7" x14ac:dyDescent="0.35">
      <c r="A3990" t="str">
        <f>"2021-01-25"</f>
        <v>2021-01-25</v>
      </c>
      <c r="B3990" t="str">
        <f>"28.7092"</f>
        <v>28.7092</v>
      </c>
      <c r="C3990">
        <v>3988</v>
      </c>
      <c r="D3990" s="7">
        <v>28.709199999999999</v>
      </c>
      <c r="E3990" s="7">
        <f t="shared" si="124"/>
        <v>114492.2896</v>
      </c>
      <c r="F3990" s="7">
        <f t="shared" si="125"/>
        <v>15904144</v>
      </c>
      <c r="G3990" s="7"/>
    </row>
    <row r="3991" spans="1:7" x14ac:dyDescent="0.35">
      <c r="A3991" t="str">
        <f>"2021-01-26"</f>
        <v>2021-01-26</v>
      </c>
      <c r="B3991" t="str">
        <f>"28.6553"</f>
        <v>28.6553</v>
      </c>
      <c r="C3991">
        <v>3989</v>
      </c>
      <c r="D3991" s="7">
        <v>28.6553</v>
      </c>
      <c r="E3991" s="7">
        <f t="shared" si="124"/>
        <v>114305.9917</v>
      </c>
      <c r="F3991" s="7">
        <f t="shared" si="125"/>
        <v>15912121</v>
      </c>
      <c r="G3991" s="7"/>
    </row>
    <row r="3992" spans="1:7" x14ac:dyDescent="0.35">
      <c r="A3992" t="str">
        <f>"2021-01-27"</f>
        <v>2021-01-27</v>
      </c>
      <c r="B3992" t="str">
        <f>"27.4206"</f>
        <v>27.4206</v>
      </c>
      <c r="C3992">
        <v>3990</v>
      </c>
      <c r="D3992" s="7">
        <v>27.4206</v>
      </c>
      <c r="E3992" s="7">
        <f t="shared" si="124"/>
        <v>109408.194</v>
      </c>
      <c r="F3992" s="7">
        <f t="shared" si="125"/>
        <v>15920100</v>
      </c>
      <c r="G3992" s="7"/>
    </row>
    <row r="3993" spans="1:7" x14ac:dyDescent="0.35">
      <c r="A3993" t="str">
        <f>"2021-01-28"</f>
        <v>2021-01-28</v>
      </c>
      <c r="B3993" t="str">
        <f>"28.2276"</f>
        <v>28.2276</v>
      </c>
      <c r="C3993">
        <v>3991</v>
      </c>
      <c r="D3993" s="7">
        <v>28.227599999999999</v>
      </c>
      <c r="E3993" s="7">
        <f t="shared" si="124"/>
        <v>112656.35159999999</v>
      </c>
      <c r="F3993" s="7">
        <f t="shared" si="125"/>
        <v>15928081</v>
      </c>
      <c r="G3993" s="7"/>
    </row>
    <row r="3994" spans="1:7" x14ac:dyDescent="0.35">
      <c r="A3994" t="str">
        <f>"2021-01-29"</f>
        <v>2021-01-29</v>
      </c>
      <c r="B3994" t="str">
        <f>"27.7574"</f>
        <v>27.7574</v>
      </c>
      <c r="C3994">
        <v>3992</v>
      </c>
      <c r="D3994" s="7">
        <v>27.757400000000001</v>
      </c>
      <c r="E3994" s="7">
        <f t="shared" si="124"/>
        <v>110807.5408</v>
      </c>
      <c r="F3994" s="7">
        <f t="shared" si="125"/>
        <v>15936064</v>
      </c>
      <c r="G3994" s="7"/>
    </row>
    <row r="3995" spans="1:7" x14ac:dyDescent="0.35">
      <c r="A3995" t="str">
        <f>"2021-02-01"</f>
        <v>2021-02-01</v>
      </c>
      <c r="B3995" t="str">
        <f>"27.5841"</f>
        <v>27.5841</v>
      </c>
      <c r="C3995">
        <v>3993</v>
      </c>
      <c r="D3995" s="7">
        <v>27.584099999999999</v>
      </c>
      <c r="E3995" s="7">
        <f t="shared" si="124"/>
        <v>110143.3113</v>
      </c>
      <c r="F3995" s="7">
        <f t="shared" si="125"/>
        <v>15944049</v>
      </c>
      <c r="G3995" s="7"/>
    </row>
    <row r="3996" spans="1:7" x14ac:dyDescent="0.35">
      <c r="A3996" t="str">
        <f>"2021-02-02"</f>
        <v>2021-02-02</v>
      </c>
      <c r="B3996" t="str">
        <f>"28.5204"</f>
        <v>28.5204</v>
      </c>
      <c r="C3996">
        <v>3994</v>
      </c>
      <c r="D3996" s="7">
        <v>28.520399999999999</v>
      </c>
      <c r="E3996" s="7">
        <f t="shared" si="124"/>
        <v>113910.4776</v>
      </c>
      <c r="F3996" s="7">
        <f t="shared" si="125"/>
        <v>15952036</v>
      </c>
      <c r="G3996" s="7"/>
    </row>
    <row r="3997" spans="1:7" x14ac:dyDescent="0.35">
      <c r="A3997" t="str">
        <f>"2021-02-03"</f>
        <v>2021-02-03</v>
      </c>
      <c r="B3997" t="str">
        <f>"28.6765"</f>
        <v>28.6765</v>
      </c>
      <c r="C3997">
        <v>3995</v>
      </c>
      <c r="D3997" s="7">
        <v>28.676500000000001</v>
      </c>
      <c r="E3997" s="7">
        <f t="shared" si="124"/>
        <v>114562.61750000001</v>
      </c>
      <c r="F3997" s="7">
        <f t="shared" si="125"/>
        <v>15960025</v>
      </c>
      <c r="G3997" s="7"/>
    </row>
    <row r="3998" spans="1:7" x14ac:dyDescent="0.35">
      <c r="A3998" t="str">
        <f>"2021-02-04"</f>
        <v>2021-02-04</v>
      </c>
      <c r="B3998" t="str">
        <f>"29.6399"</f>
        <v>29.6399</v>
      </c>
      <c r="C3998">
        <v>3996</v>
      </c>
      <c r="D3998" s="7">
        <v>29.639900000000001</v>
      </c>
      <c r="E3998" s="7">
        <f t="shared" si="124"/>
        <v>118441.0404</v>
      </c>
      <c r="F3998" s="7">
        <f t="shared" si="125"/>
        <v>15968016</v>
      </c>
      <c r="G3998" s="7"/>
    </row>
    <row r="3999" spans="1:7" x14ac:dyDescent="0.35">
      <c r="A3999" t="str">
        <f>"2021-02-05"</f>
        <v>2021-02-05</v>
      </c>
      <c r="B3999" t="str">
        <f>"29.2808"</f>
        <v>29.2808</v>
      </c>
      <c r="C3999">
        <v>3997</v>
      </c>
      <c r="D3999" s="7">
        <v>29.280799999999999</v>
      </c>
      <c r="E3999" s="7">
        <f t="shared" si="124"/>
        <v>117035.3576</v>
      </c>
      <c r="F3999" s="7">
        <f t="shared" si="125"/>
        <v>15976009</v>
      </c>
      <c r="G3999" s="7"/>
    </row>
    <row r="4000" spans="1:7" x14ac:dyDescent="0.35">
      <c r="A4000" t="str">
        <f>"2021-02-08"</f>
        <v>2021-02-08</v>
      </c>
      <c r="B4000" t="str">
        <f>"29.2328"</f>
        <v>29.2328</v>
      </c>
      <c r="C4000">
        <v>3998</v>
      </c>
      <c r="D4000" s="7">
        <v>29.232800000000001</v>
      </c>
      <c r="E4000" s="7">
        <f t="shared" si="124"/>
        <v>116872.7344</v>
      </c>
      <c r="F4000" s="7">
        <f t="shared" si="125"/>
        <v>15984004</v>
      </c>
      <c r="G4000" s="7"/>
    </row>
    <row r="4001" spans="1:7" x14ac:dyDescent="0.35">
      <c r="A4001" t="str">
        <f>"2021-02-09"</f>
        <v>2021-02-09</v>
      </c>
      <c r="B4001" t="str">
        <f>"29.1523"</f>
        <v>29.1523</v>
      </c>
      <c r="C4001">
        <v>3999</v>
      </c>
      <c r="D4001" s="7">
        <v>29.1523</v>
      </c>
      <c r="E4001" s="7">
        <f t="shared" si="124"/>
        <v>116580.0477</v>
      </c>
      <c r="F4001" s="7">
        <f t="shared" si="125"/>
        <v>15992001</v>
      </c>
      <c r="G4001" s="7"/>
    </row>
    <row r="4002" spans="1:7" x14ac:dyDescent="0.35">
      <c r="A4002" t="str">
        <f>"2021-02-10"</f>
        <v>2021-02-10</v>
      </c>
      <c r="B4002" t="str">
        <f>"29.209"</f>
        <v>29.209</v>
      </c>
      <c r="C4002">
        <v>4000</v>
      </c>
      <c r="D4002" s="7">
        <v>29.209</v>
      </c>
      <c r="E4002" s="7">
        <f t="shared" si="124"/>
        <v>116836</v>
      </c>
      <c r="F4002" s="7">
        <f t="shared" si="125"/>
        <v>16000000</v>
      </c>
      <c r="G4002" s="7"/>
    </row>
    <row r="4003" spans="1:7" x14ac:dyDescent="0.35">
      <c r="A4003" t="str">
        <f>"2021-02-11"</f>
        <v>2021-02-11</v>
      </c>
      <c r="B4003" t="str">
        <f>"29.3508"</f>
        <v>29.3508</v>
      </c>
      <c r="C4003">
        <v>4001</v>
      </c>
      <c r="D4003" s="7">
        <v>29.3508</v>
      </c>
      <c r="E4003" s="7">
        <f t="shared" si="124"/>
        <v>117432.5508</v>
      </c>
      <c r="F4003" s="7">
        <f t="shared" si="125"/>
        <v>16008001</v>
      </c>
      <c r="G4003" s="7"/>
    </row>
    <row r="4004" spans="1:7" x14ac:dyDescent="0.35">
      <c r="A4004" t="str">
        <f>"2021-02-12"</f>
        <v>2021-02-12</v>
      </c>
      <c r="B4004" t="str">
        <f>"29.1715"</f>
        <v>29.1715</v>
      </c>
      <c r="C4004">
        <v>4002</v>
      </c>
      <c r="D4004" s="7">
        <v>29.171500000000002</v>
      </c>
      <c r="E4004" s="7">
        <f t="shared" si="124"/>
        <v>116744.34300000001</v>
      </c>
      <c r="F4004" s="7">
        <f t="shared" si="125"/>
        <v>16016004</v>
      </c>
      <c r="G4004" s="7"/>
    </row>
    <row r="4005" spans="1:7" x14ac:dyDescent="0.35">
      <c r="A4005" t="str">
        <f>"2021-02-16"</f>
        <v>2021-02-16</v>
      </c>
      <c r="B4005" t="str">
        <f>"30.3001"</f>
        <v>30.3001</v>
      </c>
      <c r="C4005">
        <v>4003</v>
      </c>
      <c r="D4005" s="7">
        <v>30.3001</v>
      </c>
      <c r="E4005" s="7">
        <f t="shared" si="124"/>
        <v>121291.3003</v>
      </c>
      <c r="F4005" s="7">
        <f t="shared" si="125"/>
        <v>16024009</v>
      </c>
      <c r="G4005" s="7"/>
    </row>
    <row r="4006" spans="1:7" x14ac:dyDescent="0.35">
      <c r="A4006" t="str">
        <f>"2021-02-17"</f>
        <v>2021-02-17</v>
      </c>
      <c r="B4006" t="str">
        <f>"30.6847"</f>
        <v>30.6847</v>
      </c>
      <c r="C4006">
        <v>4004</v>
      </c>
      <c r="D4006" s="7">
        <v>30.684699999999999</v>
      </c>
      <c r="E4006" s="7">
        <f t="shared" si="124"/>
        <v>122861.53879999999</v>
      </c>
      <c r="F4006" s="7">
        <f t="shared" si="125"/>
        <v>16032016</v>
      </c>
      <c r="G4006" s="7"/>
    </row>
    <row r="4007" spans="1:7" x14ac:dyDescent="0.35">
      <c r="A4007" t="str">
        <f>"2021-02-18"</f>
        <v>2021-02-18</v>
      </c>
      <c r="B4007" t="str">
        <f>"30.9056"</f>
        <v>30.9056</v>
      </c>
      <c r="C4007">
        <v>4005</v>
      </c>
      <c r="D4007" s="7">
        <v>30.9056</v>
      </c>
      <c r="E4007" s="7">
        <f t="shared" si="124"/>
        <v>123776.928</v>
      </c>
      <c r="F4007" s="7">
        <f t="shared" si="125"/>
        <v>16040025</v>
      </c>
      <c r="G4007" s="7"/>
    </row>
    <row r="4008" spans="1:7" x14ac:dyDescent="0.35">
      <c r="A4008" t="str">
        <f>"2021-02-19"</f>
        <v>2021-02-19</v>
      </c>
      <c r="B4008" t="str">
        <f>"30.9288"</f>
        <v>30.9288</v>
      </c>
      <c r="C4008">
        <v>4006</v>
      </c>
      <c r="D4008" s="7">
        <v>30.928799999999999</v>
      </c>
      <c r="E4008" s="7">
        <f t="shared" si="124"/>
        <v>123900.77279999999</v>
      </c>
      <c r="F4008" s="7">
        <f t="shared" si="125"/>
        <v>16048036</v>
      </c>
      <c r="G4008" s="7"/>
    </row>
    <row r="4009" spans="1:7" x14ac:dyDescent="0.35">
      <c r="A4009" t="str">
        <f>"2021-02-22"</f>
        <v>2021-02-22</v>
      </c>
      <c r="B4009" t="str">
        <f>"31.1694"</f>
        <v>31.1694</v>
      </c>
      <c r="C4009">
        <v>4007</v>
      </c>
      <c r="D4009" s="7">
        <v>31.1694</v>
      </c>
      <c r="E4009" s="7">
        <f t="shared" si="124"/>
        <v>124895.7858</v>
      </c>
      <c r="F4009" s="7">
        <f t="shared" si="125"/>
        <v>16056049</v>
      </c>
      <c r="G4009" s="7"/>
    </row>
    <row r="4010" spans="1:7" x14ac:dyDescent="0.35">
      <c r="A4010" t="str">
        <f>"2021-02-23"</f>
        <v>2021-02-23</v>
      </c>
      <c r="B4010" t="str">
        <f>"32.0162"</f>
        <v>32.0162</v>
      </c>
      <c r="C4010">
        <v>4008</v>
      </c>
      <c r="D4010" s="7">
        <v>32.016199999999998</v>
      </c>
      <c r="E4010" s="7">
        <f t="shared" si="124"/>
        <v>128320.92959999999</v>
      </c>
      <c r="F4010" s="7">
        <f t="shared" si="125"/>
        <v>16064064</v>
      </c>
      <c r="G4010" s="7"/>
    </row>
    <row r="4011" spans="1:7" x14ac:dyDescent="0.35">
      <c r="A4011" t="str">
        <f>"2021-02-24"</f>
        <v>2021-02-24</v>
      </c>
      <c r="B4011" t="str">
        <f>"31.2864"</f>
        <v>31.2864</v>
      </c>
      <c r="C4011">
        <v>4009</v>
      </c>
      <c r="D4011" s="7">
        <v>31.2864</v>
      </c>
      <c r="E4011" s="7">
        <f t="shared" si="124"/>
        <v>125427.1776</v>
      </c>
      <c r="F4011" s="7">
        <f t="shared" si="125"/>
        <v>16072081</v>
      </c>
      <c r="G4011" s="7"/>
    </row>
    <row r="4012" spans="1:7" x14ac:dyDescent="0.35">
      <c r="A4012" t="str">
        <f>"2021-02-25"</f>
        <v>2021-02-25</v>
      </c>
      <c r="B4012" t="str">
        <f>"32.7638"</f>
        <v>32.7638</v>
      </c>
      <c r="C4012">
        <v>4010</v>
      </c>
      <c r="D4012" s="7">
        <v>32.763800000000003</v>
      </c>
      <c r="E4012" s="7">
        <f t="shared" si="124"/>
        <v>131382.83800000002</v>
      </c>
      <c r="F4012" s="7">
        <f t="shared" si="125"/>
        <v>16080100</v>
      </c>
      <c r="G4012" s="7"/>
    </row>
    <row r="4013" spans="1:7" x14ac:dyDescent="0.35">
      <c r="A4013" t="str">
        <f>"2021-02-26"</f>
        <v>2021-02-26</v>
      </c>
      <c r="B4013" t="str">
        <f>"33.1556"</f>
        <v>33.1556</v>
      </c>
      <c r="C4013">
        <v>4011</v>
      </c>
      <c r="D4013" s="7">
        <v>33.1556</v>
      </c>
      <c r="E4013" s="7">
        <f t="shared" si="124"/>
        <v>132987.1116</v>
      </c>
      <c r="F4013" s="7">
        <f t="shared" si="125"/>
        <v>16088121</v>
      </c>
      <c r="G4013" s="7"/>
    </row>
    <row r="4014" spans="1:7" x14ac:dyDescent="0.35">
      <c r="A4014" t="str">
        <f>"2021-03-01"</f>
        <v>2021-03-01</v>
      </c>
      <c r="B4014" t="str">
        <f>"33.6147"</f>
        <v>33.6147</v>
      </c>
      <c r="C4014">
        <v>4012</v>
      </c>
      <c r="D4014" s="7">
        <v>33.614699999999999</v>
      </c>
      <c r="E4014" s="7">
        <f t="shared" si="124"/>
        <v>134862.1764</v>
      </c>
      <c r="F4014" s="7">
        <f t="shared" si="125"/>
        <v>16096144</v>
      </c>
      <c r="G4014" s="7"/>
    </row>
    <row r="4015" spans="1:7" x14ac:dyDescent="0.35">
      <c r="A4015" t="str">
        <f>"2021-03-02"</f>
        <v>2021-03-02</v>
      </c>
      <c r="B4015" t="str">
        <f>"36.5632"</f>
        <v>36.5632</v>
      </c>
      <c r="C4015">
        <v>4013</v>
      </c>
      <c r="D4015" s="7">
        <v>36.563200000000002</v>
      </c>
      <c r="E4015" s="7">
        <f t="shared" si="124"/>
        <v>146728.12160000001</v>
      </c>
      <c r="F4015" s="7">
        <f t="shared" si="125"/>
        <v>16104169</v>
      </c>
      <c r="G4015" s="7"/>
    </row>
    <row r="4016" spans="1:7" x14ac:dyDescent="0.35">
      <c r="A4016" t="str">
        <f>"2021-03-03"</f>
        <v>2021-03-03</v>
      </c>
      <c r="B4016" t="str">
        <f>"36.8338"</f>
        <v>36.8338</v>
      </c>
      <c r="C4016">
        <v>4014</v>
      </c>
      <c r="D4016" s="7">
        <v>36.833799999999997</v>
      </c>
      <c r="E4016" s="7">
        <f t="shared" si="124"/>
        <v>147850.87319999997</v>
      </c>
      <c r="F4016" s="7">
        <f t="shared" si="125"/>
        <v>16112196</v>
      </c>
      <c r="G4016" s="7"/>
    </row>
    <row r="4017" spans="1:7" x14ac:dyDescent="0.35">
      <c r="A4017" t="str">
        <f>"2021-03-04"</f>
        <v>2021-03-04</v>
      </c>
      <c r="B4017" t="str">
        <f>"36.1136"</f>
        <v>36.1136</v>
      </c>
      <c r="C4017">
        <v>4015</v>
      </c>
      <c r="D4017" s="7">
        <v>36.113599999999998</v>
      </c>
      <c r="E4017" s="7">
        <f t="shared" si="124"/>
        <v>144996.10399999999</v>
      </c>
      <c r="F4017" s="7">
        <f t="shared" si="125"/>
        <v>16120225</v>
      </c>
      <c r="G4017" s="7"/>
    </row>
    <row r="4018" spans="1:7" x14ac:dyDescent="0.35">
      <c r="A4018" t="str">
        <f>"2021-03-05"</f>
        <v>2021-03-05</v>
      </c>
      <c r="B4018" t="str">
        <f>"36.0553"</f>
        <v>36.0553</v>
      </c>
      <c r="C4018">
        <v>4016</v>
      </c>
      <c r="D4018" s="7">
        <v>36.055300000000003</v>
      </c>
      <c r="E4018" s="7">
        <f t="shared" si="124"/>
        <v>144798.08480000001</v>
      </c>
      <c r="F4018" s="7">
        <f t="shared" si="125"/>
        <v>16128256</v>
      </c>
      <c r="G4018" s="7"/>
    </row>
    <row r="4019" spans="1:7" x14ac:dyDescent="0.35">
      <c r="A4019" t="str">
        <f>"2021-03-08"</f>
        <v>2021-03-08</v>
      </c>
      <c r="B4019" t="str">
        <f>"36.1762"</f>
        <v>36.1762</v>
      </c>
      <c r="C4019">
        <v>4017</v>
      </c>
      <c r="D4019" s="7">
        <v>36.176200000000001</v>
      </c>
      <c r="E4019" s="7">
        <f t="shared" si="124"/>
        <v>145319.7954</v>
      </c>
      <c r="F4019" s="7">
        <f t="shared" si="125"/>
        <v>16136289</v>
      </c>
      <c r="G4019" s="7"/>
    </row>
    <row r="4020" spans="1:7" x14ac:dyDescent="0.35">
      <c r="A4020" t="str">
        <f>"2021-03-09"</f>
        <v>2021-03-09</v>
      </c>
      <c r="B4020" t="str">
        <f>"35.0902"</f>
        <v>35.0902</v>
      </c>
      <c r="C4020">
        <v>4018</v>
      </c>
      <c r="D4020" s="7">
        <v>35.090200000000003</v>
      </c>
      <c r="E4020" s="7">
        <f t="shared" si="124"/>
        <v>140992.42360000001</v>
      </c>
      <c r="F4020" s="7">
        <f t="shared" si="125"/>
        <v>16144324</v>
      </c>
      <c r="G4020" s="7"/>
    </row>
    <row r="4021" spans="1:7" x14ac:dyDescent="0.35">
      <c r="A4021" t="str">
        <f>"2021-03-10"</f>
        <v>2021-03-10</v>
      </c>
      <c r="B4021" t="str">
        <f>"35.3911"</f>
        <v>35.3911</v>
      </c>
      <c r="C4021">
        <v>4019</v>
      </c>
      <c r="D4021" s="7">
        <v>35.391100000000002</v>
      </c>
      <c r="E4021" s="7">
        <f t="shared" si="124"/>
        <v>142236.8309</v>
      </c>
      <c r="F4021" s="7">
        <f t="shared" si="125"/>
        <v>16152361</v>
      </c>
      <c r="G4021" s="7"/>
    </row>
    <row r="4022" spans="1:7" x14ac:dyDescent="0.35">
      <c r="A4022" t="str">
        <f>"2021-03-11"</f>
        <v>2021-03-11</v>
      </c>
      <c r="B4022" t="str">
        <f>"35.5654"</f>
        <v>35.5654</v>
      </c>
      <c r="C4022">
        <v>4020</v>
      </c>
      <c r="D4022" s="7">
        <v>35.565399999999997</v>
      </c>
      <c r="E4022" s="7">
        <f t="shared" si="124"/>
        <v>142972.908</v>
      </c>
      <c r="F4022" s="7">
        <f t="shared" si="125"/>
        <v>16160400</v>
      </c>
      <c r="G4022" s="7"/>
    </row>
    <row r="4023" spans="1:7" x14ac:dyDescent="0.35">
      <c r="A4023" t="str">
        <f>"2021-03-12"</f>
        <v>2021-03-12</v>
      </c>
      <c r="B4023" t="str">
        <f>"35.088"</f>
        <v>35.088</v>
      </c>
      <c r="C4023">
        <v>4021</v>
      </c>
      <c r="D4023" s="7">
        <v>35.088000000000001</v>
      </c>
      <c r="E4023" s="7">
        <f t="shared" si="124"/>
        <v>141088.848</v>
      </c>
      <c r="F4023" s="7">
        <f t="shared" si="125"/>
        <v>16168441</v>
      </c>
      <c r="G4023" s="7"/>
    </row>
    <row r="4024" spans="1:7" x14ac:dyDescent="0.35">
      <c r="A4024" t="str">
        <f>"2021-03-15"</f>
        <v>2021-03-15</v>
      </c>
      <c r="B4024" t="str">
        <f>"34.9759"</f>
        <v>34.9759</v>
      </c>
      <c r="C4024">
        <v>4022</v>
      </c>
      <c r="D4024" s="7">
        <v>34.975900000000003</v>
      </c>
      <c r="E4024" s="7">
        <f t="shared" si="124"/>
        <v>140673.0698</v>
      </c>
      <c r="F4024" s="7">
        <f t="shared" si="125"/>
        <v>16176484</v>
      </c>
      <c r="G4024" s="7"/>
    </row>
    <row r="4025" spans="1:7" x14ac:dyDescent="0.35">
      <c r="A4025" t="str">
        <f>"2021-03-16"</f>
        <v>2021-03-16</v>
      </c>
      <c r="B4025" t="str">
        <f>"35.1782"</f>
        <v>35.1782</v>
      </c>
      <c r="C4025">
        <v>4023</v>
      </c>
      <c r="D4025" s="7">
        <v>35.178199999999997</v>
      </c>
      <c r="E4025" s="7">
        <f t="shared" si="124"/>
        <v>141521.89859999999</v>
      </c>
      <c r="F4025" s="7">
        <f t="shared" si="125"/>
        <v>16184529</v>
      </c>
      <c r="G4025" s="7"/>
    </row>
    <row r="4026" spans="1:7" x14ac:dyDescent="0.35">
      <c r="A4026" t="str">
        <f>"2021-03-17"</f>
        <v>2021-03-17</v>
      </c>
      <c r="B4026" t="str">
        <f>"34.9988"</f>
        <v>34.9988</v>
      </c>
      <c r="C4026">
        <v>4024</v>
      </c>
      <c r="D4026" s="7">
        <v>34.998800000000003</v>
      </c>
      <c r="E4026" s="7">
        <f t="shared" si="124"/>
        <v>140835.17120000001</v>
      </c>
      <c r="F4026" s="7">
        <f t="shared" si="125"/>
        <v>16192576</v>
      </c>
      <c r="G4026" s="7"/>
    </row>
    <row r="4027" spans="1:7" x14ac:dyDescent="0.35">
      <c r="A4027" t="str">
        <f>"2021-03-18"</f>
        <v>2021-03-18</v>
      </c>
      <c r="B4027" t="str">
        <f>"33.3997"</f>
        <v>33.3997</v>
      </c>
      <c r="C4027">
        <v>4025</v>
      </c>
      <c r="D4027" s="7">
        <v>33.399700000000003</v>
      </c>
      <c r="E4027" s="7">
        <f t="shared" si="124"/>
        <v>134433.79250000001</v>
      </c>
      <c r="F4027" s="7">
        <f t="shared" si="125"/>
        <v>16200625</v>
      </c>
      <c r="G4027" s="7"/>
    </row>
    <row r="4028" spans="1:7" x14ac:dyDescent="0.35">
      <c r="A4028" t="str">
        <f>"2021-03-19"</f>
        <v>2021-03-19</v>
      </c>
      <c r="B4028" t="str">
        <f>"33.6473"</f>
        <v>33.6473</v>
      </c>
      <c r="C4028">
        <v>4026</v>
      </c>
      <c r="D4028" s="7">
        <v>33.647300000000001</v>
      </c>
      <c r="E4028" s="7">
        <f t="shared" si="124"/>
        <v>135464.02980000002</v>
      </c>
      <c r="F4028" s="7">
        <f t="shared" si="125"/>
        <v>16208676</v>
      </c>
      <c r="G4028" s="7"/>
    </row>
    <row r="4029" spans="1:7" x14ac:dyDescent="0.35">
      <c r="A4029" t="str">
        <f>"2021-03-22"</f>
        <v>2021-03-22</v>
      </c>
      <c r="B4029" t="str">
        <f>"27.4595"</f>
        <v>27.4595</v>
      </c>
      <c r="C4029">
        <v>4027</v>
      </c>
      <c r="D4029" s="7">
        <v>27.459499999999998</v>
      </c>
      <c r="E4029" s="7">
        <f t="shared" si="124"/>
        <v>110579.4065</v>
      </c>
      <c r="F4029" s="7">
        <f t="shared" si="125"/>
        <v>16216729</v>
      </c>
      <c r="G4029" s="7"/>
    </row>
    <row r="4030" spans="1:7" x14ac:dyDescent="0.35">
      <c r="A4030" t="str">
        <f>"2021-03-23"</f>
        <v>2021-03-23</v>
      </c>
      <c r="B4030" t="str">
        <f>"28.1388"</f>
        <v>28.1388</v>
      </c>
      <c r="C4030">
        <v>4028</v>
      </c>
      <c r="D4030" s="7">
        <v>28.1388</v>
      </c>
      <c r="E4030" s="7">
        <f t="shared" si="124"/>
        <v>113343.0864</v>
      </c>
      <c r="F4030" s="7">
        <f t="shared" si="125"/>
        <v>16224784</v>
      </c>
      <c r="G4030" s="7"/>
    </row>
    <row r="4031" spans="1:7" x14ac:dyDescent="0.35">
      <c r="A4031" t="str">
        <f>"2021-03-24"</f>
        <v>2021-03-24</v>
      </c>
      <c r="B4031" t="str">
        <f>"29.4113"</f>
        <v>29.4113</v>
      </c>
      <c r="C4031">
        <v>4029</v>
      </c>
      <c r="D4031" s="7">
        <v>29.411300000000001</v>
      </c>
      <c r="E4031" s="7">
        <f t="shared" si="124"/>
        <v>118498.1277</v>
      </c>
      <c r="F4031" s="7">
        <f t="shared" si="125"/>
        <v>16232841</v>
      </c>
      <c r="G4031" s="7"/>
    </row>
    <row r="4032" spans="1:7" x14ac:dyDescent="0.35">
      <c r="A4032" t="str">
        <f>"2021-03-25"</f>
        <v>2021-03-25</v>
      </c>
      <c r="B4032" t="str">
        <f>"28.8781"</f>
        <v>28.8781</v>
      </c>
      <c r="C4032">
        <v>4030</v>
      </c>
      <c r="D4032" s="7">
        <v>28.8781</v>
      </c>
      <c r="E4032" s="7">
        <f t="shared" si="124"/>
        <v>116378.743</v>
      </c>
      <c r="F4032" s="7">
        <f t="shared" si="125"/>
        <v>16240900</v>
      </c>
      <c r="G4032" s="7"/>
    </row>
    <row r="4033" spans="1:7" x14ac:dyDescent="0.35">
      <c r="A4033" t="str">
        <f>"2021-03-26"</f>
        <v>2021-03-26</v>
      </c>
      <c r="B4033" t="str">
        <f>"28.6014"</f>
        <v>28.6014</v>
      </c>
      <c r="C4033">
        <v>4031</v>
      </c>
      <c r="D4033" s="7">
        <v>28.601400000000002</v>
      </c>
      <c r="E4033" s="7">
        <f t="shared" si="124"/>
        <v>115292.24340000001</v>
      </c>
      <c r="F4033" s="7">
        <f t="shared" si="125"/>
        <v>16248961</v>
      </c>
      <c r="G4033" s="7"/>
    </row>
    <row r="4034" spans="1:7" x14ac:dyDescent="0.35">
      <c r="A4034" t="str">
        <f>"2021-03-29"</f>
        <v>2021-03-29</v>
      </c>
      <c r="B4034" t="str">
        <f>"27.9277"</f>
        <v>27.9277</v>
      </c>
      <c r="C4034">
        <v>4032</v>
      </c>
      <c r="D4034" s="7">
        <v>27.927700000000002</v>
      </c>
      <c r="E4034" s="7">
        <f t="shared" si="124"/>
        <v>112604.48640000001</v>
      </c>
      <c r="F4034" s="7">
        <f t="shared" si="125"/>
        <v>16257024</v>
      </c>
      <c r="G4034" s="7"/>
    </row>
    <row r="4035" spans="1:7" x14ac:dyDescent="0.35">
      <c r="A4035" t="str">
        <f>"2021-03-30"</f>
        <v>2021-03-30</v>
      </c>
      <c r="B4035" t="str">
        <f>"28.4792"</f>
        <v>28.4792</v>
      </c>
      <c r="C4035">
        <v>4033</v>
      </c>
      <c r="D4035" s="7">
        <v>28.479199999999999</v>
      </c>
      <c r="E4035" s="7">
        <f t="shared" si="124"/>
        <v>114856.6136</v>
      </c>
      <c r="F4035" s="7">
        <f t="shared" si="125"/>
        <v>16265089</v>
      </c>
      <c r="G4035" s="7"/>
    </row>
    <row r="4036" spans="1:7" x14ac:dyDescent="0.35">
      <c r="A4036" t="str">
        <f>"2021-03-31"</f>
        <v>2021-03-31</v>
      </c>
      <c r="B4036" t="str">
        <f>"27.7965"</f>
        <v>27.7965</v>
      </c>
      <c r="C4036">
        <v>4034</v>
      </c>
      <c r="D4036" s="7">
        <v>27.796500000000002</v>
      </c>
      <c r="E4036" s="7">
        <f t="shared" ref="E4036:E4099" si="126">C4036*D4036</f>
        <v>112131.08100000001</v>
      </c>
      <c r="F4036" s="7">
        <f t="shared" ref="F4036:F4099" si="127">C4036*C4036</f>
        <v>16273156</v>
      </c>
      <c r="G4036" s="7"/>
    </row>
    <row r="4037" spans="1:7" x14ac:dyDescent="0.35">
      <c r="A4037" t="str">
        <f>"2021-04-01"</f>
        <v>2021-04-01</v>
      </c>
      <c r="B4037" t="str">
        <f>"28.4158"</f>
        <v>28.4158</v>
      </c>
      <c r="C4037">
        <v>4035</v>
      </c>
      <c r="D4037" s="7">
        <v>28.415800000000001</v>
      </c>
      <c r="E4037" s="7">
        <f t="shared" si="126"/>
        <v>114657.753</v>
      </c>
      <c r="F4037" s="7">
        <f t="shared" si="127"/>
        <v>16281225</v>
      </c>
      <c r="G4037" s="7"/>
    </row>
    <row r="4038" spans="1:7" x14ac:dyDescent="0.35">
      <c r="A4038" t="str">
        <f>"2021-04-05"</f>
        <v>2021-04-05</v>
      </c>
      <c r="B4038" t="str">
        <f>"28.7405"</f>
        <v>28.7405</v>
      </c>
      <c r="C4038">
        <v>4036</v>
      </c>
      <c r="D4038" s="7">
        <v>28.740500000000001</v>
      </c>
      <c r="E4038" s="7">
        <f t="shared" si="126"/>
        <v>115996.65800000001</v>
      </c>
      <c r="F4038" s="7">
        <f t="shared" si="127"/>
        <v>16289296</v>
      </c>
      <c r="G4038" s="7"/>
    </row>
    <row r="4039" spans="1:7" x14ac:dyDescent="0.35">
      <c r="A4039" t="str">
        <f>"2021-04-06"</f>
        <v>2021-04-06</v>
      </c>
      <c r="B4039" t="str">
        <f>"28.0888"</f>
        <v>28.0888</v>
      </c>
      <c r="C4039">
        <v>4037</v>
      </c>
      <c r="D4039" s="7">
        <v>28.088799999999999</v>
      </c>
      <c r="E4039" s="7">
        <f t="shared" si="126"/>
        <v>113394.4856</v>
      </c>
      <c r="F4039" s="7">
        <f t="shared" si="127"/>
        <v>16297369</v>
      </c>
      <c r="G4039" s="7"/>
    </row>
    <row r="4040" spans="1:7" x14ac:dyDescent="0.35">
      <c r="A4040" t="str">
        <f>"2021-04-07"</f>
        <v>2021-04-07</v>
      </c>
      <c r="B4040" t="str">
        <f>"28.2002"</f>
        <v>28.2002</v>
      </c>
      <c r="C4040">
        <v>4038</v>
      </c>
      <c r="D4040" s="7">
        <v>28.200199999999999</v>
      </c>
      <c r="E4040" s="7">
        <f t="shared" si="126"/>
        <v>113872.40759999999</v>
      </c>
      <c r="F4040" s="7">
        <f t="shared" si="127"/>
        <v>16305444</v>
      </c>
      <c r="G4040" s="7"/>
    </row>
    <row r="4041" spans="1:7" x14ac:dyDescent="0.35">
      <c r="A4041" t="str">
        <f>"2021-04-08"</f>
        <v>2021-04-08</v>
      </c>
      <c r="B4041" t="str">
        <f>"27.24"</f>
        <v>27.24</v>
      </c>
      <c r="C4041">
        <v>4039</v>
      </c>
      <c r="D4041" s="7">
        <v>27.24</v>
      </c>
      <c r="E4041" s="7">
        <f t="shared" si="126"/>
        <v>110022.36</v>
      </c>
      <c r="F4041" s="7">
        <f t="shared" si="127"/>
        <v>16313521</v>
      </c>
      <c r="G4041" s="7"/>
    </row>
    <row r="4042" spans="1:7" x14ac:dyDescent="0.35">
      <c r="A4042" t="str">
        <f>"2021-04-09"</f>
        <v>2021-04-09</v>
      </c>
      <c r="B4042" t="str">
        <f>"26.2045"</f>
        <v>26.2045</v>
      </c>
      <c r="C4042">
        <v>4040</v>
      </c>
      <c r="D4042" s="7">
        <v>26.204499999999999</v>
      </c>
      <c r="E4042" s="7">
        <f t="shared" si="126"/>
        <v>105866.18</v>
      </c>
      <c r="F4042" s="7">
        <f t="shared" si="127"/>
        <v>16321600</v>
      </c>
      <c r="G4042" s="7"/>
    </row>
    <row r="4043" spans="1:7" x14ac:dyDescent="0.35">
      <c r="A4043" t="str">
        <f>"2021-04-12"</f>
        <v>2021-04-12</v>
      </c>
      <c r="B4043" t="str">
        <f>"26.3197"</f>
        <v>26.3197</v>
      </c>
      <c r="C4043">
        <v>4041</v>
      </c>
      <c r="D4043" s="7">
        <v>26.319700000000001</v>
      </c>
      <c r="E4043" s="7">
        <f t="shared" si="126"/>
        <v>106357.90770000001</v>
      </c>
      <c r="F4043" s="7">
        <f t="shared" si="127"/>
        <v>16329681</v>
      </c>
      <c r="G4043" s="7"/>
    </row>
    <row r="4044" spans="1:7" x14ac:dyDescent="0.35">
      <c r="A4044" t="str">
        <f>"2021-04-13"</f>
        <v>2021-04-13</v>
      </c>
      <c r="B4044" t="str">
        <f>"26.059"</f>
        <v>26.059</v>
      </c>
      <c r="C4044">
        <v>4042</v>
      </c>
      <c r="D4044" s="7">
        <v>26.059000000000001</v>
      </c>
      <c r="E4044" s="7">
        <f t="shared" si="126"/>
        <v>105330.478</v>
      </c>
      <c r="F4044" s="7">
        <f t="shared" si="127"/>
        <v>16337764</v>
      </c>
      <c r="G4044" s="7"/>
    </row>
    <row r="4045" spans="1:7" x14ac:dyDescent="0.35">
      <c r="A4045" t="str">
        <f>"2021-04-14"</f>
        <v>2021-04-14</v>
      </c>
      <c r="B4045" t="str">
        <f>"26.3821"</f>
        <v>26.3821</v>
      </c>
      <c r="C4045">
        <v>4043</v>
      </c>
      <c r="D4045" s="7">
        <v>26.382100000000001</v>
      </c>
      <c r="E4045" s="7">
        <f t="shared" si="126"/>
        <v>106662.8303</v>
      </c>
      <c r="F4045" s="7">
        <f t="shared" si="127"/>
        <v>16345849</v>
      </c>
      <c r="G4045" s="7"/>
    </row>
    <row r="4046" spans="1:7" x14ac:dyDescent="0.35">
      <c r="A4046" t="str">
        <f>"2021-04-15"</f>
        <v>2021-04-15</v>
      </c>
      <c r="B4046" t="str">
        <f>"25.9469"</f>
        <v>25.9469</v>
      </c>
      <c r="C4046">
        <v>4044</v>
      </c>
      <c r="D4046" s="7">
        <v>25.946899999999999</v>
      </c>
      <c r="E4046" s="7">
        <f t="shared" si="126"/>
        <v>104929.26359999999</v>
      </c>
      <c r="F4046" s="7">
        <f t="shared" si="127"/>
        <v>16353936</v>
      </c>
      <c r="G4046" s="7"/>
    </row>
    <row r="4047" spans="1:7" x14ac:dyDescent="0.35">
      <c r="A4047" t="str">
        <f>"2021-04-16"</f>
        <v>2021-04-16</v>
      </c>
      <c r="B4047" t="str">
        <f>"25.3693"</f>
        <v>25.3693</v>
      </c>
      <c r="C4047">
        <v>4045</v>
      </c>
      <c r="D4047" s="7">
        <v>25.369299999999999</v>
      </c>
      <c r="E4047" s="7">
        <f t="shared" si="126"/>
        <v>102618.81849999999</v>
      </c>
      <c r="F4047" s="7">
        <f t="shared" si="127"/>
        <v>16362025</v>
      </c>
      <c r="G4047" s="7"/>
    </row>
    <row r="4048" spans="1:7" x14ac:dyDescent="0.35">
      <c r="A4048" t="str">
        <f>"2021-04-19"</f>
        <v>2021-04-19</v>
      </c>
      <c r="B4048" t="str">
        <f>"25.2484"</f>
        <v>25.2484</v>
      </c>
      <c r="C4048">
        <v>4046</v>
      </c>
      <c r="D4048" s="7">
        <v>25.2484</v>
      </c>
      <c r="E4048" s="7">
        <f t="shared" si="126"/>
        <v>102155.0264</v>
      </c>
      <c r="F4048" s="7">
        <f t="shared" si="127"/>
        <v>16370116</v>
      </c>
      <c r="G4048" s="7"/>
    </row>
    <row r="4049" spans="1:7" x14ac:dyDescent="0.35">
      <c r="A4049" t="str">
        <f>"2021-04-20"</f>
        <v>2021-04-20</v>
      </c>
      <c r="B4049" t="str">
        <f>"24.1403"</f>
        <v>24.1403</v>
      </c>
      <c r="C4049">
        <v>4047</v>
      </c>
      <c r="D4049" s="7">
        <v>24.1403</v>
      </c>
      <c r="E4049" s="7">
        <f t="shared" si="126"/>
        <v>97695.794099999999</v>
      </c>
      <c r="F4049" s="7">
        <f t="shared" si="127"/>
        <v>16378209</v>
      </c>
      <c r="G4049" s="7"/>
    </row>
    <row r="4050" spans="1:7" x14ac:dyDescent="0.35">
      <c r="A4050" t="str">
        <f>"2021-04-21"</f>
        <v>2021-04-21</v>
      </c>
      <c r="B4050" t="str">
        <f>"23.343"</f>
        <v>23.343</v>
      </c>
      <c r="C4050">
        <v>4048</v>
      </c>
      <c r="D4050" s="7">
        <v>23.343</v>
      </c>
      <c r="E4050" s="7">
        <f t="shared" si="126"/>
        <v>94492.463999999993</v>
      </c>
      <c r="F4050" s="7">
        <f t="shared" si="127"/>
        <v>16386304</v>
      </c>
      <c r="G4050" s="7"/>
    </row>
    <row r="4051" spans="1:7" x14ac:dyDescent="0.35">
      <c r="A4051" t="str">
        <f>"2021-04-22"</f>
        <v>2021-04-22</v>
      </c>
      <c r="B4051" t="str">
        <f>"24.0288"</f>
        <v>24.0288</v>
      </c>
      <c r="C4051">
        <v>4049</v>
      </c>
      <c r="D4051" s="7">
        <v>24.0288</v>
      </c>
      <c r="E4051" s="7">
        <f t="shared" si="126"/>
        <v>97292.611199999999</v>
      </c>
      <c r="F4051" s="7">
        <f t="shared" si="127"/>
        <v>16394401</v>
      </c>
      <c r="G4051" s="7"/>
    </row>
    <row r="4052" spans="1:7" x14ac:dyDescent="0.35">
      <c r="A4052" t="str">
        <f>"2021-04-26"</f>
        <v>2021-04-26</v>
      </c>
      <c r="B4052" t="str">
        <f>"24.3941"</f>
        <v>24.3941</v>
      </c>
      <c r="C4052">
        <v>4050</v>
      </c>
      <c r="D4052" s="7">
        <v>24.394100000000002</v>
      </c>
      <c r="E4052" s="7">
        <f t="shared" si="126"/>
        <v>98796.10500000001</v>
      </c>
      <c r="F4052" s="7">
        <f t="shared" si="127"/>
        <v>16402500</v>
      </c>
      <c r="G4052" s="7"/>
    </row>
    <row r="4053" spans="1:7" x14ac:dyDescent="0.35">
      <c r="A4053" t="str">
        <f>"2021-04-27"</f>
        <v>2021-04-27</v>
      </c>
      <c r="B4053" t="str">
        <f>"25.1737"</f>
        <v>25.1737</v>
      </c>
      <c r="C4053">
        <v>4051</v>
      </c>
      <c r="D4053" s="7">
        <v>25.1737</v>
      </c>
      <c r="E4053" s="7">
        <f t="shared" si="126"/>
        <v>101978.6587</v>
      </c>
      <c r="F4053" s="7">
        <f t="shared" si="127"/>
        <v>16410601</v>
      </c>
      <c r="G4053" s="7"/>
    </row>
    <row r="4054" spans="1:7" x14ac:dyDescent="0.35">
      <c r="A4054" t="str">
        <f>"2021-04-28"</f>
        <v>2021-04-28</v>
      </c>
      <c r="B4054" t="str">
        <f>"25.6724"</f>
        <v>25.6724</v>
      </c>
      <c r="C4054">
        <v>4052</v>
      </c>
      <c r="D4054" s="7">
        <v>25.6724</v>
      </c>
      <c r="E4054" s="7">
        <f t="shared" si="126"/>
        <v>104024.56479999999</v>
      </c>
      <c r="F4054" s="7">
        <f t="shared" si="127"/>
        <v>16418704</v>
      </c>
      <c r="G4054" s="7"/>
    </row>
    <row r="4055" spans="1:7" x14ac:dyDescent="0.35">
      <c r="A4055" t="str">
        <f>"2021-04-29"</f>
        <v>2021-04-29</v>
      </c>
      <c r="B4055" t="str">
        <f>"25.7482"</f>
        <v>25.7482</v>
      </c>
      <c r="C4055">
        <v>4053</v>
      </c>
      <c r="D4055" s="7">
        <v>25.748200000000001</v>
      </c>
      <c r="E4055" s="7">
        <f t="shared" si="126"/>
        <v>104357.4546</v>
      </c>
      <c r="F4055" s="7">
        <f t="shared" si="127"/>
        <v>16426809</v>
      </c>
      <c r="G4055" s="7"/>
    </row>
    <row r="4056" spans="1:7" x14ac:dyDescent="0.35">
      <c r="A4056" t="str">
        <f>"2021-04-30"</f>
        <v>2021-04-30</v>
      </c>
      <c r="B4056" t="str">
        <f>"26.2974"</f>
        <v>26.2974</v>
      </c>
      <c r="C4056">
        <v>4054</v>
      </c>
      <c r="D4056" s="7">
        <v>26.2974</v>
      </c>
      <c r="E4056" s="7">
        <f t="shared" si="126"/>
        <v>106609.6596</v>
      </c>
      <c r="F4056" s="7">
        <f t="shared" si="127"/>
        <v>16434916</v>
      </c>
      <c r="G4056" s="7"/>
    </row>
    <row r="4057" spans="1:7" x14ac:dyDescent="0.35">
      <c r="A4057" t="str">
        <f>"2021-05-03"</f>
        <v>2021-05-03</v>
      </c>
      <c r="B4057" t="str">
        <f>"27.1103"</f>
        <v>27.1103</v>
      </c>
      <c r="C4057">
        <v>4055</v>
      </c>
      <c r="D4057" s="7">
        <v>27.110299999999999</v>
      </c>
      <c r="E4057" s="7">
        <f t="shared" si="126"/>
        <v>109932.2665</v>
      </c>
      <c r="F4057" s="7">
        <f t="shared" si="127"/>
        <v>16443025</v>
      </c>
      <c r="G4057" s="7"/>
    </row>
    <row r="4058" spans="1:7" x14ac:dyDescent="0.35">
      <c r="A4058" t="str">
        <f>"2021-05-04"</f>
        <v>2021-05-04</v>
      </c>
      <c r="B4058" t="str">
        <f>"26.7638"</f>
        <v>26.7638</v>
      </c>
      <c r="C4058">
        <v>4056</v>
      </c>
      <c r="D4058" s="7">
        <v>26.7638</v>
      </c>
      <c r="E4058" s="7">
        <f t="shared" si="126"/>
        <v>108553.9728</v>
      </c>
      <c r="F4058" s="7">
        <f t="shared" si="127"/>
        <v>16451136</v>
      </c>
      <c r="G4058" s="7"/>
    </row>
    <row r="4059" spans="1:7" x14ac:dyDescent="0.35">
      <c r="A4059" t="str">
        <f>"2021-05-05"</f>
        <v>2021-05-05</v>
      </c>
      <c r="B4059" t="str">
        <f>"26.4043"</f>
        <v>26.4043</v>
      </c>
      <c r="C4059">
        <v>4057</v>
      </c>
      <c r="D4059" s="7">
        <v>26.404299999999999</v>
      </c>
      <c r="E4059" s="7">
        <f t="shared" si="126"/>
        <v>107122.2451</v>
      </c>
      <c r="F4059" s="7">
        <f t="shared" si="127"/>
        <v>16459249</v>
      </c>
      <c r="G4059" s="7"/>
    </row>
    <row r="4060" spans="1:7" x14ac:dyDescent="0.35">
      <c r="A4060" t="str">
        <f>"2021-05-06"</f>
        <v>2021-05-06</v>
      </c>
      <c r="B4060" t="str">
        <f>"26.5961"</f>
        <v>26.5961</v>
      </c>
      <c r="C4060">
        <v>4058</v>
      </c>
      <c r="D4060" s="7">
        <v>26.5961</v>
      </c>
      <c r="E4060" s="7">
        <f t="shared" si="126"/>
        <v>107926.97379999999</v>
      </c>
      <c r="F4060" s="7">
        <f t="shared" si="127"/>
        <v>16467364</v>
      </c>
      <c r="G4060" s="7"/>
    </row>
    <row r="4061" spans="1:7" x14ac:dyDescent="0.35">
      <c r="A4061" t="str">
        <f>"2021-05-07"</f>
        <v>2021-05-07</v>
      </c>
      <c r="B4061" t="str">
        <f>"26.6592"</f>
        <v>26.6592</v>
      </c>
      <c r="C4061">
        <v>4059</v>
      </c>
      <c r="D4061" s="7">
        <v>26.659199999999998</v>
      </c>
      <c r="E4061" s="7">
        <f t="shared" si="126"/>
        <v>108209.69279999999</v>
      </c>
      <c r="F4061" s="7">
        <f t="shared" si="127"/>
        <v>16475481</v>
      </c>
      <c r="G4061" s="7"/>
    </row>
    <row r="4062" spans="1:7" x14ac:dyDescent="0.35">
      <c r="A4062" t="str">
        <f>"2021-05-10"</f>
        <v>2021-05-10</v>
      </c>
      <c r="B4062" t="str">
        <f>"27.4721"</f>
        <v>27.4721</v>
      </c>
      <c r="C4062">
        <v>4060</v>
      </c>
      <c r="D4062" s="7">
        <v>27.472100000000001</v>
      </c>
      <c r="E4062" s="7">
        <f t="shared" si="126"/>
        <v>111536.72600000001</v>
      </c>
      <c r="F4062" s="7">
        <f t="shared" si="127"/>
        <v>16483600</v>
      </c>
      <c r="G4062" s="7"/>
    </row>
    <row r="4063" spans="1:7" x14ac:dyDescent="0.35">
      <c r="A4063" t="str">
        <f>"2021-05-11"</f>
        <v>2021-05-11</v>
      </c>
      <c r="B4063" t="str">
        <f>"27.344"</f>
        <v>27.344</v>
      </c>
      <c r="C4063">
        <v>4061</v>
      </c>
      <c r="D4063" s="7">
        <v>27.344000000000001</v>
      </c>
      <c r="E4063" s="7">
        <f t="shared" si="126"/>
        <v>111043.98400000001</v>
      </c>
      <c r="F4063" s="7">
        <f t="shared" si="127"/>
        <v>16491721</v>
      </c>
      <c r="G4063" s="7"/>
    </row>
    <row r="4064" spans="1:7" x14ac:dyDescent="0.35">
      <c r="A4064" t="str">
        <f>"2021-05-12"</f>
        <v>2021-05-12</v>
      </c>
      <c r="B4064" t="str">
        <f>"27.5658"</f>
        <v>27.5658</v>
      </c>
      <c r="C4064">
        <v>4062</v>
      </c>
      <c r="D4064" s="7">
        <v>27.565799999999999</v>
      </c>
      <c r="E4064" s="7">
        <f t="shared" si="126"/>
        <v>111972.27959999999</v>
      </c>
      <c r="F4064" s="7">
        <f t="shared" si="127"/>
        <v>16499844</v>
      </c>
      <c r="G4064" s="7"/>
    </row>
    <row r="4065" spans="1:7" x14ac:dyDescent="0.35">
      <c r="A4065" t="str">
        <f>"2021-05-17"</f>
        <v>2021-05-17</v>
      </c>
      <c r="B4065" t="str">
        <f>"26.3482"</f>
        <v>26.3482</v>
      </c>
      <c r="C4065">
        <v>4063</v>
      </c>
      <c r="D4065" s="7">
        <v>26.348199999999999</v>
      </c>
      <c r="E4065" s="7">
        <f t="shared" si="126"/>
        <v>107052.73659999999</v>
      </c>
      <c r="F4065" s="7">
        <f t="shared" si="127"/>
        <v>16507969</v>
      </c>
      <c r="G4065" s="7"/>
    </row>
    <row r="4066" spans="1:7" x14ac:dyDescent="0.35">
      <c r="A4066" t="str">
        <f>"2021-05-18"</f>
        <v>2021-05-18</v>
      </c>
      <c r="B4066" t="str">
        <f>"26.7779"</f>
        <v>26.7779</v>
      </c>
      <c r="C4066">
        <v>4064</v>
      </c>
      <c r="D4066" s="7">
        <v>26.777899999999999</v>
      </c>
      <c r="E4066" s="7">
        <f t="shared" si="126"/>
        <v>108825.38559999999</v>
      </c>
      <c r="F4066" s="7">
        <f t="shared" si="127"/>
        <v>16516096</v>
      </c>
      <c r="G4066" s="7"/>
    </row>
    <row r="4067" spans="1:7" x14ac:dyDescent="0.35">
      <c r="A4067" t="str">
        <f>"2021-05-20"</f>
        <v>2021-05-20</v>
      </c>
      <c r="B4067" t="str">
        <f>"26.6875"</f>
        <v>26.6875</v>
      </c>
      <c r="C4067">
        <v>4065</v>
      </c>
      <c r="D4067" s="7">
        <v>26.6875</v>
      </c>
      <c r="E4067" s="7">
        <f t="shared" si="126"/>
        <v>108484.6875</v>
      </c>
      <c r="F4067" s="7">
        <f t="shared" si="127"/>
        <v>16524225</v>
      </c>
      <c r="G4067" s="7"/>
    </row>
    <row r="4068" spans="1:7" x14ac:dyDescent="0.35">
      <c r="A4068" t="str">
        <f>"2021-05-21"</f>
        <v>2021-05-21</v>
      </c>
      <c r="B4068" t="str">
        <f>"26.7139"</f>
        <v>26.7139</v>
      </c>
      <c r="C4068">
        <v>4066</v>
      </c>
      <c r="D4068" s="7">
        <v>26.713899999999999</v>
      </c>
      <c r="E4068" s="7">
        <f t="shared" si="126"/>
        <v>108618.71739999999</v>
      </c>
      <c r="F4068" s="7">
        <f t="shared" si="127"/>
        <v>16532356</v>
      </c>
      <c r="G4068" s="7"/>
    </row>
    <row r="4069" spans="1:7" x14ac:dyDescent="0.35">
      <c r="A4069" t="str">
        <f>"2021-05-24"</f>
        <v>2021-05-24</v>
      </c>
      <c r="B4069" t="str">
        <f>"26.4141"</f>
        <v>26.4141</v>
      </c>
      <c r="C4069">
        <v>4067</v>
      </c>
      <c r="D4069" s="7">
        <v>26.414100000000001</v>
      </c>
      <c r="E4069" s="7">
        <f t="shared" si="126"/>
        <v>107426.1447</v>
      </c>
      <c r="F4069" s="7">
        <f t="shared" si="127"/>
        <v>16540489</v>
      </c>
      <c r="G4069" s="7"/>
    </row>
    <row r="4070" spans="1:7" x14ac:dyDescent="0.35">
      <c r="A4070" t="str">
        <f>"2021-05-25"</f>
        <v>2021-05-25</v>
      </c>
      <c r="B4070" t="str">
        <f>"25.2314"</f>
        <v>25.2314</v>
      </c>
      <c r="C4070">
        <v>4068</v>
      </c>
      <c r="D4070" s="7">
        <v>25.231400000000001</v>
      </c>
      <c r="E4070" s="7">
        <f t="shared" si="126"/>
        <v>102641.3352</v>
      </c>
      <c r="F4070" s="7">
        <f t="shared" si="127"/>
        <v>16548624</v>
      </c>
      <c r="G4070" s="7"/>
    </row>
    <row r="4071" spans="1:7" x14ac:dyDescent="0.35">
      <c r="A4071" t="str">
        <f>"2021-05-26"</f>
        <v>2021-05-26</v>
      </c>
      <c r="B4071" t="str">
        <f>"25.2577"</f>
        <v>25.2577</v>
      </c>
      <c r="C4071">
        <v>4069</v>
      </c>
      <c r="D4071" s="7">
        <v>25.2577</v>
      </c>
      <c r="E4071" s="7">
        <f t="shared" si="126"/>
        <v>102773.58130000001</v>
      </c>
      <c r="F4071" s="7">
        <f t="shared" si="127"/>
        <v>16556761</v>
      </c>
      <c r="G4071" s="7"/>
    </row>
    <row r="4072" spans="1:7" x14ac:dyDescent="0.35">
      <c r="A4072" t="str">
        <f>"2021-05-27"</f>
        <v>2021-05-27</v>
      </c>
      <c r="B4072" t="str">
        <f>"25.3356"</f>
        <v>25.3356</v>
      </c>
      <c r="C4072">
        <v>4070</v>
      </c>
      <c r="D4072" s="7">
        <v>25.335599999999999</v>
      </c>
      <c r="E4072" s="7">
        <f t="shared" si="126"/>
        <v>103115.89199999999</v>
      </c>
      <c r="F4072" s="7">
        <f t="shared" si="127"/>
        <v>16564900</v>
      </c>
      <c r="G4072" s="7"/>
    </row>
    <row r="4073" spans="1:7" x14ac:dyDescent="0.35">
      <c r="A4073" t="str">
        <f>"2021-05-28"</f>
        <v>2021-05-28</v>
      </c>
      <c r="B4073" t="str">
        <f>"25.0175"</f>
        <v>25.0175</v>
      </c>
      <c r="C4073">
        <v>4071</v>
      </c>
      <c r="D4073" s="7">
        <v>25.017499999999998</v>
      </c>
      <c r="E4073" s="7">
        <f t="shared" si="126"/>
        <v>101846.24249999999</v>
      </c>
      <c r="F4073" s="7">
        <f t="shared" si="127"/>
        <v>16573041</v>
      </c>
      <c r="G4073" s="7"/>
    </row>
    <row r="4074" spans="1:7" x14ac:dyDescent="0.35">
      <c r="A4074" t="str">
        <f>"2021-06-01"</f>
        <v>2021-06-01</v>
      </c>
      <c r="B4074" t="str">
        <f>"25.9783"</f>
        <v>25.9783</v>
      </c>
      <c r="C4074">
        <v>4072</v>
      </c>
      <c r="D4074" s="7">
        <v>25.978300000000001</v>
      </c>
      <c r="E4074" s="7">
        <f t="shared" si="126"/>
        <v>105783.6376</v>
      </c>
      <c r="F4074" s="7">
        <f t="shared" si="127"/>
        <v>16581184</v>
      </c>
      <c r="G4074" s="7"/>
    </row>
    <row r="4075" spans="1:7" x14ac:dyDescent="0.35">
      <c r="A4075" t="str">
        <f>"2021-06-02"</f>
        <v>2021-06-02</v>
      </c>
      <c r="B4075" t="str">
        <f>"25.8758"</f>
        <v>25.8758</v>
      </c>
      <c r="C4075">
        <v>4073</v>
      </c>
      <c r="D4075" s="7">
        <v>25.875800000000002</v>
      </c>
      <c r="E4075" s="7">
        <f t="shared" si="126"/>
        <v>105392.13340000001</v>
      </c>
      <c r="F4075" s="7">
        <f t="shared" si="127"/>
        <v>16589329</v>
      </c>
      <c r="G4075" s="7"/>
    </row>
    <row r="4076" spans="1:7" x14ac:dyDescent="0.35">
      <c r="A4076" t="str">
        <f>"2021-06-03"</f>
        <v>2021-06-03</v>
      </c>
      <c r="B4076" t="str">
        <f>"27.1016"</f>
        <v>27.1016</v>
      </c>
      <c r="C4076">
        <v>4074</v>
      </c>
      <c r="D4076" s="7">
        <v>27.101600000000001</v>
      </c>
      <c r="E4076" s="7">
        <f t="shared" si="126"/>
        <v>110411.91840000001</v>
      </c>
      <c r="F4076" s="7">
        <f t="shared" si="127"/>
        <v>16597476</v>
      </c>
      <c r="G4076" s="7"/>
    </row>
    <row r="4077" spans="1:7" x14ac:dyDescent="0.35">
      <c r="A4077" t="str">
        <f>"2021-06-04"</f>
        <v>2021-06-04</v>
      </c>
      <c r="B4077" t="str">
        <f>"26.5401"</f>
        <v>26.5401</v>
      </c>
      <c r="C4077">
        <v>4075</v>
      </c>
      <c r="D4077" s="7">
        <v>26.540099999999999</v>
      </c>
      <c r="E4077" s="7">
        <f t="shared" si="126"/>
        <v>108150.9075</v>
      </c>
      <c r="F4077" s="7">
        <f t="shared" si="127"/>
        <v>16605625</v>
      </c>
      <c r="G4077" s="7"/>
    </row>
    <row r="4078" spans="1:7" x14ac:dyDescent="0.35">
      <c r="A4078" t="str">
        <f>"2021-06-07"</f>
        <v>2021-06-07</v>
      </c>
      <c r="B4078" t="str">
        <f>"26.9989"</f>
        <v>26.9989</v>
      </c>
      <c r="C4078">
        <v>4076</v>
      </c>
      <c r="D4078" s="7">
        <v>26.998899999999999</v>
      </c>
      <c r="E4078" s="7">
        <f t="shared" si="126"/>
        <v>110047.51639999999</v>
      </c>
      <c r="F4078" s="7">
        <f t="shared" si="127"/>
        <v>16613776</v>
      </c>
      <c r="G4078" s="7"/>
    </row>
    <row r="4079" spans="1:7" x14ac:dyDescent="0.35">
      <c r="A4079" t="str">
        <f>"2021-06-08"</f>
        <v>2021-06-08</v>
      </c>
      <c r="B4079" t="str">
        <f>"27.6857"</f>
        <v>27.6857</v>
      </c>
      <c r="C4079">
        <v>4077</v>
      </c>
      <c r="D4079" s="7">
        <v>27.685700000000001</v>
      </c>
      <c r="E4079" s="7">
        <f t="shared" si="126"/>
        <v>112874.5989</v>
      </c>
      <c r="F4079" s="7">
        <f t="shared" si="127"/>
        <v>16621929</v>
      </c>
      <c r="G4079" s="7"/>
    </row>
    <row r="4080" spans="1:7" x14ac:dyDescent="0.35">
      <c r="A4080" t="str">
        <f>"2021-06-09"</f>
        <v>2021-06-09</v>
      </c>
      <c r="B4080" t="str">
        <f>"27.8158"</f>
        <v>27.8158</v>
      </c>
      <c r="C4080">
        <v>4078</v>
      </c>
      <c r="D4080" s="7">
        <v>27.815799999999999</v>
      </c>
      <c r="E4080" s="7">
        <f t="shared" si="126"/>
        <v>113432.8324</v>
      </c>
      <c r="F4080" s="7">
        <f t="shared" si="127"/>
        <v>16630084</v>
      </c>
      <c r="G4080" s="7"/>
    </row>
    <row r="4081" spans="1:7" x14ac:dyDescent="0.35">
      <c r="A4081" t="str">
        <f>"2021-06-10"</f>
        <v>2021-06-10</v>
      </c>
      <c r="B4081" t="str">
        <f>"27.6087"</f>
        <v>27.6087</v>
      </c>
      <c r="C4081">
        <v>4079</v>
      </c>
      <c r="D4081" s="7">
        <v>27.608699999999999</v>
      </c>
      <c r="E4081" s="7">
        <f t="shared" si="126"/>
        <v>112615.8873</v>
      </c>
      <c r="F4081" s="7">
        <f t="shared" si="127"/>
        <v>16638241</v>
      </c>
      <c r="G4081" s="7"/>
    </row>
    <row r="4082" spans="1:7" x14ac:dyDescent="0.35">
      <c r="A4082" t="str">
        <f>"2021-06-11"</f>
        <v>2021-06-11</v>
      </c>
      <c r="B4082" t="str">
        <f>"28.6898"</f>
        <v>28.6898</v>
      </c>
      <c r="C4082">
        <v>4080</v>
      </c>
      <c r="D4082" s="7">
        <v>28.689800000000002</v>
      </c>
      <c r="E4082" s="7">
        <f t="shared" si="126"/>
        <v>117054.38400000001</v>
      </c>
      <c r="F4082" s="7">
        <f t="shared" si="127"/>
        <v>16646400</v>
      </c>
      <c r="G4082" s="7"/>
    </row>
    <row r="4083" spans="1:7" x14ac:dyDescent="0.35">
      <c r="A4083" t="str">
        <f>"2021-06-14"</f>
        <v>2021-06-14</v>
      </c>
      <c r="B4083" t="str">
        <f>"29.1169"</f>
        <v>29.1169</v>
      </c>
      <c r="C4083">
        <v>4081</v>
      </c>
      <c r="D4083" s="7">
        <v>29.116900000000001</v>
      </c>
      <c r="E4083" s="7">
        <f t="shared" si="126"/>
        <v>118826.0689</v>
      </c>
      <c r="F4083" s="7">
        <f t="shared" si="127"/>
        <v>16654561</v>
      </c>
      <c r="G4083" s="7"/>
    </row>
    <row r="4084" spans="1:7" x14ac:dyDescent="0.35">
      <c r="A4084" t="str">
        <f>"2021-06-15"</f>
        <v>2021-06-15</v>
      </c>
      <c r="B4084" t="str">
        <f>"28.7408"</f>
        <v>28.7408</v>
      </c>
      <c r="C4084">
        <v>4082</v>
      </c>
      <c r="D4084" s="7">
        <v>28.7408</v>
      </c>
      <c r="E4084" s="7">
        <f t="shared" si="126"/>
        <v>117319.94560000001</v>
      </c>
      <c r="F4084" s="7">
        <f t="shared" si="127"/>
        <v>16662724</v>
      </c>
      <c r="G4084" s="7"/>
    </row>
    <row r="4085" spans="1:7" x14ac:dyDescent="0.35">
      <c r="A4085" t="str">
        <f>"2021-06-16"</f>
        <v>2021-06-16</v>
      </c>
      <c r="B4085" t="str">
        <f>"27.9956"</f>
        <v>27.9956</v>
      </c>
      <c r="C4085">
        <v>4083</v>
      </c>
      <c r="D4085" s="7">
        <v>27.9956</v>
      </c>
      <c r="E4085" s="7">
        <f t="shared" si="126"/>
        <v>114306.03479999999</v>
      </c>
      <c r="F4085" s="7">
        <f t="shared" si="127"/>
        <v>16670889</v>
      </c>
      <c r="G4085" s="7"/>
    </row>
    <row r="4086" spans="1:7" x14ac:dyDescent="0.35">
      <c r="A4086" t="str">
        <f>"2021-06-17"</f>
        <v>2021-06-17</v>
      </c>
      <c r="B4086" t="str">
        <f>"29.8216"</f>
        <v>29.8216</v>
      </c>
      <c r="C4086">
        <v>4084</v>
      </c>
      <c r="D4086" s="7">
        <v>29.8216</v>
      </c>
      <c r="E4086" s="7">
        <f t="shared" si="126"/>
        <v>121791.41439999999</v>
      </c>
      <c r="F4086" s="7">
        <f t="shared" si="127"/>
        <v>16679056</v>
      </c>
      <c r="G4086" s="7"/>
    </row>
    <row r="4087" spans="1:7" x14ac:dyDescent="0.35">
      <c r="A4087" t="str">
        <f>"2021-06-18"</f>
        <v>2021-06-18</v>
      </c>
      <c r="B4087" t="str">
        <f>"29.358"</f>
        <v>29.358</v>
      </c>
      <c r="C4087">
        <v>4085</v>
      </c>
      <c r="D4087" s="7">
        <v>29.358000000000001</v>
      </c>
      <c r="E4087" s="7">
        <f t="shared" si="126"/>
        <v>119927.43000000001</v>
      </c>
      <c r="F4087" s="7">
        <f t="shared" si="127"/>
        <v>16687225</v>
      </c>
      <c r="G4087" s="7"/>
    </row>
    <row r="4088" spans="1:7" x14ac:dyDescent="0.35">
      <c r="A4088" t="str">
        <f>"2021-06-21"</f>
        <v>2021-06-21</v>
      </c>
      <c r="B4088" t="str">
        <f>"29.0928"</f>
        <v>29.0928</v>
      </c>
      <c r="C4088">
        <v>4086</v>
      </c>
      <c r="D4088" s="7">
        <v>29.0928</v>
      </c>
      <c r="E4088" s="7">
        <f t="shared" si="126"/>
        <v>118873.1808</v>
      </c>
      <c r="F4088" s="7">
        <f t="shared" si="127"/>
        <v>16695396</v>
      </c>
      <c r="G4088" s="7"/>
    </row>
    <row r="4089" spans="1:7" x14ac:dyDescent="0.35">
      <c r="A4089" t="str">
        <f>"2021-06-22"</f>
        <v>2021-06-22</v>
      </c>
      <c r="B4089" t="str">
        <f>"29.4391"</f>
        <v>29.4391</v>
      </c>
      <c r="C4089">
        <v>4087</v>
      </c>
      <c r="D4089" s="7">
        <v>29.4391</v>
      </c>
      <c r="E4089" s="7">
        <f t="shared" si="126"/>
        <v>120317.6017</v>
      </c>
      <c r="F4089" s="7">
        <f t="shared" si="127"/>
        <v>16703569</v>
      </c>
      <c r="G4089" s="7"/>
    </row>
    <row r="4090" spans="1:7" x14ac:dyDescent="0.35">
      <c r="A4090" t="str">
        <f>"2021-06-23"</f>
        <v>2021-06-23</v>
      </c>
      <c r="B4090" t="str">
        <f>"29.4123"</f>
        <v>29.4123</v>
      </c>
      <c r="C4090">
        <v>4088</v>
      </c>
      <c r="D4090" s="7">
        <v>29.412299999999998</v>
      </c>
      <c r="E4090" s="7">
        <f t="shared" si="126"/>
        <v>120237.48239999999</v>
      </c>
      <c r="F4090" s="7">
        <f t="shared" si="127"/>
        <v>16711744</v>
      </c>
      <c r="G4090" s="7"/>
    </row>
    <row r="4091" spans="1:7" x14ac:dyDescent="0.35">
      <c r="A4091" t="str">
        <f>"2021-06-24"</f>
        <v>2021-06-24</v>
      </c>
      <c r="B4091" t="str">
        <f>"29.6399"</f>
        <v>29.6399</v>
      </c>
      <c r="C4091">
        <v>4089</v>
      </c>
      <c r="D4091" s="7">
        <v>29.639900000000001</v>
      </c>
      <c r="E4091" s="7">
        <f t="shared" si="126"/>
        <v>121197.5511</v>
      </c>
      <c r="F4091" s="7">
        <f t="shared" si="127"/>
        <v>16719921</v>
      </c>
      <c r="G4091" s="7"/>
    </row>
    <row r="4092" spans="1:7" x14ac:dyDescent="0.35">
      <c r="A4092" t="str">
        <f>"2021-06-25"</f>
        <v>2021-06-25</v>
      </c>
      <c r="B4092" t="str">
        <f>"28.7451"</f>
        <v>28.7451</v>
      </c>
      <c r="C4092">
        <v>4090</v>
      </c>
      <c r="D4092" s="7">
        <v>28.745100000000001</v>
      </c>
      <c r="E4092" s="7">
        <f t="shared" si="126"/>
        <v>117567.459</v>
      </c>
      <c r="F4092" s="7">
        <f t="shared" si="127"/>
        <v>16728100</v>
      </c>
      <c r="G4092" s="7"/>
    </row>
    <row r="4093" spans="1:7" x14ac:dyDescent="0.35">
      <c r="A4093" t="str">
        <f>"2021-06-28"</f>
        <v>2021-06-28</v>
      </c>
      <c r="B4093" t="str">
        <f>"27.6934"</f>
        <v>27.6934</v>
      </c>
      <c r="C4093">
        <v>4091</v>
      </c>
      <c r="D4093" s="7">
        <v>27.6934</v>
      </c>
      <c r="E4093" s="7">
        <f t="shared" si="126"/>
        <v>113293.6994</v>
      </c>
      <c r="F4093" s="7">
        <f t="shared" si="127"/>
        <v>16736281</v>
      </c>
      <c r="G4093" s="7"/>
    </row>
    <row r="4094" spans="1:7" x14ac:dyDescent="0.35">
      <c r="A4094" t="str">
        <f>"2021-06-29"</f>
        <v>2021-06-29</v>
      </c>
      <c r="B4094" t="str">
        <f>"27.209"</f>
        <v>27.209</v>
      </c>
      <c r="C4094">
        <v>4092</v>
      </c>
      <c r="D4094" s="7">
        <v>27.209</v>
      </c>
      <c r="E4094" s="7">
        <f t="shared" si="126"/>
        <v>111339.228</v>
      </c>
      <c r="F4094" s="7">
        <f t="shared" si="127"/>
        <v>16744464</v>
      </c>
      <c r="G4094" s="7"/>
    </row>
    <row r="4095" spans="1:7" x14ac:dyDescent="0.35">
      <c r="A4095" t="str">
        <f>"2021-06-30"</f>
        <v>2021-06-30</v>
      </c>
      <c r="B4095" t="str">
        <f>"26.9126"</f>
        <v>26.9126</v>
      </c>
      <c r="C4095">
        <v>4093</v>
      </c>
      <c r="D4095" s="7">
        <v>26.912600000000001</v>
      </c>
      <c r="E4095" s="7">
        <f t="shared" si="126"/>
        <v>110153.2718</v>
      </c>
      <c r="F4095" s="7">
        <f t="shared" si="127"/>
        <v>16752649</v>
      </c>
      <c r="G4095" s="7"/>
    </row>
    <row r="4096" spans="1:7" x14ac:dyDescent="0.35">
      <c r="A4096" t="str">
        <f>"2021-07-01"</f>
        <v>2021-07-01</v>
      </c>
      <c r="B4096" t="str">
        <f>"27.6656"</f>
        <v>27.6656</v>
      </c>
      <c r="C4096">
        <v>4094</v>
      </c>
      <c r="D4096" s="7">
        <v>27.665600000000001</v>
      </c>
      <c r="E4096" s="7">
        <f t="shared" si="126"/>
        <v>113262.9664</v>
      </c>
      <c r="F4096" s="7">
        <f t="shared" si="127"/>
        <v>16760836</v>
      </c>
      <c r="G4096" s="7"/>
    </row>
    <row r="4097" spans="1:7" x14ac:dyDescent="0.35">
      <c r="A4097" t="str">
        <f>"2021-07-02"</f>
        <v>2021-07-02</v>
      </c>
      <c r="B4097" t="str">
        <f>"27.669"</f>
        <v>27.669</v>
      </c>
      <c r="C4097">
        <v>4095</v>
      </c>
      <c r="D4097" s="7">
        <v>27.669</v>
      </c>
      <c r="E4097" s="7">
        <f t="shared" si="126"/>
        <v>113304.55500000001</v>
      </c>
      <c r="F4097" s="7">
        <f t="shared" si="127"/>
        <v>16769025</v>
      </c>
      <c r="G4097" s="7"/>
    </row>
    <row r="4098" spans="1:7" x14ac:dyDescent="0.35">
      <c r="A4098" t="str">
        <f>"2021-07-06"</f>
        <v>2021-07-06</v>
      </c>
      <c r="B4098" t="str">
        <f>"27.7958"</f>
        <v>27.7958</v>
      </c>
      <c r="C4098">
        <v>4096</v>
      </c>
      <c r="D4098" s="7">
        <v>27.7958</v>
      </c>
      <c r="E4098" s="7">
        <f t="shared" si="126"/>
        <v>113851.5968</v>
      </c>
      <c r="F4098" s="7">
        <f t="shared" si="127"/>
        <v>16777216</v>
      </c>
      <c r="G4098" s="7"/>
    </row>
    <row r="4099" spans="1:7" x14ac:dyDescent="0.35">
      <c r="A4099" t="str">
        <f>"2021-07-07"</f>
        <v>2021-07-07</v>
      </c>
      <c r="B4099" t="str">
        <f>"27.548"</f>
        <v>27.548</v>
      </c>
      <c r="C4099">
        <v>4097</v>
      </c>
      <c r="D4099" s="7">
        <v>27.547999999999998</v>
      </c>
      <c r="E4099" s="7">
        <f t="shared" si="126"/>
        <v>112864.15599999999</v>
      </c>
      <c r="F4099" s="7">
        <f t="shared" si="127"/>
        <v>16785409</v>
      </c>
      <c r="G4099" s="7"/>
    </row>
    <row r="4100" spans="1:7" x14ac:dyDescent="0.35">
      <c r="A4100" t="str">
        <f>"2021-07-08"</f>
        <v>2021-07-08</v>
      </c>
      <c r="B4100" t="str">
        <f>"27.2044"</f>
        <v>27.2044</v>
      </c>
      <c r="C4100">
        <v>4098</v>
      </c>
      <c r="D4100" s="7">
        <v>27.2044</v>
      </c>
      <c r="E4100" s="7">
        <f t="shared" ref="E4100:E4163" si="128">C4100*D4100</f>
        <v>111483.6312</v>
      </c>
      <c r="F4100" s="7">
        <f t="shared" ref="F4100:F4163" si="129">C4100*C4100</f>
        <v>16793604</v>
      </c>
      <c r="G4100" s="7"/>
    </row>
    <row r="4101" spans="1:7" x14ac:dyDescent="0.35">
      <c r="A4101" t="str">
        <f>"2021-07-09"</f>
        <v>2021-07-09</v>
      </c>
      <c r="B4101" t="str">
        <f>"26.8594"</f>
        <v>26.8594</v>
      </c>
      <c r="C4101">
        <v>4099</v>
      </c>
      <c r="D4101" s="7">
        <v>26.859400000000001</v>
      </c>
      <c r="E4101" s="7">
        <f t="shared" si="128"/>
        <v>110096.68060000001</v>
      </c>
      <c r="F4101" s="7">
        <f t="shared" si="129"/>
        <v>16801801</v>
      </c>
      <c r="G4101" s="7"/>
    </row>
    <row r="4102" spans="1:7" x14ac:dyDescent="0.35">
      <c r="A4102" t="str">
        <f>"2021-07-12"</f>
        <v>2021-07-12</v>
      </c>
      <c r="B4102" t="str">
        <f>"26.3553"</f>
        <v>26.3553</v>
      </c>
      <c r="C4102">
        <v>4100</v>
      </c>
      <c r="D4102" s="7">
        <v>26.3553</v>
      </c>
      <c r="E4102" s="7">
        <f t="shared" si="128"/>
        <v>108056.73</v>
      </c>
      <c r="F4102" s="7">
        <f t="shared" si="129"/>
        <v>16810000</v>
      </c>
      <c r="G4102" s="7"/>
    </row>
    <row r="4103" spans="1:7" x14ac:dyDescent="0.35">
      <c r="A4103" t="str">
        <f>"2021-07-13"</f>
        <v>2021-07-13</v>
      </c>
      <c r="B4103" t="str">
        <f>"26.0873"</f>
        <v>26.0873</v>
      </c>
      <c r="C4103">
        <v>4101</v>
      </c>
      <c r="D4103" s="7">
        <v>26.087299999999999</v>
      </c>
      <c r="E4103" s="7">
        <f t="shared" si="128"/>
        <v>106984.01729999999</v>
      </c>
      <c r="F4103" s="7">
        <f t="shared" si="129"/>
        <v>16818201</v>
      </c>
      <c r="G4103" s="7"/>
    </row>
    <row r="4104" spans="1:7" x14ac:dyDescent="0.35">
      <c r="A4104" t="str">
        <f>"2021-07-14"</f>
        <v>2021-07-14</v>
      </c>
      <c r="B4104" t="str">
        <f>"25.8734"</f>
        <v>25.8734</v>
      </c>
      <c r="C4104">
        <v>4102</v>
      </c>
      <c r="D4104" s="7">
        <v>25.8734</v>
      </c>
      <c r="E4104" s="7">
        <f t="shared" si="128"/>
        <v>106132.6868</v>
      </c>
      <c r="F4104" s="7">
        <f t="shared" si="129"/>
        <v>16826404</v>
      </c>
      <c r="G4104" s="7"/>
    </row>
    <row r="4105" spans="1:7" x14ac:dyDescent="0.35">
      <c r="A4105" t="str">
        <f>"2021-07-16"</f>
        <v>2021-07-16</v>
      </c>
      <c r="B4105" t="str">
        <f>"26.191"</f>
        <v>26.191</v>
      </c>
      <c r="C4105">
        <v>4103</v>
      </c>
      <c r="D4105" s="7">
        <v>26.190999999999999</v>
      </c>
      <c r="E4105" s="7">
        <f t="shared" si="128"/>
        <v>107461.673</v>
      </c>
      <c r="F4105" s="7">
        <f t="shared" si="129"/>
        <v>16834609</v>
      </c>
      <c r="G4105" s="7"/>
    </row>
    <row r="4106" spans="1:7" x14ac:dyDescent="0.35">
      <c r="A4106" t="str">
        <f>"2021-07-19"</f>
        <v>2021-07-19</v>
      </c>
      <c r="B4106" t="str">
        <f>"25.6576"</f>
        <v>25.6576</v>
      </c>
      <c r="C4106">
        <v>4104</v>
      </c>
      <c r="D4106" s="7">
        <v>25.657599999999999</v>
      </c>
      <c r="E4106" s="7">
        <f t="shared" si="128"/>
        <v>105298.7904</v>
      </c>
      <c r="F4106" s="7">
        <f t="shared" si="129"/>
        <v>16842816</v>
      </c>
      <c r="G4106" s="7"/>
    </row>
    <row r="4107" spans="1:7" x14ac:dyDescent="0.35">
      <c r="A4107" t="str">
        <f>"2021-07-26"</f>
        <v>2021-07-26</v>
      </c>
      <c r="B4107" t="str">
        <f>"24.9038"</f>
        <v>24.9038</v>
      </c>
      <c r="C4107">
        <v>4105</v>
      </c>
      <c r="D4107" s="7">
        <v>24.9038</v>
      </c>
      <c r="E4107" s="7">
        <f t="shared" si="128"/>
        <v>102230.099</v>
      </c>
      <c r="F4107" s="7">
        <f t="shared" si="129"/>
        <v>16851025</v>
      </c>
      <c r="G4107" s="7"/>
    </row>
    <row r="4108" spans="1:7" x14ac:dyDescent="0.35">
      <c r="A4108" t="str">
        <f>"2021-07-27"</f>
        <v>2021-07-27</v>
      </c>
      <c r="B4108" t="str">
        <f>"25.3575"</f>
        <v>25.3575</v>
      </c>
      <c r="C4108">
        <v>4106</v>
      </c>
      <c r="D4108" s="7">
        <v>25.357500000000002</v>
      </c>
      <c r="E4108" s="7">
        <f t="shared" si="128"/>
        <v>104117.895</v>
      </c>
      <c r="F4108" s="7">
        <f t="shared" si="129"/>
        <v>16859236</v>
      </c>
      <c r="G4108" s="7"/>
    </row>
    <row r="4109" spans="1:7" x14ac:dyDescent="0.35">
      <c r="A4109" t="str">
        <f>"2021-07-28"</f>
        <v>2021-07-28</v>
      </c>
      <c r="B4109" t="str">
        <f>"25.373"</f>
        <v>25.373</v>
      </c>
      <c r="C4109">
        <v>4107</v>
      </c>
      <c r="D4109" s="7">
        <v>25.373000000000001</v>
      </c>
      <c r="E4109" s="7">
        <f t="shared" si="128"/>
        <v>104206.91100000001</v>
      </c>
      <c r="F4109" s="7">
        <f t="shared" si="129"/>
        <v>16867449</v>
      </c>
      <c r="G4109" s="7"/>
    </row>
    <row r="4110" spans="1:7" x14ac:dyDescent="0.35">
      <c r="A4110" t="str">
        <f>"2021-07-29"</f>
        <v>2021-07-29</v>
      </c>
      <c r="B4110" t="str">
        <f>"25.3848"</f>
        <v>25.3848</v>
      </c>
      <c r="C4110">
        <v>4108</v>
      </c>
      <c r="D4110" s="7">
        <v>25.384799999999998</v>
      </c>
      <c r="E4110" s="7">
        <f t="shared" si="128"/>
        <v>104280.75839999999</v>
      </c>
      <c r="F4110" s="7">
        <f t="shared" si="129"/>
        <v>16875664</v>
      </c>
      <c r="G4110" s="7"/>
    </row>
    <row r="4111" spans="1:7" x14ac:dyDescent="0.35">
      <c r="A4111" t="str">
        <f>"2021-07-30"</f>
        <v>2021-07-30</v>
      </c>
      <c r="B4111" t="str">
        <f>"25.8442"</f>
        <v>25.8442</v>
      </c>
      <c r="C4111">
        <v>4109</v>
      </c>
      <c r="D4111" s="7">
        <v>25.844200000000001</v>
      </c>
      <c r="E4111" s="7">
        <f t="shared" si="128"/>
        <v>106193.8178</v>
      </c>
      <c r="F4111" s="7">
        <f t="shared" si="129"/>
        <v>16883881</v>
      </c>
      <c r="G4111" s="7"/>
    </row>
    <row r="4112" spans="1:7" x14ac:dyDescent="0.35">
      <c r="A4112" t="str">
        <f>"2021-08-02"</f>
        <v>2021-08-02</v>
      </c>
      <c r="B4112" t="str">
        <f>"26.0975"</f>
        <v>26.0975</v>
      </c>
      <c r="C4112">
        <v>4110</v>
      </c>
      <c r="D4112" s="7">
        <v>26.0975</v>
      </c>
      <c r="E4112" s="7">
        <f t="shared" si="128"/>
        <v>107260.72500000001</v>
      </c>
      <c r="F4112" s="7">
        <f t="shared" si="129"/>
        <v>16892100</v>
      </c>
      <c r="G4112" s="7"/>
    </row>
    <row r="4113" spans="1:7" x14ac:dyDescent="0.35">
      <c r="A4113" t="str">
        <f>"2021-08-03"</f>
        <v>2021-08-03</v>
      </c>
      <c r="B4113" t="str">
        <f>"25.9917"</f>
        <v>25.9917</v>
      </c>
      <c r="C4113">
        <v>4111</v>
      </c>
      <c r="D4113" s="7">
        <v>25.991700000000002</v>
      </c>
      <c r="E4113" s="7">
        <f t="shared" si="128"/>
        <v>106851.8787</v>
      </c>
      <c r="F4113" s="7">
        <f t="shared" si="129"/>
        <v>16900321</v>
      </c>
      <c r="G4113" s="7"/>
    </row>
    <row r="4114" spans="1:7" x14ac:dyDescent="0.35">
      <c r="A4114" t="str">
        <f>"2021-08-04"</f>
        <v>2021-08-04</v>
      </c>
      <c r="B4114" t="str">
        <f>"25.8269"</f>
        <v>25.8269</v>
      </c>
      <c r="C4114">
        <v>4112</v>
      </c>
      <c r="D4114" s="7">
        <v>25.826899999999998</v>
      </c>
      <c r="E4114" s="7">
        <f t="shared" si="128"/>
        <v>106200.21279999999</v>
      </c>
      <c r="F4114" s="7">
        <f t="shared" si="129"/>
        <v>16908544</v>
      </c>
      <c r="G4114" s="7"/>
    </row>
    <row r="4115" spans="1:7" x14ac:dyDescent="0.35">
      <c r="A4115" t="str">
        <f>"2021-08-05"</f>
        <v>2021-08-05</v>
      </c>
      <c r="B4115" t="str">
        <f>"25.9414"</f>
        <v>25.9414</v>
      </c>
      <c r="C4115">
        <v>4113</v>
      </c>
      <c r="D4115" s="7">
        <v>25.941400000000002</v>
      </c>
      <c r="E4115" s="7">
        <f t="shared" si="128"/>
        <v>106696.97820000001</v>
      </c>
      <c r="F4115" s="7">
        <f t="shared" si="129"/>
        <v>16916769</v>
      </c>
      <c r="G4115" s="7"/>
    </row>
    <row r="4116" spans="1:7" x14ac:dyDescent="0.35">
      <c r="A4116" t="str">
        <f>"2021-08-06"</f>
        <v>2021-08-06</v>
      </c>
      <c r="B4116" t="str">
        <f>"26.5949"</f>
        <v>26.5949</v>
      </c>
      <c r="C4116">
        <v>4114</v>
      </c>
      <c r="D4116" s="7">
        <v>26.594899999999999</v>
      </c>
      <c r="E4116" s="7">
        <f t="shared" si="128"/>
        <v>109411.41859999999</v>
      </c>
      <c r="F4116" s="7">
        <f t="shared" si="129"/>
        <v>16924996</v>
      </c>
      <c r="G4116" s="7"/>
    </row>
    <row r="4117" spans="1:7" x14ac:dyDescent="0.35">
      <c r="A4117" t="str">
        <f>"2021-08-09"</f>
        <v>2021-08-09</v>
      </c>
      <c r="B4117" t="str">
        <f>"26.754"</f>
        <v>26.754</v>
      </c>
      <c r="C4117">
        <v>4115</v>
      </c>
      <c r="D4117" s="7">
        <v>26.754000000000001</v>
      </c>
      <c r="E4117" s="7">
        <f t="shared" si="128"/>
        <v>110092.71</v>
      </c>
      <c r="F4117" s="7">
        <f t="shared" si="129"/>
        <v>16933225</v>
      </c>
      <c r="G4117" s="7"/>
    </row>
    <row r="4118" spans="1:7" x14ac:dyDescent="0.35">
      <c r="A4118" t="str">
        <f>"2021-08-10"</f>
        <v>2021-08-10</v>
      </c>
      <c r="B4118" t="str">
        <f>"26.2726"</f>
        <v>26.2726</v>
      </c>
      <c r="C4118">
        <v>4116</v>
      </c>
      <c r="D4118" s="7">
        <v>26.272600000000001</v>
      </c>
      <c r="E4118" s="7">
        <f t="shared" si="128"/>
        <v>108138.02160000001</v>
      </c>
      <c r="F4118" s="7">
        <f t="shared" si="129"/>
        <v>16941456</v>
      </c>
      <c r="G4118" s="7"/>
    </row>
    <row r="4119" spans="1:7" x14ac:dyDescent="0.35">
      <c r="A4119" t="str">
        <f>"2021-08-11"</f>
        <v>2021-08-11</v>
      </c>
      <c r="B4119" t="str">
        <f>"25.2319"</f>
        <v>25.2319</v>
      </c>
      <c r="C4119">
        <v>4117</v>
      </c>
      <c r="D4119" s="7">
        <v>25.2319</v>
      </c>
      <c r="E4119" s="7">
        <f t="shared" si="128"/>
        <v>103879.7323</v>
      </c>
      <c r="F4119" s="7">
        <f t="shared" si="129"/>
        <v>16949689</v>
      </c>
      <c r="G4119" s="7"/>
    </row>
    <row r="4120" spans="1:7" x14ac:dyDescent="0.35">
      <c r="A4120" t="str">
        <f>"2021-08-12"</f>
        <v>2021-08-12</v>
      </c>
      <c r="B4120" t="str">
        <f>"25.6277"</f>
        <v>25.6277</v>
      </c>
      <c r="C4120">
        <v>4118</v>
      </c>
      <c r="D4120" s="7">
        <v>25.627700000000001</v>
      </c>
      <c r="E4120" s="7">
        <f t="shared" si="128"/>
        <v>105534.8686</v>
      </c>
      <c r="F4120" s="7">
        <f t="shared" si="129"/>
        <v>16957924</v>
      </c>
      <c r="G4120" s="7"/>
    </row>
    <row r="4121" spans="1:7" x14ac:dyDescent="0.35">
      <c r="A4121" t="str">
        <f>"2021-08-13"</f>
        <v>2021-08-13</v>
      </c>
      <c r="B4121" t="str">
        <f>"25.4185"</f>
        <v>25.4185</v>
      </c>
      <c r="C4121">
        <v>4119</v>
      </c>
      <c r="D4121" s="7">
        <v>25.418500000000002</v>
      </c>
      <c r="E4121" s="7">
        <f t="shared" si="128"/>
        <v>104698.8015</v>
      </c>
      <c r="F4121" s="7">
        <f t="shared" si="129"/>
        <v>16966161</v>
      </c>
      <c r="G4121" s="7"/>
    </row>
    <row r="4122" spans="1:7" x14ac:dyDescent="0.35">
      <c r="A4122" t="str">
        <f>"2021-08-16"</f>
        <v>2021-08-16</v>
      </c>
      <c r="B4122" t="str">
        <f>"25.7859"</f>
        <v>25.7859</v>
      </c>
      <c r="C4122">
        <v>4120</v>
      </c>
      <c r="D4122" s="7">
        <v>25.785900000000002</v>
      </c>
      <c r="E4122" s="7">
        <f t="shared" si="128"/>
        <v>106237.90800000001</v>
      </c>
      <c r="F4122" s="7">
        <f t="shared" si="129"/>
        <v>16974400</v>
      </c>
      <c r="G4122" s="7"/>
    </row>
    <row r="4123" spans="1:7" x14ac:dyDescent="0.35">
      <c r="A4123" t="str">
        <f>"2021-08-17"</f>
        <v>2021-08-17</v>
      </c>
      <c r="B4123" t="str">
        <f>"25.6385"</f>
        <v>25.6385</v>
      </c>
      <c r="C4123">
        <v>4121</v>
      </c>
      <c r="D4123" s="7">
        <v>25.638500000000001</v>
      </c>
      <c r="E4123" s="7">
        <f t="shared" si="128"/>
        <v>105656.2585</v>
      </c>
      <c r="F4123" s="7">
        <f t="shared" si="129"/>
        <v>16982641</v>
      </c>
      <c r="G4123" s="7"/>
    </row>
    <row r="4124" spans="1:7" x14ac:dyDescent="0.35">
      <c r="A4124" t="str">
        <f>"2021-08-18"</f>
        <v>2021-08-18</v>
      </c>
      <c r="B4124" t="str">
        <f>"25.2757"</f>
        <v>25.2757</v>
      </c>
      <c r="C4124">
        <v>4122</v>
      </c>
      <c r="D4124" s="7">
        <v>25.275700000000001</v>
      </c>
      <c r="E4124" s="7">
        <f t="shared" si="128"/>
        <v>104186.4354</v>
      </c>
      <c r="F4124" s="7">
        <f t="shared" si="129"/>
        <v>16990884</v>
      </c>
      <c r="G4124" s="7"/>
    </row>
    <row r="4125" spans="1:7" x14ac:dyDescent="0.35">
      <c r="A4125" t="str">
        <f>"2021-08-19"</f>
        <v>2021-08-19</v>
      </c>
      <c r="B4125" t="str">
        <f>"25.1945"</f>
        <v>25.1945</v>
      </c>
      <c r="C4125">
        <v>4123</v>
      </c>
      <c r="D4125" s="7">
        <v>25.194500000000001</v>
      </c>
      <c r="E4125" s="7">
        <f t="shared" si="128"/>
        <v>103876.9235</v>
      </c>
      <c r="F4125" s="7">
        <f t="shared" si="129"/>
        <v>16999129</v>
      </c>
      <c r="G4125" s="7"/>
    </row>
    <row r="4126" spans="1:7" x14ac:dyDescent="0.35">
      <c r="A4126" t="str">
        <f>"2021-08-20"</f>
        <v>2021-08-20</v>
      </c>
      <c r="B4126" t="str">
        <f>"25.0984"</f>
        <v>25.0984</v>
      </c>
      <c r="C4126">
        <v>4124</v>
      </c>
      <c r="D4126" s="7">
        <v>25.098400000000002</v>
      </c>
      <c r="E4126" s="7">
        <f t="shared" si="128"/>
        <v>103505.80160000001</v>
      </c>
      <c r="F4126" s="7">
        <f t="shared" si="129"/>
        <v>17007376</v>
      </c>
      <c r="G4126" s="7"/>
    </row>
    <row r="4127" spans="1:7" x14ac:dyDescent="0.35">
      <c r="A4127" t="str">
        <f>"2021-08-23"</f>
        <v>2021-08-23</v>
      </c>
      <c r="B4127" t="str">
        <f>"25.3734"</f>
        <v>25.3734</v>
      </c>
      <c r="C4127">
        <v>4125</v>
      </c>
      <c r="D4127" s="7">
        <v>25.3734</v>
      </c>
      <c r="E4127" s="7">
        <f t="shared" si="128"/>
        <v>104665.27499999999</v>
      </c>
      <c r="F4127" s="7">
        <f t="shared" si="129"/>
        <v>17015625</v>
      </c>
      <c r="G4127" s="7"/>
    </row>
    <row r="4128" spans="1:7" x14ac:dyDescent="0.35">
      <c r="A4128" t="str">
        <f>"2021-08-24"</f>
        <v>2021-08-24</v>
      </c>
      <c r="B4128" t="str">
        <f>"26.1872"</f>
        <v>26.1872</v>
      </c>
      <c r="C4128">
        <v>4126</v>
      </c>
      <c r="D4128" s="7">
        <v>26.187200000000001</v>
      </c>
      <c r="E4128" s="7">
        <f t="shared" si="128"/>
        <v>108048.3872</v>
      </c>
      <c r="F4128" s="7">
        <f t="shared" si="129"/>
        <v>17023876</v>
      </c>
      <c r="G4128" s="7"/>
    </row>
    <row r="4129" spans="1:7" x14ac:dyDescent="0.35">
      <c r="A4129" t="str">
        <f>"2021-08-25"</f>
        <v>2021-08-25</v>
      </c>
      <c r="B4129" t="str">
        <f>"25.8472"</f>
        <v>25.8472</v>
      </c>
      <c r="C4129">
        <v>4127</v>
      </c>
      <c r="D4129" s="7">
        <v>25.847200000000001</v>
      </c>
      <c r="E4129" s="7">
        <f t="shared" si="128"/>
        <v>106671.3944</v>
      </c>
      <c r="F4129" s="7">
        <f t="shared" si="129"/>
        <v>17032129</v>
      </c>
      <c r="G4129" s="7"/>
    </row>
    <row r="4130" spans="1:7" x14ac:dyDescent="0.35">
      <c r="A4130" t="str">
        <f>"2021-08-26"</f>
        <v>2021-08-26</v>
      </c>
      <c r="B4130" t="str">
        <f>"26.509"</f>
        <v>26.509</v>
      </c>
      <c r="C4130">
        <v>4128</v>
      </c>
      <c r="D4130" s="7">
        <v>26.509</v>
      </c>
      <c r="E4130" s="7">
        <f t="shared" si="128"/>
        <v>109429.152</v>
      </c>
      <c r="F4130" s="7">
        <f t="shared" si="129"/>
        <v>17040384</v>
      </c>
      <c r="G4130" s="7"/>
    </row>
    <row r="4131" spans="1:7" x14ac:dyDescent="0.35">
      <c r="A4131" t="str">
        <f>"2021-08-27"</f>
        <v>2021-08-27</v>
      </c>
      <c r="B4131" t="str">
        <f>"25.9186"</f>
        <v>25.9186</v>
      </c>
      <c r="C4131">
        <v>4129</v>
      </c>
      <c r="D4131" s="7">
        <v>25.918600000000001</v>
      </c>
      <c r="E4131" s="7">
        <f t="shared" si="128"/>
        <v>107017.89940000001</v>
      </c>
      <c r="F4131" s="7">
        <f t="shared" si="129"/>
        <v>17048641</v>
      </c>
      <c r="G4131" s="7"/>
    </row>
    <row r="4132" spans="1:7" x14ac:dyDescent="0.35">
      <c r="A4132" t="str">
        <f>"2021-08-31"</f>
        <v>2021-08-31</v>
      </c>
      <c r="B4132" t="str">
        <f>"25.9697"</f>
        <v>25.9697</v>
      </c>
      <c r="C4132">
        <v>4130</v>
      </c>
      <c r="D4132" s="7">
        <v>25.9697</v>
      </c>
      <c r="E4132" s="7">
        <f t="shared" si="128"/>
        <v>107254.861</v>
      </c>
      <c r="F4132" s="7">
        <f t="shared" si="129"/>
        <v>17056900</v>
      </c>
      <c r="G4132" s="7"/>
    </row>
    <row r="4133" spans="1:7" x14ac:dyDescent="0.35">
      <c r="A4133" t="str">
        <f>"2021-09-01"</f>
        <v>2021-09-01</v>
      </c>
      <c r="B4133" t="str">
        <f>"26.6479"</f>
        <v>26.6479</v>
      </c>
      <c r="C4133">
        <v>4131</v>
      </c>
      <c r="D4133" s="7">
        <v>26.6479</v>
      </c>
      <c r="E4133" s="7">
        <f t="shared" si="128"/>
        <v>110082.4749</v>
      </c>
      <c r="F4133" s="7">
        <f t="shared" si="129"/>
        <v>17065161</v>
      </c>
      <c r="G4133" s="7"/>
    </row>
    <row r="4134" spans="1:7" x14ac:dyDescent="0.35">
      <c r="A4134" t="str">
        <f>"2021-09-02"</f>
        <v>2021-09-02</v>
      </c>
      <c r="B4134" t="str">
        <f>"26.7796"</f>
        <v>26.7796</v>
      </c>
      <c r="C4134">
        <v>4132</v>
      </c>
      <c r="D4134" s="7">
        <v>26.779599999999999</v>
      </c>
      <c r="E4134" s="7">
        <f t="shared" si="128"/>
        <v>110653.3072</v>
      </c>
      <c r="F4134" s="7">
        <f t="shared" si="129"/>
        <v>17073424</v>
      </c>
      <c r="G4134" s="7"/>
    </row>
    <row r="4135" spans="1:7" x14ac:dyDescent="0.35">
      <c r="A4135" t="str">
        <f>"2021-09-03"</f>
        <v>2021-09-03</v>
      </c>
      <c r="B4135" t="str">
        <f>"26.4273"</f>
        <v>26.4273</v>
      </c>
      <c r="C4135">
        <v>4133</v>
      </c>
      <c r="D4135" s="7">
        <v>26.427299999999999</v>
      </c>
      <c r="E4135" s="7">
        <f t="shared" si="128"/>
        <v>109224.0309</v>
      </c>
      <c r="F4135" s="7">
        <f t="shared" si="129"/>
        <v>17081689</v>
      </c>
      <c r="G4135" s="7"/>
    </row>
    <row r="4136" spans="1:7" x14ac:dyDescent="0.35">
      <c r="A4136" t="str">
        <f>"2021-09-07"</f>
        <v>2021-09-07</v>
      </c>
      <c r="B4136" t="str">
        <f>"26.4701"</f>
        <v>26.4701</v>
      </c>
      <c r="C4136">
        <v>4134</v>
      </c>
      <c r="D4136" s="7">
        <v>26.470099999999999</v>
      </c>
      <c r="E4136" s="7">
        <f t="shared" si="128"/>
        <v>109427.3934</v>
      </c>
      <c r="F4136" s="7">
        <f t="shared" si="129"/>
        <v>17089956</v>
      </c>
      <c r="G4136" s="7"/>
    </row>
    <row r="4137" spans="1:7" x14ac:dyDescent="0.35">
      <c r="A4137" t="str">
        <f>"2021-09-08"</f>
        <v>2021-09-08</v>
      </c>
      <c r="B4137" t="str">
        <f>"25.8519"</f>
        <v>25.8519</v>
      </c>
      <c r="C4137">
        <v>4135</v>
      </c>
      <c r="D4137" s="7">
        <v>25.851900000000001</v>
      </c>
      <c r="E4137" s="7">
        <f t="shared" si="128"/>
        <v>106897.60650000001</v>
      </c>
      <c r="F4137" s="7">
        <f t="shared" si="129"/>
        <v>17098225</v>
      </c>
      <c r="G4137" s="7"/>
    </row>
    <row r="4138" spans="1:7" x14ac:dyDescent="0.35">
      <c r="A4138" t="str">
        <f>"2021-09-09"</f>
        <v>2021-09-09</v>
      </c>
      <c r="B4138" t="str">
        <f>"25.7971"</f>
        <v>25.7971</v>
      </c>
      <c r="C4138">
        <v>4136</v>
      </c>
      <c r="D4138" s="7">
        <v>25.7971</v>
      </c>
      <c r="E4138" s="7">
        <f t="shared" si="128"/>
        <v>106696.80560000001</v>
      </c>
      <c r="F4138" s="7">
        <f t="shared" si="129"/>
        <v>17106496</v>
      </c>
      <c r="G4138" s="7"/>
    </row>
    <row r="4139" spans="1:7" x14ac:dyDescent="0.35">
      <c r="A4139" t="str">
        <f>"2021-09-10"</f>
        <v>2021-09-10</v>
      </c>
      <c r="B4139" t="str">
        <f>"25.5542"</f>
        <v>25.5542</v>
      </c>
      <c r="C4139">
        <v>4137</v>
      </c>
      <c r="D4139" s="7">
        <v>25.554200000000002</v>
      </c>
      <c r="E4139" s="7">
        <f t="shared" si="128"/>
        <v>105717.72540000001</v>
      </c>
      <c r="F4139" s="7">
        <f t="shared" si="129"/>
        <v>17114769</v>
      </c>
      <c r="G4139" s="7"/>
    </row>
    <row r="4140" spans="1:7" x14ac:dyDescent="0.35">
      <c r="A4140" t="str">
        <f>"2021-09-13"</f>
        <v>2021-09-13</v>
      </c>
      <c r="B4140" t="str">
        <f>"25.482"</f>
        <v>25.482</v>
      </c>
      <c r="C4140">
        <v>4138</v>
      </c>
      <c r="D4140" s="7">
        <v>25.481999999999999</v>
      </c>
      <c r="E4140" s="7">
        <f t="shared" si="128"/>
        <v>105444.516</v>
      </c>
      <c r="F4140" s="7">
        <f t="shared" si="129"/>
        <v>17123044</v>
      </c>
      <c r="G4140" s="7"/>
    </row>
    <row r="4141" spans="1:7" x14ac:dyDescent="0.35">
      <c r="A4141" t="str">
        <f>"2021-09-14"</f>
        <v>2021-09-14</v>
      </c>
      <c r="B4141" t="str">
        <f>"25.4568"</f>
        <v>25.4568</v>
      </c>
      <c r="C4141">
        <v>4139</v>
      </c>
      <c r="D4141" s="7">
        <v>25.456800000000001</v>
      </c>
      <c r="E4141" s="7">
        <f t="shared" si="128"/>
        <v>105365.6952</v>
      </c>
      <c r="F4141" s="7">
        <f t="shared" si="129"/>
        <v>17131321</v>
      </c>
      <c r="G4141" s="7"/>
    </row>
    <row r="4142" spans="1:7" x14ac:dyDescent="0.35">
      <c r="A4142" t="str">
        <f>"2021-09-15"</f>
        <v>2021-09-15</v>
      </c>
      <c r="B4142" t="str">
        <f>"25.235"</f>
        <v>25.235</v>
      </c>
      <c r="C4142">
        <v>4140</v>
      </c>
      <c r="D4142" s="7">
        <v>25.234999999999999</v>
      </c>
      <c r="E4142" s="7">
        <f t="shared" si="128"/>
        <v>104472.9</v>
      </c>
      <c r="F4142" s="7">
        <f t="shared" si="129"/>
        <v>17139600</v>
      </c>
      <c r="G4142" s="7"/>
    </row>
    <row r="4143" spans="1:7" x14ac:dyDescent="0.35">
      <c r="A4143" t="str">
        <f>"2021-09-16"</f>
        <v>2021-09-16</v>
      </c>
      <c r="B4143" t="str">
        <f>"26.2353"</f>
        <v>26.2353</v>
      </c>
      <c r="C4143">
        <v>4141</v>
      </c>
      <c r="D4143" s="7">
        <v>26.235299999999999</v>
      </c>
      <c r="E4143" s="7">
        <f t="shared" si="128"/>
        <v>108640.37729999999</v>
      </c>
      <c r="F4143" s="7">
        <f t="shared" si="129"/>
        <v>17147881</v>
      </c>
      <c r="G4143" s="7"/>
    </row>
    <row r="4144" spans="1:7" x14ac:dyDescent="0.35">
      <c r="A4144" t="str">
        <f>"2021-09-17"</f>
        <v>2021-09-17</v>
      </c>
      <c r="B4144" t="str">
        <f>"26.516"</f>
        <v>26.516</v>
      </c>
      <c r="C4144">
        <v>4142</v>
      </c>
      <c r="D4144" s="7">
        <v>26.515999999999998</v>
      </c>
      <c r="E4144" s="7">
        <f t="shared" si="128"/>
        <v>109829.272</v>
      </c>
      <c r="F4144" s="7">
        <f t="shared" si="129"/>
        <v>17156164</v>
      </c>
      <c r="G4144" s="7"/>
    </row>
    <row r="4145" spans="1:7" x14ac:dyDescent="0.35">
      <c r="A4145" t="str">
        <f>"2021-09-20"</f>
        <v>2021-09-20</v>
      </c>
      <c r="B4145" t="str">
        <f>"26.1896"</f>
        <v>26.1896</v>
      </c>
      <c r="C4145">
        <v>4143</v>
      </c>
      <c r="D4145" s="7">
        <v>26.189599999999999</v>
      </c>
      <c r="E4145" s="7">
        <f t="shared" si="128"/>
        <v>108503.5128</v>
      </c>
      <c r="F4145" s="7">
        <f t="shared" si="129"/>
        <v>17164449</v>
      </c>
      <c r="G4145" s="7"/>
    </row>
    <row r="4146" spans="1:7" x14ac:dyDescent="0.35">
      <c r="A4146" t="str">
        <f>"2021-09-21"</f>
        <v>2021-09-21</v>
      </c>
      <c r="B4146" t="str">
        <f>"26.3659"</f>
        <v>26.3659</v>
      </c>
      <c r="C4146">
        <v>4144</v>
      </c>
      <c r="D4146" s="7">
        <v>26.3659</v>
      </c>
      <c r="E4146" s="7">
        <f t="shared" si="128"/>
        <v>109260.2896</v>
      </c>
      <c r="F4146" s="7">
        <f t="shared" si="129"/>
        <v>17172736</v>
      </c>
      <c r="G4146" s="7"/>
    </row>
    <row r="4147" spans="1:7" x14ac:dyDescent="0.35">
      <c r="A4147" t="str">
        <f>"2021-09-22"</f>
        <v>2021-09-22</v>
      </c>
      <c r="B4147" t="str">
        <f>"26.7863"</f>
        <v>26.7863</v>
      </c>
      <c r="C4147">
        <v>4145</v>
      </c>
      <c r="D4147" s="7">
        <v>26.786300000000001</v>
      </c>
      <c r="E4147" s="7">
        <f t="shared" si="128"/>
        <v>111029.2135</v>
      </c>
      <c r="F4147" s="7">
        <f t="shared" si="129"/>
        <v>17181025</v>
      </c>
      <c r="G4147" s="7"/>
    </row>
    <row r="4148" spans="1:7" x14ac:dyDescent="0.35">
      <c r="A4148" t="str">
        <f>"2021-09-23"</f>
        <v>2021-09-23</v>
      </c>
      <c r="B4148" t="str">
        <f>"27.4057"</f>
        <v>27.4057</v>
      </c>
      <c r="C4148">
        <v>4146</v>
      </c>
      <c r="D4148" s="7">
        <v>27.4057</v>
      </c>
      <c r="E4148" s="7">
        <f t="shared" si="128"/>
        <v>113624.0322</v>
      </c>
      <c r="F4148" s="7">
        <f t="shared" si="129"/>
        <v>17189316</v>
      </c>
      <c r="G4148" s="7"/>
    </row>
    <row r="4149" spans="1:7" x14ac:dyDescent="0.35">
      <c r="A4149" t="str">
        <f>"2021-09-24"</f>
        <v>2021-09-24</v>
      </c>
      <c r="B4149" t="str">
        <f>"27.65"</f>
        <v>27.65</v>
      </c>
      <c r="C4149">
        <v>4147</v>
      </c>
      <c r="D4149" s="7">
        <v>27.65</v>
      </c>
      <c r="E4149" s="7">
        <f t="shared" si="128"/>
        <v>114664.54999999999</v>
      </c>
      <c r="F4149" s="7">
        <f t="shared" si="129"/>
        <v>17197609</v>
      </c>
      <c r="G4149" s="7"/>
    </row>
    <row r="4150" spans="1:7" x14ac:dyDescent="0.35">
      <c r="A4150" t="str">
        <f>"2021-09-27"</f>
        <v>2021-09-27</v>
      </c>
      <c r="B4150" t="str">
        <f>"27.1458"</f>
        <v>27.1458</v>
      </c>
      <c r="C4150">
        <v>4148</v>
      </c>
      <c r="D4150" s="7">
        <v>27.145800000000001</v>
      </c>
      <c r="E4150" s="7">
        <f t="shared" si="128"/>
        <v>112600.77840000001</v>
      </c>
      <c r="F4150" s="7">
        <f t="shared" si="129"/>
        <v>17205904</v>
      </c>
      <c r="G4150" s="7"/>
    </row>
    <row r="4151" spans="1:7" x14ac:dyDescent="0.35">
      <c r="A4151" t="str">
        <f>"2021-09-28"</f>
        <v>2021-09-28</v>
      </c>
      <c r="B4151" t="str">
        <f>"28.014"</f>
        <v>28.014</v>
      </c>
      <c r="C4151">
        <v>4149</v>
      </c>
      <c r="D4151" s="7">
        <v>28.013999999999999</v>
      </c>
      <c r="E4151" s="7">
        <f t="shared" si="128"/>
        <v>116230.086</v>
      </c>
      <c r="F4151" s="7">
        <f t="shared" si="129"/>
        <v>17214201</v>
      </c>
      <c r="G4151" s="7"/>
    </row>
    <row r="4152" spans="1:7" x14ac:dyDescent="0.35">
      <c r="A4152" t="str">
        <f>"2021-09-29"</f>
        <v>2021-09-29</v>
      </c>
      <c r="B4152" t="str">
        <f>"28.0789"</f>
        <v>28.0789</v>
      </c>
      <c r="C4152">
        <v>4150</v>
      </c>
      <c r="D4152" s="7">
        <v>28.078900000000001</v>
      </c>
      <c r="E4152" s="7">
        <f t="shared" si="128"/>
        <v>116527.435</v>
      </c>
      <c r="F4152" s="7">
        <f t="shared" si="129"/>
        <v>17222500</v>
      </c>
      <c r="G4152" s="7"/>
    </row>
    <row r="4153" spans="1:7" x14ac:dyDescent="0.35">
      <c r="A4153" t="str">
        <f>"2021-09-30"</f>
        <v>2021-09-30</v>
      </c>
      <c r="B4153" t="str">
        <f>"27.724"</f>
        <v>27.724</v>
      </c>
      <c r="C4153">
        <v>4151</v>
      </c>
      <c r="D4153" s="7">
        <v>27.724</v>
      </c>
      <c r="E4153" s="7">
        <f t="shared" si="128"/>
        <v>115082.32400000001</v>
      </c>
      <c r="F4153" s="7">
        <f t="shared" si="129"/>
        <v>17230801</v>
      </c>
      <c r="G4153" s="7"/>
    </row>
    <row r="4154" spans="1:7" x14ac:dyDescent="0.35">
      <c r="A4154" t="str">
        <f>"2021-10-01"</f>
        <v>2021-10-01</v>
      </c>
      <c r="B4154" t="str">
        <f>"27.9934"</f>
        <v>27.9934</v>
      </c>
      <c r="C4154">
        <v>4152</v>
      </c>
      <c r="D4154" s="7">
        <v>27.993400000000001</v>
      </c>
      <c r="E4154" s="7">
        <f t="shared" si="128"/>
        <v>116228.5968</v>
      </c>
      <c r="F4154" s="7">
        <f t="shared" si="129"/>
        <v>17239104</v>
      </c>
      <c r="G4154" s="7"/>
    </row>
    <row r="4155" spans="1:7" x14ac:dyDescent="0.35">
      <c r="A4155" t="str">
        <f>"2021-10-04"</f>
        <v>2021-10-04</v>
      </c>
      <c r="B4155" t="str">
        <f>"27.5915"</f>
        <v>27.5915</v>
      </c>
      <c r="C4155">
        <v>4153</v>
      </c>
      <c r="D4155" s="7">
        <v>27.5915</v>
      </c>
      <c r="E4155" s="7">
        <f t="shared" si="128"/>
        <v>114587.49950000001</v>
      </c>
      <c r="F4155" s="7">
        <f t="shared" si="129"/>
        <v>17247409</v>
      </c>
      <c r="G4155" s="7"/>
    </row>
    <row r="4156" spans="1:7" x14ac:dyDescent="0.35">
      <c r="A4156" t="str">
        <f>"2021-10-05"</f>
        <v>2021-10-05</v>
      </c>
      <c r="B4156" t="str">
        <f>"28.0518"</f>
        <v>28.0518</v>
      </c>
      <c r="C4156">
        <v>4154</v>
      </c>
      <c r="D4156" s="7">
        <v>28.0518</v>
      </c>
      <c r="E4156" s="7">
        <f t="shared" si="128"/>
        <v>116527.17720000001</v>
      </c>
      <c r="F4156" s="7">
        <f t="shared" si="129"/>
        <v>17255716</v>
      </c>
      <c r="G4156" s="7"/>
    </row>
    <row r="4157" spans="1:7" x14ac:dyDescent="0.35">
      <c r="A4157" t="str">
        <f>"2021-10-06"</f>
        <v>2021-10-06</v>
      </c>
      <c r="B4157" t="str">
        <f>"27.3326"</f>
        <v>27.3326</v>
      </c>
      <c r="C4157">
        <v>4155</v>
      </c>
      <c r="D4157" s="7">
        <v>27.332599999999999</v>
      </c>
      <c r="E4157" s="7">
        <f t="shared" si="128"/>
        <v>113566.95299999999</v>
      </c>
      <c r="F4157" s="7">
        <f t="shared" si="129"/>
        <v>17264025</v>
      </c>
      <c r="G4157" s="7"/>
    </row>
    <row r="4158" spans="1:7" x14ac:dyDescent="0.35">
      <c r="A4158" t="str">
        <f>"2021-10-07"</f>
        <v>2021-10-07</v>
      </c>
      <c r="B4158" t="str">
        <f>"28.1786"</f>
        <v>28.1786</v>
      </c>
      <c r="C4158">
        <v>4156</v>
      </c>
      <c r="D4158" s="7">
        <v>28.178599999999999</v>
      </c>
      <c r="E4158" s="7">
        <f t="shared" si="128"/>
        <v>117110.2616</v>
      </c>
      <c r="F4158" s="7">
        <f t="shared" si="129"/>
        <v>17272336</v>
      </c>
      <c r="G4158" s="7"/>
    </row>
    <row r="4159" spans="1:7" x14ac:dyDescent="0.35">
      <c r="A4159" t="str">
        <f>"2021-10-08"</f>
        <v>2021-10-08</v>
      </c>
      <c r="B4159" t="str">
        <f>"28.129"</f>
        <v>28.129</v>
      </c>
      <c r="C4159">
        <v>4157</v>
      </c>
      <c r="D4159" s="7">
        <v>28.129000000000001</v>
      </c>
      <c r="E4159" s="7">
        <f t="shared" si="128"/>
        <v>116932.25300000001</v>
      </c>
      <c r="F4159" s="7">
        <f t="shared" si="129"/>
        <v>17280649</v>
      </c>
      <c r="G4159" s="7"/>
    </row>
    <row r="4160" spans="1:7" x14ac:dyDescent="0.35">
      <c r="A4160" t="str">
        <f>"2021-10-11"</f>
        <v>2021-10-11</v>
      </c>
      <c r="B4160" t="str">
        <f>"28.1095"</f>
        <v>28.1095</v>
      </c>
      <c r="C4160">
        <v>4158</v>
      </c>
      <c r="D4160" s="7">
        <v>28.109500000000001</v>
      </c>
      <c r="E4160" s="7">
        <f t="shared" si="128"/>
        <v>116879.30100000001</v>
      </c>
      <c r="F4160" s="7">
        <f t="shared" si="129"/>
        <v>17288964</v>
      </c>
      <c r="G4160" s="7"/>
    </row>
    <row r="4161" spans="1:7" x14ac:dyDescent="0.35">
      <c r="A4161" t="str">
        <f>"2021-10-12"</f>
        <v>2021-10-12</v>
      </c>
      <c r="B4161" t="str">
        <f>"27.5327"</f>
        <v>27.5327</v>
      </c>
      <c r="C4161">
        <v>4159</v>
      </c>
      <c r="D4161" s="7">
        <v>27.532699999999998</v>
      </c>
      <c r="E4161" s="7">
        <f t="shared" si="128"/>
        <v>114508.4993</v>
      </c>
      <c r="F4161" s="7">
        <f t="shared" si="129"/>
        <v>17297281</v>
      </c>
      <c r="G4161" s="7"/>
    </row>
    <row r="4162" spans="1:7" x14ac:dyDescent="0.35">
      <c r="A4162" t="str">
        <f>"2021-10-13"</f>
        <v>2021-10-13</v>
      </c>
      <c r="B4162" t="str">
        <f>"27.3594"</f>
        <v>27.3594</v>
      </c>
      <c r="C4162">
        <v>4160</v>
      </c>
      <c r="D4162" s="7">
        <v>27.359400000000001</v>
      </c>
      <c r="E4162" s="7">
        <f t="shared" si="128"/>
        <v>113815.10400000001</v>
      </c>
      <c r="F4162" s="7">
        <f t="shared" si="129"/>
        <v>17305600</v>
      </c>
      <c r="G4162" s="7"/>
    </row>
    <row r="4163" spans="1:7" x14ac:dyDescent="0.35">
      <c r="A4163" t="str">
        <f>"2021-10-14"</f>
        <v>2021-10-14</v>
      </c>
      <c r="B4163" t="str">
        <f>"27.0642"</f>
        <v>27.0642</v>
      </c>
      <c r="C4163">
        <v>4161</v>
      </c>
      <c r="D4163" s="7">
        <v>27.0642</v>
      </c>
      <c r="E4163" s="7">
        <f t="shared" si="128"/>
        <v>112614.13619999999</v>
      </c>
      <c r="F4163" s="7">
        <f t="shared" si="129"/>
        <v>17313921</v>
      </c>
      <c r="G4163" s="7"/>
    </row>
    <row r="4164" spans="1:7" x14ac:dyDescent="0.35">
      <c r="A4164" t="str">
        <f>"2021-10-15"</f>
        <v>2021-10-15</v>
      </c>
      <c r="B4164" t="str">
        <f>"28.0378"</f>
        <v>28.0378</v>
      </c>
      <c r="C4164">
        <v>4162</v>
      </c>
      <c r="D4164" s="7">
        <v>28.037800000000001</v>
      </c>
      <c r="E4164" s="7">
        <f t="shared" ref="E4164:E4227" si="130">C4164*D4164</f>
        <v>116693.3236</v>
      </c>
      <c r="F4164" s="7">
        <f t="shared" ref="F4164:F4227" si="131">C4164*C4164</f>
        <v>17322244</v>
      </c>
      <c r="G4164" s="7"/>
    </row>
    <row r="4165" spans="1:7" x14ac:dyDescent="0.35">
      <c r="A4165" t="str">
        <f>"2021-10-18"</f>
        <v>2021-10-18</v>
      </c>
      <c r="B4165" t="str">
        <f>"27.8"</f>
        <v>27.8</v>
      </c>
      <c r="C4165">
        <v>4163</v>
      </c>
      <c r="D4165" s="7">
        <v>27.8</v>
      </c>
      <c r="E4165" s="7">
        <f t="shared" si="130"/>
        <v>115731.40000000001</v>
      </c>
      <c r="F4165" s="7">
        <f t="shared" si="131"/>
        <v>17330569</v>
      </c>
      <c r="G4165" s="7"/>
    </row>
    <row r="4166" spans="1:7" x14ac:dyDescent="0.35">
      <c r="A4166" t="str">
        <f>"2021-10-19"</f>
        <v>2021-10-19</v>
      </c>
      <c r="B4166" t="str">
        <f>"26.9493"</f>
        <v>26.9493</v>
      </c>
      <c r="C4166">
        <v>4164</v>
      </c>
      <c r="D4166" s="7">
        <v>26.949300000000001</v>
      </c>
      <c r="E4166" s="7">
        <f t="shared" si="130"/>
        <v>112216.8852</v>
      </c>
      <c r="F4166" s="7">
        <f t="shared" si="131"/>
        <v>17338896</v>
      </c>
      <c r="G4166" s="7"/>
    </row>
    <row r="4167" spans="1:7" x14ac:dyDescent="0.35">
      <c r="A4167" t="str">
        <f>"2021-10-20"</f>
        <v>2021-10-20</v>
      </c>
      <c r="B4167" t="str">
        <f>"25.8544"</f>
        <v>25.8544</v>
      </c>
      <c r="C4167">
        <v>4165</v>
      </c>
      <c r="D4167" s="7">
        <v>25.854399999999998</v>
      </c>
      <c r="E4167" s="7">
        <f t="shared" si="130"/>
        <v>107683.57599999999</v>
      </c>
      <c r="F4167" s="7">
        <f t="shared" si="131"/>
        <v>17347225</v>
      </c>
      <c r="G4167" s="7"/>
    </row>
    <row r="4168" spans="1:7" x14ac:dyDescent="0.35">
      <c r="A4168" t="str">
        <f>"2021-10-21"</f>
        <v>2021-10-21</v>
      </c>
      <c r="B4168" t="str">
        <f>"26.4728"</f>
        <v>26.4728</v>
      </c>
      <c r="C4168">
        <v>4166</v>
      </c>
      <c r="D4168" s="7">
        <v>26.472799999999999</v>
      </c>
      <c r="E4168" s="7">
        <f t="shared" si="130"/>
        <v>110285.6848</v>
      </c>
      <c r="F4168" s="7">
        <f t="shared" si="131"/>
        <v>17355556</v>
      </c>
      <c r="G4168" s="7"/>
    </row>
    <row r="4169" spans="1:7" x14ac:dyDescent="0.35">
      <c r="A4169" t="str">
        <f>"2021-10-22"</f>
        <v>2021-10-22</v>
      </c>
      <c r="B4169" t="str">
        <f>"25.6997"</f>
        <v>25.6997</v>
      </c>
      <c r="C4169">
        <v>4167</v>
      </c>
      <c r="D4169" s="7">
        <v>25.6997</v>
      </c>
      <c r="E4169" s="7">
        <f t="shared" si="130"/>
        <v>107090.6499</v>
      </c>
      <c r="F4169" s="7">
        <f t="shared" si="131"/>
        <v>17363889</v>
      </c>
      <c r="G4169" s="7"/>
    </row>
    <row r="4170" spans="1:7" x14ac:dyDescent="0.35">
      <c r="A4170" t="str">
        <f>"2021-10-25"</f>
        <v>2021-10-25</v>
      </c>
      <c r="B4170" t="str">
        <f>"25.4212"</f>
        <v>25.4212</v>
      </c>
      <c r="C4170">
        <v>4168</v>
      </c>
      <c r="D4170" s="7">
        <v>25.421199999999999</v>
      </c>
      <c r="E4170" s="7">
        <f t="shared" si="130"/>
        <v>105955.5616</v>
      </c>
      <c r="F4170" s="7">
        <f t="shared" si="131"/>
        <v>17372224</v>
      </c>
      <c r="G4170" s="7"/>
    </row>
    <row r="4171" spans="1:7" x14ac:dyDescent="0.35">
      <c r="A4171" t="str">
        <f>"2021-10-26"</f>
        <v>2021-10-26</v>
      </c>
      <c r="B4171" t="str">
        <f>"26.6042"</f>
        <v>26.6042</v>
      </c>
      <c r="C4171">
        <v>4169</v>
      </c>
      <c r="D4171" s="7">
        <v>26.604199999999999</v>
      </c>
      <c r="E4171" s="7">
        <f t="shared" si="130"/>
        <v>110912.90979999999</v>
      </c>
      <c r="F4171" s="7">
        <f t="shared" si="131"/>
        <v>17380561</v>
      </c>
      <c r="G4171" s="7"/>
    </row>
    <row r="4172" spans="1:7" x14ac:dyDescent="0.35">
      <c r="A4172" t="str">
        <f>"2021-10-27"</f>
        <v>2021-10-27</v>
      </c>
      <c r="B4172" t="str">
        <f>"26.96"</f>
        <v>26.96</v>
      </c>
      <c r="C4172">
        <v>4170</v>
      </c>
      <c r="D4172" s="7">
        <v>26.96</v>
      </c>
      <c r="E4172" s="7">
        <f t="shared" si="130"/>
        <v>112423.2</v>
      </c>
      <c r="F4172" s="7">
        <f t="shared" si="131"/>
        <v>17388900</v>
      </c>
      <c r="G4172" s="7"/>
    </row>
    <row r="4173" spans="1:7" x14ac:dyDescent="0.35">
      <c r="A4173" t="str">
        <f>"2021-10-28"</f>
        <v>2021-10-28</v>
      </c>
      <c r="B4173" t="str">
        <f>"27.1887"</f>
        <v>27.1887</v>
      </c>
      <c r="C4173">
        <v>4171</v>
      </c>
      <c r="D4173" s="7">
        <v>27.188700000000001</v>
      </c>
      <c r="E4173" s="7">
        <f t="shared" si="130"/>
        <v>113404.0677</v>
      </c>
      <c r="F4173" s="7">
        <f t="shared" si="131"/>
        <v>17397241</v>
      </c>
      <c r="G4173" s="7"/>
    </row>
    <row r="4174" spans="1:7" x14ac:dyDescent="0.35">
      <c r="A4174" t="str">
        <f>"2021-11-01"</f>
        <v>2021-11-01</v>
      </c>
      <c r="B4174" t="str">
        <f>"27.6278"</f>
        <v>27.6278</v>
      </c>
      <c r="C4174">
        <v>4172</v>
      </c>
      <c r="D4174" s="7">
        <v>27.627800000000001</v>
      </c>
      <c r="E4174" s="7">
        <f t="shared" si="130"/>
        <v>115263.1816</v>
      </c>
      <c r="F4174" s="7">
        <f t="shared" si="131"/>
        <v>17405584</v>
      </c>
      <c r="G4174" s="7"/>
    </row>
    <row r="4175" spans="1:7" x14ac:dyDescent="0.35">
      <c r="A4175" t="str">
        <f>"2021-11-02"</f>
        <v>2021-11-02</v>
      </c>
      <c r="B4175" t="str">
        <f>"28.2344"</f>
        <v>28.2344</v>
      </c>
      <c r="C4175">
        <v>4173</v>
      </c>
      <c r="D4175" s="7">
        <v>28.234400000000001</v>
      </c>
      <c r="E4175" s="7">
        <f t="shared" si="130"/>
        <v>117822.15120000001</v>
      </c>
      <c r="F4175" s="7">
        <f t="shared" si="131"/>
        <v>17413929</v>
      </c>
      <c r="G4175" s="7"/>
    </row>
    <row r="4176" spans="1:7" x14ac:dyDescent="0.35">
      <c r="A4176" t="str">
        <f>"2021-11-03"</f>
        <v>2021-11-03</v>
      </c>
      <c r="B4176" t="str">
        <f>"28.62"</f>
        <v>28.62</v>
      </c>
      <c r="C4176">
        <v>4174</v>
      </c>
      <c r="D4176" s="7">
        <v>28.62</v>
      </c>
      <c r="E4176" s="7">
        <f t="shared" si="130"/>
        <v>119459.88</v>
      </c>
      <c r="F4176" s="7">
        <f t="shared" si="131"/>
        <v>17422276</v>
      </c>
      <c r="G4176" s="7"/>
    </row>
    <row r="4177" spans="1:7" x14ac:dyDescent="0.35">
      <c r="A4177" t="str">
        <f>"2021-11-04"</f>
        <v>2021-11-04</v>
      </c>
      <c r="B4177" t="str">
        <f>"30.5388"</f>
        <v>30.5388</v>
      </c>
      <c r="C4177">
        <v>4175</v>
      </c>
      <c r="D4177" s="7">
        <v>30.538799999999998</v>
      </c>
      <c r="E4177" s="7">
        <f t="shared" si="130"/>
        <v>127499.48999999999</v>
      </c>
      <c r="F4177" s="7">
        <f t="shared" si="131"/>
        <v>17430625</v>
      </c>
      <c r="G4177" s="7"/>
    </row>
    <row r="4178" spans="1:7" x14ac:dyDescent="0.35">
      <c r="A4178" t="str">
        <f>"2021-11-05"</f>
        <v>2021-11-05</v>
      </c>
      <c r="B4178" t="str">
        <f>"31.1773"</f>
        <v>31.1773</v>
      </c>
      <c r="C4178">
        <v>4176</v>
      </c>
      <c r="D4178" s="7">
        <v>31.177299999999999</v>
      </c>
      <c r="E4178" s="7">
        <f t="shared" si="130"/>
        <v>130196.40479999999</v>
      </c>
      <c r="F4178" s="7">
        <f t="shared" si="131"/>
        <v>17438976</v>
      </c>
      <c r="G4178" s="7"/>
    </row>
    <row r="4179" spans="1:7" x14ac:dyDescent="0.35">
      <c r="A4179" t="str">
        <f>"2021-11-08"</f>
        <v>2021-11-08</v>
      </c>
      <c r="B4179" t="str">
        <f>"31.7125"</f>
        <v>31.7125</v>
      </c>
      <c r="C4179">
        <v>4177</v>
      </c>
      <c r="D4179" s="7">
        <v>31.712499999999999</v>
      </c>
      <c r="E4179" s="7">
        <f t="shared" si="130"/>
        <v>132463.11249999999</v>
      </c>
      <c r="F4179" s="7">
        <f t="shared" si="131"/>
        <v>17447329</v>
      </c>
      <c r="G4179" s="7"/>
    </row>
    <row r="4180" spans="1:7" x14ac:dyDescent="0.35">
      <c r="A4180" t="str">
        <f>"2021-11-09"</f>
        <v>2021-11-09</v>
      </c>
      <c r="B4180" t="str">
        <f>"31.872"</f>
        <v>31.872</v>
      </c>
      <c r="C4180">
        <v>4178</v>
      </c>
      <c r="D4180" s="7">
        <v>31.872</v>
      </c>
      <c r="E4180" s="7">
        <f t="shared" si="130"/>
        <v>133161.21599999999</v>
      </c>
      <c r="F4180" s="7">
        <f t="shared" si="131"/>
        <v>17455684</v>
      </c>
      <c r="G4180" s="7"/>
    </row>
    <row r="4181" spans="1:7" x14ac:dyDescent="0.35">
      <c r="A4181" t="str">
        <f>"2021-11-10"</f>
        <v>2021-11-10</v>
      </c>
      <c r="B4181" t="str">
        <f>"31.377"</f>
        <v>31.377</v>
      </c>
      <c r="C4181">
        <v>4179</v>
      </c>
      <c r="D4181" s="7">
        <v>31.376999999999999</v>
      </c>
      <c r="E4181" s="7">
        <f t="shared" si="130"/>
        <v>131124.48300000001</v>
      </c>
      <c r="F4181" s="7">
        <f t="shared" si="131"/>
        <v>17464041</v>
      </c>
      <c r="G4181" s="7"/>
    </row>
    <row r="4182" spans="1:7" x14ac:dyDescent="0.35">
      <c r="A4182" t="str">
        <f>"2021-11-11"</f>
        <v>2021-11-11</v>
      </c>
      <c r="B4182" t="str">
        <f>"30.0526"</f>
        <v>30.0526</v>
      </c>
      <c r="C4182">
        <v>4180</v>
      </c>
      <c r="D4182" s="7">
        <v>30.052600000000002</v>
      </c>
      <c r="E4182" s="7">
        <f t="shared" si="130"/>
        <v>125619.868</v>
      </c>
      <c r="F4182" s="7">
        <f t="shared" si="131"/>
        <v>17472400</v>
      </c>
      <c r="G4182" s="7"/>
    </row>
    <row r="4183" spans="1:7" x14ac:dyDescent="0.35">
      <c r="A4183" t="str">
        <f>"2021-11-12"</f>
        <v>2021-11-12</v>
      </c>
      <c r="B4183" t="str">
        <f>"29.9097"</f>
        <v>29.9097</v>
      </c>
      <c r="C4183">
        <v>4181</v>
      </c>
      <c r="D4183" s="7">
        <v>29.909700000000001</v>
      </c>
      <c r="E4183" s="7">
        <f t="shared" si="130"/>
        <v>125052.45570000001</v>
      </c>
      <c r="F4183" s="7">
        <f t="shared" si="131"/>
        <v>17480761</v>
      </c>
      <c r="G4183" s="7"/>
    </row>
    <row r="4184" spans="1:7" x14ac:dyDescent="0.35">
      <c r="A4184" t="str">
        <f>"2021-11-15"</f>
        <v>2021-11-15</v>
      </c>
      <c r="B4184" t="str">
        <f>"29.2651"</f>
        <v>29.2651</v>
      </c>
      <c r="C4184">
        <v>4182</v>
      </c>
      <c r="D4184" s="7">
        <v>29.2651</v>
      </c>
      <c r="E4184" s="7">
        <f t="shared" si="130"/>
        <v>122386.6482</v>
      </c>
      <c r="F4184" s="7">
        <f t="shared" si="131"/>
        <v>17489124</v>
      </c>
      <c r="G4184" s="7"/>
    </row>
    <row r="4185" spans="1:7" x14ac:dyDescent="0.35">
      <c r="A4185" t="str">
        <f>"2021-11-16"</f>
        <v>2021-11-16</v>
      </c>
      <c r="B4185" t="str">
        <f>"29.4641"</f>
        <v>29.4641</v>
      </c>
      <c r="C4185">
        <v>4183</v>
      </c>
      <c r="D4185" s="7">
        <v>29.464099999999998</v>
      </c>
      <c r="E4185" s="7">
        <f t="shared" si="130"/>
        <v>123248.33029999999</v>
      </c>
      <c r="F4185" s="7">
        <f t="shared" si="131"/>
        <v>17497489</v>
      </c>
      <c r="G4185" s="7"/>
    </row>
    <row r="4186" spans="1:7" x14ac:dyDescent="0.35">
      <c r="A4186" t="str">
        <f>"2021-11-17"</f>
        <v>2021-11-17</v>
      </c>
      <c r="B4186" t="str">
        <f>"28.9371"</f>
        <v>28.9371</v>
      </c>
      <c r="C4186">
        <v>4184</v>
      </c>
      <c r="D4186" s="7">
        <v>28.937100000000001</v>
      </c>
      <c r="E4186" s="7">
        <f t="shared" si="130"/>
        <v>121072.82640000001</v>
      </c>
      <c r="F4186" s="7">
        <f t="shared" si="131"/>
        <v>17505856</v>
      </c>
      <c r="G4186" s="7"/>
    </row>
    <row r="4187" spans="1:7" x14ac:dyDescent="0.35">
      <c r="A4187" t="str">
        <f>"2021-11-18"</f>
        <v>2021-11-18</v>
      </c>
      <c r="B4187" t="str">
        <f>"28.0352"</f>
        <v>28.0352</v>
      </c>
      <c r="C4187">
        <v>4185</v>
      </c>
      <c r="D4187" s="7">
        <v>28.0352</v>
      </c>
      <c r="E4187" s="7">
        <f t="shared" si="130"/>
        <v>117327.31200000001</v>
      </c>
      <c r="F4187" s="7">
        <f t="shared" si="131"/>
        <v>17514225</v>
      </c>
      <c r="G4187" s="7"/>
    </row>
    <row r="4188" spans="1:7" x14ac:dyDescent="0.35">
      <c r="A4188" t="str">
        <f>"2021-11-19"</f>
        <v>2021-11-19</v>
      </c>
      <c r="B4188" t="str">
        <f>"26.0161"</f>
        <v>26.0161</v>
      </c>
      <c r="C4188">
        <v>4186</v>
      </c>
      <c r="D4188" s="7">
        <v>26.016100000000002</v>
      </c>
      <c r="E4188" s="7">
        <f t="shared" si="130"/>
        <v>108903.3946</v>
      </c>
      <c r="F4188" s="7">
        <f t="shared" si="131"/>
        <v>17522596</v>
      </c>
      <c r="G4188" s="7"/>
    </row>
    <row r="4189" spans="1:7" x14ac:dyDescent="0.35">
      <c r="A4189" t="str">
        <f>"2021-11-22"</f>
        <v>2021-11-22</v>
      </c>
      <c r="B4189" t="str">
        <f>"27.3405"</f>
        <v>27.3405</v>
      </c>
      <c r="C4189">
        <v>4187</v>
      </c>
      <c r="D4189" s="7">
        <v>27.340499999999999</v>
      </c>
      <c r="E4189" s="7">
        <f t="shared" si="130"/>
        <v>114474.67349999999</v>
      </c>
      <c r="F4189" s="7">
        <f t="shared" si="131"/>
        <v>17530969</v>
      </c>
      <c r="G4189" s="7"/>
    </row>
    <row r="4190" spans="1:7" x14ac:dyDescent="0.35">
      <c r="A4190" t="str">
        <f>"2021-11-23"</f>
        <v>2021-11-23</v>
      </c>
      <c r="B4190" t="str">
        <f>"28.6223"</f>
        <v>28.6223</v>
      </c>
      <c r="C4190">
        <v>4188</v>
      </c>
      <c r="D4190" s="7">
        <v>28.622299999999999</v>
      </c>
      <c r="E4190" s="7">
        <f t="shared" si="130"/>
        <v>119870.1924</v>
      </c>
      <c r="F4190" s="7">
        <f t="shared" si="131"/>
        <v>17539344</v>
      </c>
      <c r="G4190" s="7"/>
    </row>
    <row r="4191" spans="1:7" x14ac:dyDescent="0.35">
      <c r="A4191" t="str">
        <f>"2021-11-24"</f>
        <v>2021-11-24</v>
      </c>
      <c r="B4191" t="str">
        <f>"25.7992"</f>
        <v>25.7992</v>
      </c>
      <c r="C4191">
        <v>4189</v>
      </c>
      <c r="D4191" s="7">
        <v>25.799199999999999</v>
      </c>
      <c r="E4191" s="7">
        <f t="shared" si="130"/>
        <v>108072.84879999999</v>
      </c>
      <c r="F4191" s="7">
        <f t="shared" si="131"/>
        <v>17547721</v>
      </c>
      <c r="G4191" s="7"/>
    </row>
    <row r="4192" spans="1:7" x14ac:dyDescent="0.35">
      <c r="A4192" t="str">
        <f>"2021-11-26"</f>
        <v>2021-11-26</v>
      </c>
      <c r="B4192" t="str">
        <f>"24.699"</f>
        <v>24.699</v>
      </c>
      <c r="C4192">
        <v>4190</v>
      </c>
      <c r="D4192" s="7">
        <v>24.699000000000002</v>
      </c>
      <c r="E4192" s="7">
        <f t="shared" si="130"/>
        <v>103488.81000000001</v>
      </c>
      <c r="F4192" s="7">
        <f t="shared" si="131"/>
        <v>17556100</v>
      </c>
      <c r="G4192" s="7"/>
    </row>
    <row r="4193" spans="1:7" x14ac:dyDescent="0.35">
      <c r="A4193" t="str">
        <f>"2021-11-29"</f>
        <v>2021-11-29</v>
      </c>
      <c r="B4193" t="str">
        <f>"24.5157"</f>
        <v>24.5157</v>
      </c>
      <c r="C4193">
        <v>4191</v>
      </c>
      <c r="D4193" s="7">
        <v>24.515699999999999</v>
      </c>
      <c r="E4193" s="7">
        <f t="shared" si="130"/>
        <v>102745.2987</v>
      </c>
      <c r="F4193" s="7">
        <f t="shared" si="131"/>
        <v>17564481</v>
      </c>
      <c r="G4193" s="7"/>
    </row>
    <row r="4194" spans="1:7" x14ac:dyDescent="0.35">
      <c r="A4194" t="str">
        <f>"2021-11-30"</f>
        <v>2021-11-30</v>
      </c>
      <c r="B4194" t="str">
        <f>"23.7803"</f>
        <v>23.7803</v>
      </c>
      <c r="C4194">
        <v>4192</v>
      </c>
      <c r="D4194" s="7">
        <v>23.7803</v>
      </c>
      <c r="E4194" s="7">
        <f t="shared" si="130"/>
        <v>99687.017600000006</v>
      </c>
      <c r="F4194" s="7">
        <f t="shared" si="131"/>
        <v>17572864</v>
      </c>
      <c r="G4194" s="7"/>
    </row>
    <row r="4195" spans="1:7" x14ac:dyDescent="0.35">
      <c r="A4195" t="str">
        <f>"2021-12-01"</f>
        <v>2021-12-01</v>
      </c>
      <c r="B4195" t="str">
        <f>"23.805"</f>
        <v>23.805</v>
      </c>
      <c r="C4195">
        <v>4193</v>
      </c>
      <c r="D4195" s="7">
        <v>23.805</v>
      </c>
      <c r="E4195" s="7">
        <f t="shared" si="130"/>
        <v>99814.365000000005</v>
      </c>
      <c r="F4195" s="7">
        <f t="shared" si="131"/>
        <v>17581249</v>
      </c>
      <c r="G4195" s="7"/>
    </row>
    <row r="4196" spans="1:7" x14ac:dyDescent="0.35">
      <c r="A4196" t="str">
        <f>"2021-12-02"</f>
        <v>2021-12-02</v>
      </c>
      <c r="B4196" t="str">
        <f>"23.9819"</f>
        <v>23.9819</v>
      </c>
      <c r="C4196">
        <v>4194</v>
      </c>
      <c r="D4196" s="7">
        <v>23.9819</v>
      </c>
      <c r="E4196" s="7">
        <f t="shared" si="130"/>
        <v>100580.0886</v>
      </c>
      <c r="F4196" s="7">
        <f t="shared" si="131"/>
        <v>17589636</v>
      </c>
      <c r="G4196" s="7"/>
    </row>
    <row r="4197" spans="1:7" x14ac:dyDescent="0.35">
      <c r="A4197" t="str">
        <f>"2021-12-03"</f>
        <v>2021-12-03</v>
      </c>
      <c r="B4197" t="str">
        <f>"23.5784"</f>
        <v>23.5784</v>
      </c>
      <c r="C4197">
        <v>4195</v>
      </c>
      <c r="D4197" s="7">
        <v>23.578399999999998</v>
      </c>
      <c r="E4197" s="7">
        <f t="shared" si="130"/>
        <v>98911.387999999992</v>
      </c>
      <c r="F4197" s="7">
        <f t="shared" si="131"/>
        <v>17598025</v>
      </c>
      <c r="G4197" s="7"/>
    </row>
    <row r="4198" spans="1:7" x14ac:dyDescent="0.35">
      <c r="A4198" t="str">
        <f>"2021-12-06"</f>
        <v>2021-12-06</v>
      </c>
      <c r="B4198" t="str">
        <f>"23.991"</f>
        <v>23.991</v>
      </c>
      <c r="C4198">
        <v>4196</v>
      </c>
      <c r="D4198" s="7">
        <v>23.991</v>
      </c>
      <c r="E4198" s="7">
        <f t="shared" si="130"/>
        <v>100666.236</v>
      </c>
      <c r="F4198" s="7">
        <f t="shared" si="131"/>
        <v>17606416</v>
      </c>
      <c r="G4198" s="7"/>
    </row>
    <row r="4199" spans="1:7" x14ac:dyDescent="0.35">
      <c r="A4199" t="str">
        <f>"2021-12-07"</f>
        <v>2021-12-07</v>
      </c>
      <c r="B4199" t="str">
        <f>"24.3057"</f>
        <v>24.3057</v>
      </c>
      <c r="C4199">
        <v>4197</v>
      </c>
      <c r="D4199" s="7">
        <v>24.305700000000002</v>
      </c>
      <c r="E4199" s="7">
        <f t="shared" si="130"/>
        <v>102011.02290000001</v>
      </c>
      <c r="F4199" s="7">
        <f t="shared" si="131"/>
        <v>17614809</v>
      </c>
      <c r="G4199" s="7"/>
    </row>
    <row r="4200" spans="1:7" x14ac:dyDescent="0.35">
      <c r="A4200" t="str">
        <f>"2021-12-08"</f>
        <v>2021-12-08</v>
      </c>
      <c r="B4200" t="str">
        <f>"26.2889"</f>
        <v>26.2889</v>
      </c>
      <c r="C4200">
        <v>4198</v>
      </c>
      <c r="D4200" s="7">
        <v>26.288900000000002</v>
      </c>
      <c r="E4200" s="7">
        <f t="shared" si="130"/>
        <v>110360.80220000001</v>
      </c>
      <c r="F4200" s="7">
        <f t="shared" si="131"/>
        <v>17623204</v>
      </c>
      <c r="G4200" s="7"/>
    </row>
    <row r="4201" spans="1:7" x14ac:dyDescent="0.35">
      <c r="A4201" t="str">
        <f>"2021-12-09"</f>
        <v>2021-12-09</v>
      </c>
      <c r="B4201" t="str">
        <f>"28.1812"</f>
        <v>28.1812</v>
      </c>
      <c r="C4201">
        <v>4199</v>
      </c>
      <c r="D4201" s="7">
        <v>28.1812</v>
      </c>
      <c r="E4201" s="7">
        <f t="shared" si="130"/>
        <v>118332.8588</v>
      </c>
      <c r="F4201" s="7">
        <f t="shared" si="131"/>
        <v>17631601</v>
      </c>
      <c r="G4201" s="7"/>
    </row>
    <row r="4202" spans="1:7" x14ac:dyDescent="0.35">
      <c r="A4202" t="str">
        <f>"2021-12-10"</f>
        <v>2021-12-10</v>
      </c>
      <c r="B4202" t="str">
        <f>"28.1695"</f>
        <v>28.1695</v>
      </c>
      <c r="C4202">
        <v>4200</v>
      </c>
      <c r="D4202" s="7">
        <v>28.169499999999999</v>
      </c>
      <c r="E4202" s="7">
        <f t="shared" si="130"/>
        <v>118311.9</v>
      </c>
      <c r="F4202" s="7">
        <f t="shared" si="131"/>
        <v>17640000</v>
      </c>
      <c r="G4202" s="7"/>
    </row>
    <row r="4203" spans="1:7" x14ac:dyDescent="0.35">
      <c r="A4203" t="str">
        <f>"2021-12-13"</f>
        <v>2021-12-13</v>
      </c>
      <c r="B4203" t="str">
        <f>"28.453"</f>
        <v>28.453</v>
      </c>
      <c r="C4203">
        <v>4201</v>
      </c>
      <c r="D4203" s="7">
        <v>28.452999999999999</v>
      </c>
      <c r="E4203" s="7">
        <f t="shared" si="130"/>
        <v>119531.053</v>
      </c>
      <c r="F4203" s="7">
        <f t="shared" si="131"/>
        <v>17648401</v>
      </c>
      <c r="G4203" s="7"/>
    </row>
    <row r="4204" spans="1:7" x14ac:dyDescent="0.35">
      <c r="A4204" t="str">
        <f>"2021-12-14"</f>
        <v>2021-12-14</v>
      </c>
      <c r="B4204" t="str">
        <f>"28.7395"</f>
        <v>28.7395</v>
      </c>
      <c r="C4204">
        <v>4202</v>
      </c>
      <c r="D4204" s="7">
        <v>28.7395</v>
      </c>
      <c r="E4204" s="7">
        <f t="shared" si="130"/>
        <v>120763.379</v>
      </c>
      <c r="F4204" s="7">
        <f t="shared" si="131"/>
        <v>17656804</v>
      </c>
      <c r="G4204" s="7"/>
    </row>
    <row r="4205" spans="1:7" x14ac:dyDescent="0.35">
      <c r="A4205" t="str">
        <f>"2021-12-15"</f>
        <v>2021-12-15</v>
      </c>
      <c r="B4205" t="str">
        <f>"28.8178"</f>
        <v>28.8178</v>
      </c>
      <c r="C4205">
        <v>4203</v>
      </c>
      <c r="D4205" s="7">
        <v>28.817799999999998</v>
      </c>
      <c r="E4205" s="7">
        <f t="shared" si="130"/>
        <v>121121.21339999999</v>
      </c>
      <c r="F4205" s="7">
        <f t="shared" si="131"/>
        <v>17665209</v>
      </c>
      <c r="G4205" s="7"/>
    </row>
    <row r="4206" spans="1:7" x14ac:dyDescent="0.35">
      <c r="A4206" t="str">
        <f>"2021-12-16"</f>
        <v>2021-12-16</v>
      </c>
      <c r="B4206" t="str">
        <f>"29.3564"</f>
        <v>29.3564</v>
      </c>
      <c r="C4206">
        <v>4204</v>
      </c>
      <c r="D4206" s="7">
        <v>29.356400000000001</v>
      </c>
      <c r="E4206" s="7">
        <f t="shared" si="130"/>
        <v>123414.30560000001</v>
      </c>
      <c r="F4206" s="7">
        <f t="shared" si="131"/>
        <v>17673616</v>
      </c>
      <c r="G4206" s="7"/>
    </row>
    <row r="4207" spans="1:7" x14ac:dyDescent="0.35">
      <c r="A4207" t="str">
        <f>"2021-12-17"</f>
        <v>2021-12-17</v>
      </c>
      <c r="B4207" t="str">
        <f>"24.9058"</f>
        <v>24.9058</v>
      </c>
      <c r="C4207">
        <v>4205</v>
      </c>
      <c r="D4207" s="7">
        <v>24.905799999999999</v>
      </c>
      <c r="E4207" s="7">
        <f t="shared" si="130"/>
        <v>104728.889</v>
      </c>
      <c r="F4207" s="7">
        <f t="shared" si="131"/>
        <v>17682025</v>
      </c>
      <c r="G4207" s="7"/>
    </row>
    <row r="4208" spans="1:7" x14ac:dyDescent="0.35">
      <c r="A4208" t="str">
        <f>"2021-12-20"</f>
        <v>2021-12-20</v>
      </c>
      <c r="B4208" t="str">
        <f>"23.115"</f>
        <v>23.115</v>
      </c>
      <c r="C4208">
        <v>4206</v>
      </c>
      <c r="D4208" s="7">
        <v>23.114999999999998</v>
      </c>
      <c r="E4208" s="7">
        <f t="shared" si="130"/>
        <v>97221.689999999988</v>
      </c>
      <c r="F4208" s="7">
        <f t="shared" si="131"/>
        <v>17690436</v>
      </c>
      <c r="G4208" s="7"/>
    </row>
    <row r="4209" spans="1:7" x14ac:dyDescent="0.35">
      <c r="A4209" t="str">
        <f>"2021-12-21"</f>
        <v>2021-12-21</v>
      </c>
      <c r="B4209" t="str">
        <f>"25.7286"</f>
        <v>25.7286</v>
      </c>
      <c r="C4209">
        <v>4207</v>
      </c>
      <c r="D4209" s="7">
        <v>25.7286</v>
      </c>
      <c r="E4209" s="7">
        <f t="shared" si="130"/>
        <v>108240.2202</v>
      </c>
      <c r="F4209" s="7">
        <f t="shared" si="131"/>
        <v>17698849</v>
      </c>
      <c r="G4209" s="7"/>
    </row>
    <row r="4210" spans="1:7" x14ac:dyDescent="0.35">
      <c r="A4210" t="str">
        <f>"2021-12-22"</f>
        <v>2021-12-22</v>
      </c>
      <c r="B4210" t="str">
        <f>"26.5634"</f>
        <v>26.5634</v>
      </c>
      <c r="C4210">
        <v>4208</v>
      </c>
      <c r="D4210" s="7">
        <v>26.563400000000001</v>
      </c>
      <c r="E4210" s="7">
        <f t="shared" si="130"/>
        <v>111778.78720000001</v>
      </c>
      <c r="F4210" s="7">
        <f t="shared" si="131"/>
        <v>17707264</v>
      </c>
      <c r="G4210" s="7"/>
    </row>
    <row r="4211" spans="1:7" x14ac:dyDescent="0.35">
      <c r="A4211" t="str">
        <f>"2021-12-23"</f>
        <v>2021-12-23</v>
      </c>
      <c r="B4211" t="str">
        <f>"27.4171"</f>
        <v>27.4171</v>
      </c>
      <c r="C4211">
        <v>4209</v>
      </c>
      <c r="D4211" s="7">
        <v>27.417100000000001</v>
      </c>
      <c r="E4211" s="7">
        <f t="shared" si="130"/>
        <v>115398.5739</v>
      </c>
      <c r="F4211" s="7">
        <f t="shared" si="131"/>
        <v>17715681</v>
      </c>
      <c r="G4211" s="7"/>
    </row>
    <row r="4212" spans="1:7" x14ac:dyDescent="0.35">
      <c r="A4212" t="str">
        <f>"2021-12-27"</f>
        <v>2021-12-27</v>
      </c>
      <c r="B4212" t="str">
        <f>"33.0769"</f>
        <v>33.0769</v>
      </c>
      <c r="C4212">
        <v>4210</v>
      </c>
      <c r="D4212" s="7">
        <v>33.076900000000002</v>
      </c>
      <c r="E4212" s="7">
        <f t="shared" si="130"/>
        <v>139253.74900000001</v>
      </c>
      <c r="F4212" s="7">
        <f t="shared" si="131"/>
        <v>17724100</v>
      </c>
      <c r="G4212" s="7"/>
    </row>
    <row r="4213" spans="1:7" x14ac:dyDescent="0.35">
      <c r="A4213" t="str">
        <f>"2021-12-28"</f>
        <v>2021-12-28</v>
      </c>
      <c r="B4213" t="str">
        <f>"30.5436"</f>
        <v>30.5436</v>
      </c>
      <c r="C4213">
        <v>4211</v>
      </c>
      <c r="D4213" s="7">
        <v>30.543600000000001</v>
      </c>
      <c r="E4213" s="7">
        <f t="shared" si="130"/>
        <v>128619.0996</v>
      </c>
      <c r="F4213" s="7">
        <f t="shared" si="131"/>
        <v>17732521</v>
      </c>
      <c r="G4213" s="7"/>
    </row>
    <row r="4214" spans="1:7" x14ac:dyDescent="0.35">
      <c r="A4214" t="str">
        <f>"2021-12-29"</f>
        <v>2021-12-29</v>
      </c>
      <c r="B4214" t="str">
        <f>"30.7738"</f>
        <v>30.7738</v>
      </c>
      <c r="C4214">
        <v>4212</v>
      </c>
      <c r="D4214" s="7">
        <v>30.773800000000001</v>
      </c>
      <c r="E4214" s="7">
        <f t="shared" si="130"/>
        <v>129619.24560000001</v>
      </c>
      <c r="F4214" s="7">
        <f t="shared" si="131"/>
        <v>17740944</v>
      </c>
      <c r="G4214" s="7"/>
    </row>
    <row r="4215" spans="1:7" x14ac:dyDescent="0.35">
      <c r="A4215" t="str">
        <f>"2021-12-30"</f>
        <v>2021-12-30</v>
      </c>
      <c r="B4215" t="str">
        <f>"27.3392"</f>
        <v>27.3392</v>
      </c>
      <c r="C4215">
        <v>4213</v>
      </c>
      <c r="D4215" s="7">
        <v>27.339200000000002</v>
      </c>
      <c r="E4215" s="7">
        <f t="shared" si="130"/>
        <v>115180.04960000001</v>
      </c>
      <c r="F4215" s="7">
        <f t="shared" si="131"/>
        <v>17749369</v>
      </c>
      <c r="G4215" s="7"/>
    </row>
    <row r="4216" spans="1:7" x14ac:dyDescent="0.35">
      <c r="A4216" t="str">
        <f>"2021-12-31"</f>
        <v>2021-12-31</v>
      </c>
      <c r="B4216" t="str">
        <f>"25.6374"</f>
        <v>25.6374</v>
      </c>
      <c r="C4216">
        <v>4214</v>
      </c>
      <c r="D4216" s="7">
        <v>25.6374</v>
      </c>
      <c r="E4216" s="7">
        <f t="shared" si="130"/>
        <v>108036.0036</v>
      </c>
      <c r="F4216" s="7">
        <f t="shared" si="131"/>
        <v>17757796</v>
      </c>
      <c r="G4216" s="7"/>
    </row>
    <row r="4217" spans="1:7" x14ac:dyDescent="0.35">
      <c r="A4217" t="str">
        <f>"2022-01-03"</f>
        <v>2022-01-03</v>
      </c>
      <c r="B4217" t="str">
        <f>"28.2643"</f>
        <v>28.2643</v>
      </c>
      <c r="C4217">
        <v>4215</v>
      </c>
      <c r="D4217" s="7">
        <v>28.264299999999999</v>
      </c>
      <c r="E4217" s="7">
        <f t="shared" si="130"/>
        <v>119134.0245</v>
      </c>
      <c r="F4217" s="7">
        <f t="shared" si="131"/>
        <v>17766225</v>
      </c>
      <c r="G4217" s="7"/>
    </row>
    <row r="4218" spans="1:7" x14ac:dyDescent="0.35">
      <c r="A4218" t="str">
        <f>"2022-01-04"</f>
        <v>2022-01-04</v>
      </c>
      <c r="B4218" t="str">
        <f>"29.93"</f>
        <v>29.93</v>
      </c>
      <c r="C4218">
        <v>4216</v>
      </c>
      <c r="D4218" s="7">
        <v>29.93</v>
      </c>
      <c r="E4218" s="7">
        <f t="shared" si="130"/>
        <v>126184.88</v>
      </c>
      <c r="F4218" s="7">
        <f t="shared" si="131"/>
        <v>17774656</v>
      </c>
      <c r="G4218" s="7"/>
    </row>
    <row r="4219" spans="1:7" x14ac:dyDescent="0.35">
      <c r="A4219" t="str">
        <f>"2022-01-05"</f>
        <v>2022-01-05</v>
      </c>
      <c r="B4219" t="str">
        <f>"30.3782"</f>
        <v>30.3782</v>
      </c>
      <c r="C4219">
        <v>4217</v>
      </c>
      <c r="D4219" s="7">
        <v>30.3782</v>
      </c>
      <c r="E4219" s="7">
        <f t="shared" si="130"/>
        <v>128104.8694</v>
      </c>
      <c r="F4219" s="7">
        <f t="shared" si="131"/>
        <v>17783089</v>
      </c>
      <c r="G4219" s="7"/>
    </row>
    <row r="4220" spans="1:7" x14ac:dyDescent="0.35">
      <c r="A4220" t="str">
        <f>"2022-01-06"</f>
        <v>2022-01-06</v>
      </c>
      <c r="B4220" t="str">
        <f>"31.5815"</f>
        <v>31.5815</v>
      </c>
      <c r="C4220">
        <v>4218</v>
      </c>
      <c r="D4220" s="7">
        <v>31.581499999999998</v>
      </c>
      <c r="E4220" s="7">
        <f t="shared" si="130"/>
        <v>133210.76699999999</v>
      </c>
      <c r="F4220" s="7">
        <f t="shared" si="131"/>
        <v>17791524</v>
      </c>
      <c r="G4220" s="7"/>
    </row>
    <row r="4221" spans="1:7" x14ac:dyDescent="0.35">
      <c r="A4221" t="str">
        <f>"2022-01-07"</f>
        <v>2022-01-07</v>
      </c>
      <c r="B4221" t="str">
        <f>"31.3215"</f>
        <v>31.3215</v>
      </c>
      <c r="C4221">
        <v>4219</v>
      </c>
      <c r="D4221" s="7">
        <v>31.3215</v>
      </c>
      <c r="E4221" s="7">
        <f t="shared" si="130"/>
        <v>132145.40849999999</v>
      </c>
      <c r="F4221" s="7">
        <f t="shared" si="131"/>
        <v>17799961</v>
      </c>
      <c r="G4221" s="7"/>
    </row>
    <row r="4222" spans="1:7" x14ac:dyDescent="0.35">
      <c r="A4222" t="str">
        <f>"2022-01-10"</f>
        <v>2022-01-10</v>
      </c>
      <c r="B4222" t="str">
        <f>"33.5855"</f>
        <v>33.5855</v>
      </c>
      <c r="C4222">
        <v>4220</v>
      </c>
      <c r="D4222" s="7">
        <v>33.585500000000003</v>
      </c>
      <c r="E4222" s="7">
        <f t="shared" si="130"/>
        <v>141730.81000000003</v>
      </c>
      <c r="F4222" s="7">
        <f t="shared" si="131"/>
        <v>17808400</v>
      </c>
      <c r="G4222" s="7"/>
    </row>
    <row r="4223" spans="1:7" x14ac:dyDescent="0.35">
      <c r="A4223" t="str">
        <f>"2022-01-11"</f>
        <v>2022-01-11</v>
      </c>
      <c r="B4223" t="str">
        <f>"33.3167"</f>
        <v>33.3167</v>
      </c>
      <c r="C4223">
        <v>4221</v>
      </c>
      <c r="D4223" s="7">
        <v>33.316699999999997</v>
      </c>
      <c r="E4223" s="7">
        <f t="shared" si="130"/>
        <v>140629.79069999998</v>
      </c>
      <c r="F4223" s="7">
        <f t="shared" si="131"/>
        <v>17816841</v>
      </c>
      <c r="G4223" s="7"/>
    </row>
    <row r="4224" spans="1:7" x14ac:dyDescent="0.35">
      <c r="A4224" t="str">
        <f>"2022-01-12"</f>
        <v>2022-01-12</v>
      </c>
      <c r="B4224" t="str">
        <f>"33.252"</f>
        <v>33.252</v>
      </c>
      <c r="C4224">
        <v>4222</v>
      </c>
      <c r="D4224" s="7">
        <v>33.252000000000002</v>
      </c>
      <c r="E4224" s="7">
        <f t="shared" si="130"/>
        <v>140389.94400000002</v>
      </c>
      <c r="F4224" s="7">
        <f t="shared" si="131"/>
        <v>17825284</v>
      </c>
      <c r="G4224" s="7"/>
    </row>
    <row r="4225" spans="1:7" x14ac:dyDescent="0.35">
      <c r="A4225" t="str">
        <f>"2022-01-13"</f>
        <v>2022-01-13</v>
      </c>
      <c r="B4225" t="str">
        <f>"37.1144"</f>
        <v>37.1144</v>
      </c>
      <c r="C4225">
        <v>4223</v>
      </c>
      <c r="D4225" s="7">
        <v>37.114400000000003</v>
      </c>
      <c r="E4225" s="7">
        <f t="shared" si="130"/>
        <v>156734.11120000001</v>
      </c>
      <c r="F4225" s="7">
        <f t="shared" si="131"/>
        <v>17833729</v>
      </c>
      <c r="G4225" s="7"/>
    </row>
    <row r="4226" spans="1:7" x14ac:dyDescent="0.35">
      <c r="A4226" t="str">
        <f>"2022-01-14"</f>
        <v>2022-01-14</v>
      </c>
      <c r="B4226" t="str">
        <f>"35.575"</f>
        <v>35.575</v>
      </c>
      <c r="C4226">
        <v>4224</v>
      </c>
      <c r="D4226" s="7">
        <v>35.575000000000003</v>
      </c>
      <c r="E4226" s="7">
        <f t="shared" si="130"/>
        <v>150268.80000000002</v>
      </c>
      <c r="F4226" s="7">
        <f t="shared" si="131"/>
        <v>17842176</v>
      </c>
      <c r="G4226" s="7"/>
    </row>
    <row r="4227" spans="1:7" x14ac:dyDescent="0.35">
      <c r="A4227" t="str">
        <f>"2022-01-18"</f>
        <v>2022-01-18</v>
      </c>
      <c r="B4227" t="str">
        <f>"34.2978"</f>
        <v>34.2978</v>
      </c>
      <c r="C4227">
        <v>4225</v>
      </c>
      <c r="D4227" s="7">
        <v>34.297800000000002</v>
      </c>
      <c r="E4227" s="7">
        <f t="shared" si="130"/>
        <v>144908.20500000002</v>
      </c>
      <c r="F4227" s="7">
        <f t="shared" si="131"/>
        <v>17850625</v>
      </c>
      <c r="G4227" s="7"/>
    </row>
    <row r="4228" spans="1:7" x14ac:dyDescent="0.35">
      <c r="A4228" t="str">
        <f>"2022-01-19"</f>
        <v>2022-01-19</v>
      </c>
      <c r="B4228" t="str">
        <f>"34.1812"</f>
        <v>34.1812</v>
      </c>
      <c r="C4228">
        <v>4226</v>
      </c>
      <c r="D4228" s="7">
        <v>34.181199999999997</v>
      </c>
      <c r="E4228" s="7">
        <f t="shared" ref="E4228:E4291" si="132">C4228*D4228</f>
        <v>144449.7512</v>
      </c>
      <c r="F4228" s="7">
        <f t="shared" ref="F4228:F4291" si="133">C4228*C4228</f>
        <v>17859076</v>
      </c>
      <c r="G4228" s="7"/>
    </row>
    <row r="4229" spans="1:7" x14ac:dyDescent="0.35">
      <c r="A4229" t="str">
        <f>"2022-01-20"</f>
        <v>2022-01-20</v>
      </c>
      <c r="B4229" t="str">
        <f>"35.3378"</f>
        <v>35.3378</v>
      </c>
      <c r="C4229">
        <v>4227</v>
      </c>
      <c r="D4229" s="7">
        <v>35.337800000000001</v>
      </c>
      <c r="E4229" s="7">
        <f t="shared" si="132"/>
        <v>149372.8806</v>
      </c>
      <c r="F4229" s="7">
        <f t="shared" si="133"/>
        <v>17867529</v>
      </c>
      <c r="G4229" s="7"/>
    </row>
    <row r="4230" spans="1:7" x14ac:dyDescent="0.35">
      <c r="A4230" t="str">
        <f>"2022-01-21"</f>
        <v>2022-01-21</v>
      </c>
      <c r="B4230" t="str">
        <f>"34.9639"</f>
        <v>34.9639</v>
      </c>
      <c r="C4230">
        <v>4228</v>
      </c>
      <c r="D4230" s="7">
        <v>34.963900000000002</v>
      </c>
      <c r="E4230" s="7">
        <f t="shared" si="132"/>
        <v>147827.36920000002</v>
      </c>
      <c r="F4230" s="7">
        <f t="shared" si="133"/>
        <v>17875984</v>
      </c>
      <c r="G4230" s="7"/>
    </row>
    <row r="4231" spans="1:7" x14ac:dyDescent="0.35">
      <c r="A4231" t="str">
        <f>"2022-01-24"</f>
        <v>2022-01-24</v>
      </c>
      <c r="B4231" t="str">
        <f>"32.7093"</f>
        <v>32.7093</v>
      </c>
      <c r="C4231">
        <v>4229</v>
      </c>
      <c r="D4231" s="7">
        <v>32.709299999999999</v>
      </c>
      <c r="E4231" s="7">
        <f t="shared" si="132"/>
        <v>138327.62969999999</v>
      </c>
      <c r="F4231" s="7">
        <f t="shared" si="133"/>
        <v>17884441</v>
      </c>
      <c r="G4231" s="7"/>
    </row>
    <row r="4232" spans="1:7" x14ac:dyDescent="0.35">
      <c r="A4232" t="str">
        <f>"2022-01-25"</f>
        <v>2022-01-25</v>
      </c>
      <c r="B4232" t="str">
        <f>"32.6398"</f>
        <v>32.6398</v>
      </c>
      <c r="C4232">
        <v>4230</v>
      </c>
      <c r="D4232" s="7">
        <v>32.639800000000001</v>
      </c>
      <c r="E4232" s="7">
        <f t="shared" si="132"/>
        <v>138066.35399999999</v>
      </c>
      <c r="F4232" s="7">
        <f t="shared" si="133"/>
        <v>17892900</v>
      </c>
      <c r="G4232" s="7"/>
    </row>
    <row r="4233" spans="1:7" x14ac:dyDescent="0.35">
      <c r="A4233" t="str">
        <f>"2022-01-26"</f>
        <v>2022-01-26</v>
      </c>
      <c r="B4233" t="str">
        <f>"34.3305"</f>
        <v>34.3305</v>
      </c>
      <c r="C4233">
        <v>4231</v>
      </c>
      <c r="D4233" s="7">
        <v>34.330500000000001</v>
      </c>
      <c r="E4233" s="7">
        <f t="shared" si="132"/>
        <v>145252.3455</v>
      </c>
      <c r="F4233" s="7">
        <f t="shared" si="133"/>
        <v>17901361</v>
      </c>
      <c r="G4233" s="7"/>
    </row>
    <row r="4234" spans="1:7" x14ac:dyDescent="0.35">
      <c r="A4234" t="str">
        <f>"2022-01-27"</f>
        <v>2022-01-27</v>
      </c>
      <c r="B4234" t="str">
        <f>"36.5866"</f>
        <v>36.5866</v>
      </c>
      <c r="C4234">
        <v>4232</v>
      </c>
      <c r="D4234" s="7">
        <v>36.586599999999997</v>
      </c>
      <c r="E4234" s="7">
        <f t="shared" si="132"/>
        <v>154834.49119999999</v>
      </c>
      <c r="F4234" s="7">
        <f t="shared" si="133"/>
        <v>17909824</v>
      </c>
      <c r="G4234" s="7"/>
    </row>
    <row r="4235" spans="1:7" x14ac:dyDescent="0.35">
      <c r="A4235" t="str">
        <f>"2022-01-28"</f>
        <v>2022-01-28</v>
      </c>
      <c r="B4235" t="str">
        <f>"36.0352"</f>
        <v>36.0352</v>
      </c>
      <c r="C4235">
        <v>4233</v>
      </c>
      <c r="D4235" s="7">
        <v>36.035200000000003</v>
      </c>
      <c r="E4235" s="7">
        <f t="shared" si="132"/>
        <v>152537.00160000002</v>
      </c>
      <c r="F4235" s="7">
        <f t="shared" si="133"/>
        <v>17918289</v>
      </c>
      <c r="G4235" s="7"/>
    </row>
    <row r="4236" spans="1:7" x14ac:dyDescent="0.35">
      <c r="A4236" t="str">
        <f>"2022-01-31"</f>
        <v>2022-01-31</v>
      </c>
      <c r="B4236" t="str">
        <f>"36.9125"</f>
        <v>36.9125</v>
      </c>
      <c r="C4236">
        <v>4234</v>
      </c>
      <c r="D4236" s="7">
        <v>36.912500000000001</v>
      </c>
      <c r="E4236" s="7">
        <f t="shared" si="132"/>
        <v>156287.52499999999</v>
      </c>
      <c r="F4236" s="7">
        <f t="shared" si="133"/>
        <v>17926756</v>
      </c>
      <c r="G4236" s="7"/>
    </row>
    <row r="4237" spans="1:7" x14ac:dyDescent="0.35">
      <c r="A4237" t="str">
        <f>"2022-02-01"</f>
        <v>2022-02-01</v>
      </c>
      <c r="B4237" t="str">
        <f>"36.7996"</f>
        <v>36.7996</v>
      </c>
      <c r="C4237">
        <v>4235</v>
      </c>
      <c r="D4237" s="7">
        <v>36.799599999999998</v>
      </c>
      <c r="E4237" s="7">
        <f t="shared" si="132"/>
        <v>155846.30599999998</v>
      </c>
      <c r="F4237" s="7">
        <f t="shared" si="133"/>
        <v>17935225</v>
      </c>
      <c r="G4237" s="7"/>
    </row>
    <row r="4238" spans="1:7" x14ac:dyDescent="0.35">
      <c r="A4238" t="str">
        <f>"2022-02-02"</f>
        <v>2022-02-02</v>
      </c>
      <c r="B4238" t="str">
        <f>"35.7998"</f>
        <v>35.7998</v>
      </c>
      <c r="C4238">
        <v>4236</v>
      </c>
      <c r="D4238" s="7">
        <v>35.799799999999998</v>
      </c>
      <c r="E4238" s="7">
        <f t="shared" si="132"/>
        <v>151647.9528</v>
      </c>
      <c r="F4238" s="7">
        <f t="shared" si="133"/>
        <v>17943696</v>
      </c>
      <c r="G4238" s="7"/>
    </row>
    <row r="4239" spans="1:7" x14ac:dyDescent="0.35">
      <c r="A4239" t="str">
        <f>"2022-02-03"</f>
        <v>2022-02-03</v>
      </c>
      <c r="B4239" t="str">
        <f>"34.6157"</f>
        <v>34.6157</v>
      </c>
      <c r="C4239">
        <v>4237</v>
      </c>
      <c r="D4239" s="7">
        <v>34.615699999999997</v>
      </c>
      <c r="E4239" s="7">
        <f t="shared" si="132"/>
        <v>146666.72089999999</v>
      </c>
      <c r="F4239" s="7">
        <f t="shared" si="133"/>
        <v>17952169</v>
      </c>
      <c r="G4239" s="7"/>
    </row>
    <row r="4240" spans="1:7" x14ac:dyDescent="0.35">
      <c r="A4240" t="str">
        <f>"2022-02-04"</f>
        <v>2022-02-04</v>
      </c>
      <c r="B4240" t="str">
        <f>"33.8337"</f>
        <v>33.8337</v>
      </c>
      <c r="C4240">
        <v>4238</v>
      </c>
      <c r="D4240" s="7">
        <v>33.8337</v>
      </c>
      <c r="E4240" s="7">
        <f t="shared" si="132"/>
        <v>143387.2206</v>
      </c>
      <c r="F4240" s="7">
        <f t="shared" si="133"/>
        <v>17960644</v>
      </c>
      <c r="G4240" s="7"/>
    </row>
    <row r="4241" spans="1:7" x14ac:dyDescent="0.35">
      <c r="A4241" t="str">
        <f>"2022-02-07"</f>
        <v>2022-02-07</v>
      </c>
      <c r="B4241" t="str">
        <f>"35.6135"</f>
        <v>35.6135</v>
      </c>
      <c r="C4241">
        <v>4239</v>
      </c>
      <c r="D4241" s="7">
        <v>35.613500000000002</v>
      </c>
      <c r="E4241" s="7">
        <f t="shared" si="132"/>
        <v>150965.62650000001</v>
      </c>
      <c r="F4241" s="7">
        <f t="shared" si="133"/>
        <v>17969121</v>
      </c>
      <c r="G4241" s="7"/>
    </row>
    <row r="4242" spans="1:7" x14ac:dyDescent="0.35">
      <c r="A4242" t="str">
        <f>"2022-02-08"</f>
        <v>2022-02-08</v>
      </c>
      <c r="B4242" t="str">
        <f>"36.1131"</f>
        <v>36.1131</v>
      </c>
      <c r="C4242">
        <v>4240</v>
      </c>
      <c r="D4242" s="7">
        <v>36.113100000000003</v>
      </c>
      <c r="E4242" s="7">
        <f t="shared" si="132"/>
        <v>153119.54400000002</v>
      </c>
      <c r="F4242" s="7">
        <f t="shared" si="133"/>
        <v>17977600</v>
      </c>
      <c r="G4242" s="7"/>
    </row>
    <row r="4243" spans="1:7" x14ac:dyDescent="0.35">
      <c r="A4243" t="str">
        <f>"2022-02-09"</f>
        <v>2022-02-09</v>
      </c>
      <c r="B4243" t="str">
        <f>"37.249"</f>
        <v>37.249</v>
      </c>
      <c r="C4243">
        <v>4241</v>
      </c>
      <c r="D4243" s="7">
        <v>37.249000000000002</v>
      </c>
      <c r="E4243" s="7">
        <f t="shared" si="132"/>
        <v>157973.00900000002</v>
      </c>
      <c r="F4243" s="7">
        <f t="shared" si="133"/>
        <v>17986081</v>
      </c>
      <c r="G4243" s="7"/>
    </row>
    <row r="4244" spans="1:7" x14ac:dyDescent="0.35">
      <c r="A4244" t="str">
        <f>"2022-02-10"</f>
        <v>2022-02-10</v>
      </c>
      <c r="B4244" t="str">
        <f>"37.2831"</f>
        <v>37.2831</v>
      </c>
      <c r="C4244">
        <v>4242</v>
      </c>
      <c r="D4244" s="7">
        <v>37.283099999999997</v>
      </c>
      <c r="E4244" s="7">
        <f t="shared" si="132"/>
        <v>158154.91019999998</v>
      </c>
      <c r="F4244" s="7">
        <f t="shared" si="133"/>
        <v>17994564</v>
      </c>
      <c r="G4244" s="7"/>
    </row>
    <row r="4245" spans="1:7" x14ac:dyDescent="0.35">
      <c r="A4245" t="str">
        <f>"2022-02-11"</f>
        <v>2022-02-11</v>
      </c>
      <c r="B4245" t="str">
        <f>"37.0834"</f>
        <v>37.0834</v>
      </c>
      <c r="C4245">
        <v>4243</v>
      </c>
      <c r="D4245" s="7">
        <v>37.083399999999997</v>
      </c>
      <c r="E4245" s="7">
        <f t="shared" si="132"/>
        <v>157344.86619999999</v>
      </c>
      <c r="F4245" s="7">
        <f t="shared" si="133"/>
        <v>18003049</v>
      </c>
      <c r="G4245" s="7"/>
    </row>
    <row r="4246" spans="1:7" x14ac:dyDescent="0.35">
      <c r="A4246" t="str">
        <f>"2022-02-14"</f>
        <v>2022-02-14</v>
      </c>
      <c r="B4246" t="str">
        <f>"35.2607"</f>
        <v>35.2607</v>
      </c>
      <c r="C4246">
        <v>4244</v>
      </c>
      <c r="D4246" s="7">
        <v>35.2607</v>
      </c>
      <c r="E4246" s="7">
        <f t="shared" si="132"/>
        <v>149646.41080000001</v>
      </c>
      <c r="F4246" s="7">
        <f t="shared" si="133"/>
        <v>18011536</v>
      </c>
      <c r="G4246" s="7"/>
    </row>
    <row r="4247" spans="1:7" x14ac:dyDescent="0.35">
      <c r="A4247" t="str">
        <f>"2022-02-15"</f>
        <v>2022-02-15</v>
      </c>
      <c r="B4247" t="str">
        <f>"36.9666"</f>
        <v>36.9666</v>
      </c>
      <c r="C4247">
        <v>4245</v>
      </c>
      <c r="D4247" s="7">
        <v>36.9666</v>
      </c>
      <c r="E4247" s="7">
        <f t="shared" si="132"/>
        <v>156923.217</v>
      </c>
      <c r="F4247" s="7">
        <f t="shared" si="133"/>
        <v>18020025</v>
      </c>
      <c r="G4247" s="7"/>
    </row>
    <row r="4248" spans="1:7" x14ac:dyDescent="0.35">
      <c r="A4248" t="str">
        <f>"2022-02-16"</f>
        <v>2022-02-16</v>
      </c>
      <c r="B4248" t="str">
        <f>"36.1886"</f>
        <v>36.1886</v>
      </c>
      <c r="C4248">
        <v>4246</v>
      </c>
      <c r="D4248" s="7">
        <v>36.188600000000001</v>
      </c>
      <c r="E4248" s="7">
        <f t="shared" si="132"/>
        <v>153656.79560000001</v>
      </c>
      <c r="F4248" s="7">
        <f t="shared" si="133"/>
        <v>18028516</v>
      </c>
      <c r="G4248" s="7"/>
    </row>
    <row r="4249" spans="1:7" x14ac:dyDescent="0.35">
      <c r="A4249" t="str">
        <f>"2022-02-17"</f>
        <v>2022-02-17</v>
      </c>
      <c r="B4249" t="str">
        <f>"34.5924"</f>
        <v>34.5924</v>
      </c>
      <c r="C4249">
        <v>4247</v>
      </c>
      <c r="D4249" s="7">
        <v>34.592399999999998</v>
      </c>
      <c r="E4249" s="7">
        <f t="shared" si="132"/>
        <v>146913.9228</v>
      </c>
      <c r="F4249" s="7">
        <f t="shared" si="133"/>
        <v>18037009</v>
      </c>
      <c r="G4249" s="7"/>
    </row>
    <row r="4250" spans="1:7" x14ac:dyDescent="0.35">
      <c r="A4250" t="str">
        <f>"2022-02-18"</f>
        <v>2022-02-18</v>
      </c>
      <c r="B4250" t="str">
        <f>"35.6175"</f>
        <v>35.6175</v>
      </c>
      <c r="C4250">
        <v>4248</v>
      </c>
      <c r="D4250" s="7">
        <v>35.6175</v>
      </c>
      <c r="E4250" s="7">
        <f t="shared" si="132"/>
        <v>151303.13999999998</v>
      </c>
      <c r="F4250" s="7">
        <f t="shared" si="133"/>
        <v>18045504</v>
      </c>
      <c r="G4250" s="7"/>
    </row>
    <row r="4251" spans="1:7" x14ac:dyDescent="0.35">
      <c r="A4251" t="str">
        <f>"2022-02-22"</f>
        <v>2022-02-22</v>
      </c>
      <c r="B4251" t="str">
        <f>"34.4602"</f>
        <v>34.4602</v>
      </c>
      <c r="C4251">
        <v>4249</v>
      </c>
      <c r="D4251" s="7">
        <v>34.4602</v>
      </c>
      <c r="E4251" s="7">
        <f t="shared" si="132"/>
        <v>146421.3898</v>
      </c>
      <c r="F4251" s="7">
        <f t="shared" si="133"/>
        <v>18054001</v>
      </c>
      <c r="G4251" s="7"/>
    </row>
    <row r="4252" spans="1:7" x14ac:dyDescent="0.35">
      <c r="A4252" t="str">
        <f>"2022-02-23"</f>
        <v>2022-02-23</v>
      </c>
      <c r="B4252" t="str">
        <f>"33.2403"</f>
        <v>33.2403</v>
      </c>
      <c r="C4252">
        <v>4250</v>
      </c>
      <c r="D4252" s="7">
        <v>33.240299999999998</v>
      </c>
      <c r="E4252" s="7">
        <f t="shared" si="132"/>
        <v>141271.27499999999</v>
      </c>
      <c r="F4252" s="7">
        <f t="shared" si="133"/>
        <v>18062500</v>
      </c>
      <c r="G4252" s="7"/>
    </row>
    <row r="4253" spans="1:7" x14ac:dyDescent="0.35">
      <c r="A4253" t="str">
        <f>"2022-02-24"</f>
        <v>2022-02-24</v>
      </c>
      <c r="B4253" t="str">
        <f>"29.5535"</f>
        <v>29.5535</v>
      </c>
      <c r="C4253">
        <v>4251</v>
      </c>
      <c r="D4253" s="7">
        <v>29.5535</v>
      </c>
      <c r="E4253" s="7">
        <f t="shared" si="132"/>
        <v>125631.92849999999</v>
      </c>
      <c r="F4253" s="7">
        <f t="shared" si="133"/>
        <v>18071001</v>
      </c>
      <c r="G4253" s="7"/>
    </row>
    <row r="4254" spans="1:7" x14ac:dyDescent="0.35">
      <c r="A4254" t="str">
        <f>"2022-02-25"</f>
        <v>2022-02-25</v>
      </c>
      <c r="B4254" t="str">
        <f>"32.0292"</f>
        <v>32.0292</v>
      </c>
      <c r="C4254">
        <v>4252</v>
      </c>
      <c r="D4254" s="7">
        <v>32.029200000000003</v>
      </c>
      <c r="E4254" s="7">
        <f t="shared" si="132"/>
        <v>136188.15840000001</v>
      </c>
      <c r="F4254" s="7">
        <f t="shared" si="133"/>
        <v>18079504</v>
      </c>
      <c r="G4254" s="7"/>
    </row>
    <row r="4255" spans="1:7" x14ac:dyDescent="0.35">
      <c r="A4255" t="str">
        <f>"2022-02-28"</f>
        <v>2022-02-28</v>
      </c>
      <c r="B4255" t="str">
        <f>"29.9054"</f>
        <v>29.9054</v>
      </c>
      <c r="C4255">
        <v>4253</v>
      </c>
      <c r="D4255" s="7">
        <v>29.9054</v>
      </c>
      <c r="E4255" s="7">
        <f t="shared" si="132"/>
        <v>127187.66620000001</v>
      </c>
      <c r="F4255" s="7">
        <f t="shared" si="133"/>
        <v>18088009</v>
      </c>
      <c r="G4255" s="7"/>
    </row>
    <row r="4256" spans="1:7" x14ac:dyDescent="0.35">
      <c r="A4256" t="str">
        <f>"2022-03-01"</f>
        <v>2022-03-01</v>
      </c>
      <c r="B4256" t="str">
        <f>"29.3297"</f>
        <v>29.3297</v>
      </c>
      <c r="C4256">
        <v>4254</v>
      </c>
      <c r="D4256" s="7">
        <v>29.329699999999999</v>
      </c>
      <c r="E4256" s="7">
        <f t="shared" si="132"/>
        <v>124768.5438</v>
      </c>
      <c r="F4256" s="7">
        <f t="shared" si="133"/>
        <v>18096516</v>
      </c>
      <c r="G4256" s="7"/>
    </row>
    <row r="4257" spans="1:7" x14ac:dyDescent="0.35">
      <c r="A4257" t="str">
        <f>"2022-03-02"</f>
        <v>2022-03-02</v>
      </c>
      <c r="B4257" t="str">
        <f>"30.4059"</f>
        <v>30.4059</v>
      </c>
      <c r="C4257">
        <v>4255</v>
      </c>
      <c r="D4257" s="7">
        <v>30.405899999999999</v>
      </c>
      <c r="E4257" s="7">
        <f t="shared" si="132"/>
        <v>129377.1045</v>
      </c>
      <c r="F4257" s="7">
        <f t="shared" si="133"/>
        <v>18105025</v>
      </c>
      <c r="G4257" s="7"/>
    </row>
    <row r="4258" spans="1:7" x14ac:dyDescent="0.35">
      <c r="A4258" t="str">
        <f>"2022-03-03"</f>
        <v>2022-03-03</v>
      </c>
      <c r="B4258" t="str">
        <f>"29.8286"</f>
        <v>29.8286</v>
      </c>
      <c r="C4258">
        <v>4256</v>
      </c>
      <c r="D4258" s="7">
        <v>29.828600000000002</v>
      </c>
      <c r="E4258" s="7">
        <f t="shared" si="132"/>
        <v>126950.52160000001</v>
      </c>
      <c r="F4258" s="7">
        <f t="shared" si="133"/>
        <v>18113536</v>
      </c>
      <c r="G4258" s="7"/>
    </row>
    <row r="4259" spans="1:7" x14ac:dyDescent="0.35">
      <c r="A4259" t="str">
        <f>"2022-03-04"</f>
        <v>2022-03-04</v>
      </c>
      <c r="B4259" t="str">
        <f>"28.3733"</f>
        <v>28.3733</v>
      </c>
      <c r="C4259">
        <v>4257</v>
      </c>
      <c r="D4259" s="7">
        <v>28.3733</v>
      </c>
      <c r="E4259" s="7">
        <f t="shared" si="132"/>
        <v>120785.1381</v>
      </c>
      <c r="F4259" s="7">
        <f t="shared" si="133"/>
        <v>18122049</v>
      </c>
      <c r="G4259" s="7"/>
    </row>
    <row r="4260" spans="1:7" x14ac:dyDescent="0.35">
      <c r="A4260" t="str">
        <f>"2022-03-07"</f>
        <v>2022-03-07</v>
      </c>
      <c r="B4260" t="str">
        <f>"28.3731"</f>
        <v>28.3731</v>
      </c>
      <c r="C4260">
        <v>4258</v>
      </c>
      <c r="D4260" s="7">
        <v>28.373100000000001</v>
      </c>
      <c r="E4260" s="7">
        <f t="shared" si="132"/>
        <v>120812.65980000001</v>
      </c>
      <c r="F4260" s="7">
        <f t="shared" si="133"/>
        <v>18130564</v>
      </c>
      <c r="G4260" s="7"/>
    </row>
    <row r="4261" spans="1:7" x14ac:dyDescent="0.35">
      <c r="A4261" t="str">
        <f>"2022-03-08"</f>
        <v>2022-03-08</v>
      </c>
      <c r="B4261" t="str">
        <f>"26.8256"</f>
        <v>26.8256</v>
      </c>
      <c r="C4261">
        <v>4259</v>
      </c>
      <c r="D4261" s="7">
        <v>26.825600000000001</v>
      </c>
      <c r="E4261" s="7">
        <f t="shared" si="132"/>
        <v>114250.2304</v>
      </c>
      <c r="F4261" s="7">
        <f t="shared" si="133"/>
        <v>18139081</v>
      </c>
      <c r="G4261" s="7"/>
    </row>
    <row r="4262" spans="1:7" x14ac:dyDescent="0.35">
      <c r="A4262" t="str">
        <f>"2022-03-09"</f>
        <v>2022-03-09</v>
      </c>
      <c r="B4262" t="str">
        <f>"28.2521"</f>
        <v>28.2521</v>
      </c>
      <c r="C4262">
        <v>4260</v>
      </c>
      <c r="D4262" s="7">
        <v>28.252099999999999</v>
      </c>
      <c r="E4262" s="7">
        <f t="shared" si="132"/>
        <v>120353.946</v>
      </c>
      <c r="F4262" s="7">
        <f t="shared" si="133"/>
        <v>18147600</v>
      </c>
      <c r="G4262" s="7"/>
    </row>
    <row r="4263" spans="1:7" x14ac:dyDescent="0.35">
      <c r="A4263" t="str">
        <f>"2022-03-10"</f>
        <v>2022-03-10</v>
      </c>
      <c r="B4263" t="str">
        <f>"27.3334"</f>
        <v>27.3334</v>
      </c>
      <c r="C4263">
        <v>4261</v>
      </c>
      <c r="D4263" s="7">
        <v>27.333400000000001</v>
      </c>
      <c r="E4263" s="7">
        <f t="shared" si="132"/>
        <v>116467.6174</v>
      </c>
      <c r="F4263" s="7">
        <f t="shared" si="133"/>
        <v>18156121</v>
      </c>
      <c r="G4263" s="7"/>
    </row>
    <row r="4264" spans="1:7" x14ac:dyDescent="0.35">
      <c r="A4264" t="str">
        <f>"2022-03-11"</f>
        <v>2022-03-11</v>
      </c>
      <c r="B4264" t="str">
        <f>"27.9325"</f>
        <v>27.9325</v>
      </c>
      <c r="C4264">
        <v>4262</v>
      </c>
      <c r="D4264" s="7">
        <v>27.932500000000001</v>
      </c>
      <c r="E4264" s="7">
        <f t="shared" si="132"/>
        <v>119048.315</v>
      </c>
      <c r="F4264" s="7">
        <f t="shared" si="133"/>
        <v>18164644</v>
      </c>
      <c r="G4264" s="7"/>
    </row>
    <row r="4265" spans="1:7" x14ac:dyDescent="0.35">
      <c r="A4265" t="str">
        <f>"2022-03-14"</f>
        <v>2022-03-14</v>
      </c>
      <c r="B4265" t="str">
        <f>"28.6456"</f>
        <v>28.6456</v>
      </c>
      <c r="C4265">
        <v>4263</v>
      </c>
      <c r="D4265" s="7">
        <v>28.645600000000002</v>
      </c>
      <c r="E4265" s="7">
        <f t="shared" si="132"/>
        <v>122116.1928</v>
      </c>
      <c r="F4265" s="7">
        <f t="shared" si="133"/>
        <v>18173169</v>
      </c>
      <c r="G4265" s="7"/>
    </row>
    <row r="4266" spans="1:7" x14ac:dyDescent="0.35">
      <c r="A4266" t="str">
        <f>"2022-03-15"</f>
        <v>2022-03-15</v>
      </c>
      <c r="B4266" t="str">
        <f>"30.1938"</f>
        <v>30.1938</v>
      </c>
      <c r="C4266">
        <v>4264</v>
      </c>
      <c r="D4266" s="7">
        <v>30.1938</v>
      </c>
      <c r="E4266" s="7">
        <f t="shared" si="132"/>
        <v>128746.36319999999</v>
      </c>
      <c r="F4266" s="7">
        <f t="shared" si="133"/>
        <v>18181696</v>
      </c>
      <c r="G4266" s="7"/>
    </row>
    <row r="4267" spans="1:7" x14ac:dyDescent="0.35">
      <c r="A4267" t="str">
        <f>"2022-03-16"</f>
        <v>2022-03-16</v>
      </c>
      <c r="B4267" t="str">
        <f>"30.7164"</f>
        <v>30.7164</v>
      </c>
      <c r="C4267">
        <v>4265</v>
      </c>
      <c r="D4267" s="7">
        <v>30.7164</v>
      </c>
      <c r="E4267" s="7">
        <f t="shared" si="132"/>
        <v>131005.446</v>
      </c>
      <c r="F4267" s="7">
        <f t="shared" si="133"/>
        <v>18190225</v>
      </c>
      <c r="G4267" s="7"/>
    </row>
    <row r="4268" spans="1:7" x14ac:dyDescent="0.35">
      <c r="A4268" t="str">
        <f>"2022-03-17"</f>
        <v>2022-03-17</v>
      </c>
      <c r="B4268" t="str">
        <f>"30.6491"</f>
        <v>30.6491</v>
      </c>
      <c r="C4268">
        <v>4266</v>
      </c>
      <c r="D4268" s="7">
        <v>30.649100000000001</v>
      </c>
      <c r="E4268" s="7">
        <f t="shared" si="132"/>
        <v>130749.0606</v>
      </c>
      <c r="F4268" s="7">
        <f t="shared" si="133"/>
        <v>18198756</v>
      </c>
      <c r="G4268" s="7"/>
    </row>
    <row r="4269" spans="1:7" x14ac:dyDescent="0.35">
      <c r="A4269" t="str">
        <f>"2022-03-18"</f>
        <v>2022-03-18</v>
      </c>
      <c r="B4269" t="str">
        <f>"30.4113"</f>
        <v>30.4113</v>
      </c>
      <c r="C4269">
        <v>4267</v>
      </c>
      <c r="D4269" s="7">
        <v>30.411300000000001</v>
      </c>
      <c r="E4269" s="7">
        <f t="shared" si="132"/>
        <v>129765.0171</v>
      </c>
      <c r="F4269" s="7">
        <f t="shared" si="133"/>
        <v>18207289</v>
      </c>
      <c r="G4269" s="7"/>
    </row>
    <row r="4270" spans="1:7" x14ac:dyDescent="0.35">
      <c r="A4270" t="str">
        <f>"2022-03-21"</f>
        <v>2022-03-21</v>
      </c>
      <c r="B4270" t="str">
        <f>"30.4102"</f>
        <v>30.4102</v>
      </c>
      <c r="C4270">
        <v>4268</v>
      </c>
      <c r="D4270" s="7">
        <v>30.4102</v>
      </c>
      <c r="E4270" s="7">
        <f t="shared" si="132"/>
        <v>129790.73359999999</v>
      </c>
      <c r="F4270" s="7">
        <f t="shared" si="133"/>
        <v>18215824</v>
      </c>
      <c r="G4270" s="7"/>
    </row>
    <row r="4271" spans="1:7" x14ac:dyDescent="0.35">
      <c r="A4271" t="str">
        <f>"2022-03-22"</f>
        <v>2022-03-22</v>
      </c>
      <c r="B4271" t="str">
        <f>"31.1602"</f>
        <v>31.1602</v>
      </c>
      <c r="C4271">
        <v>4269</v>
      </c>
      <c r="D4271" s="7">
        <v>31.1602</v>
      </c>
      <c r="E4271" s="7">
        <f t="shared" si="132"/>
        <v>133022.89379999999</v>
      </c>
      <c r="F4271" s="7">
        <f t="shared" si="133"/>
        <v>18224361</v>
      </c>
      <c r="G4271" s="7"/>
    </row>
    <row r="4272" spans="1:7" x14ac:dyDescent="0.35">
      <c r="A4272" t="str">
        <f>"2022-03-23"</f>
        <v>2022-03-23</v>
      </c>
      <c r="B4272" t="str">
        <f>"30.4563"</f>
        <v>30.4563</v>
      </c>
      <c r="C4272">
        <v>4270</v>
      </c>
      <c r="D4272" s="7">
        <v>30.456299999999999</v>
      </c>
      <c r="E4272" s="7">
        <f t="shared" si="132"/>
        <v>130048.401</v>
      </c>
      <c r="F4272" s="7">
        <f t="shared" si="133"/>
        <v>18232900</v>
      </c>
      <c r="G4272" s="7"/>
    </row>
    <row r="4273" spans="1:7" x14ac:dyDescent="0.35">
      <c r="A4273" t="str">
        <f>"2022-03-24"</f>
        <v>2022-03-24</v>
      </c>
      <c r="B4273" t="str">
        <f>"30.0725"</f>
        <v>30.0725</v>
      </c>
      <c r="C4273">
        <v>4271</v>
      </c>
      <c r="D4273" s="7">
        <v>30.072500000000002</v>
      </c>
      <c r="E4273" s="7">
        <f t="shared" si="132"/>
        <v>128439.64750000001</v>
      </c>
      <c r="F4273" s="7">
        <f t="shared" si="133"/>
        <v>18241441</v>
      </c>
      <c r="G4273" s="7"/>
    </row>
    <row r="4274" spans="1:7" x14ac:dyDescent="0.35">
      <c r="A4274" t="str">
        <f>"2022-03-25"</f>
        <v>2022-03-25</v>
      </c>
      <c r="B4274" t="str">
        <f>"30.2166"</f>
        <v>30.2166</v>
      </c>
      <c r="C4274">
        <v>4272</v>
      </c>
      <c r="D4274" s="7">
        <v>30.2166</v>
      </c>
      <c r="E4274" s="7">
        <f t="shared" si="132"/>
        <v>129085.3152</v>
      </c>
      <c r="F4274" s="7">
        <f t="shared" si="133"/>
        <v>18249984</v>
      </c>
      <c r="G4274" s="7"/>
    </row>
    <row r="4275" spans="1:7" x14ac:dyDescent="0.35">
      <c r="A4275" t="str">
        <f>"2022-03-28"</f>
        <v>2022-03-28</v>
      </c>
      <c r="B4275" t="str">
        <f>"31.4284"</f>
        <v>31.4284</v>
      </c>
      <c r="C4275">
        <v>4273</v>
      </c>
      <c r="D4275" s="7">
        <v>31.4284</v>
      </c>
      <c r="E4275" s="7">
        <f t="shared" si="132"/>
        <v>134293.55319999999</v>
      </c>
      <c r="F4275" s="7">
        <f t="shared" si="133"/>
        <v>18258529</v>
      </c>
      <c r="G4275" s="7"/>
    </row>
    <row r="4276" spans="1:7" x14ac:dyDescent="0.35">
      <c r="A4276" t="str">
        <f>"2022-03-29"</f>
        <v>2022-03-29</v>
      </c>
      <c r="B4276" t="str">
        <f>"34.7271"</f>
        <v>34.7271</v>
      </c>
      <c r="C4276">
        <v>4274</v>
      </c>
      <c r="D4276" s="7">
        <v>34.7271</v>
      </c>
      <c r="E4276" s="7">
        <f t="shared" si="132"/>
        <v>148423.62539999999</v>
      </c>
      <c r="F4276" s="7">
        <f t="shared" si="133"/>
        <v>18267076</v>
      </c>
      <c r="G4276" s="7"/>
    </row>
    <row r="4277" spans="1:7" x14ac:dyDescent="0.35">
      <c r="A4277" t="str">
        <f>"2022-03-30"</f>
        <v>2022-03-30</v>
      </c>
      <c r="B4277" t="str">
        <f>"35.5315"</f>
        <v>35.5315</v>
      </c>
      <c r="C4277">
        <v>4275</v>
      </c>
      <c r="D4277" s="7">
        <v>35.531500000000001</v>
      </c>
      <c r="E4277" s="7">
        <f t="shared" si="132"/>
        <v>151897.16250000001</v>
      </c>
      <c r="F4277" s="7">
        <f t="shared" si="133"/>
        <v>18275625</v>
      </c>
      <c r="G4277" s="7"/>
    </row>
    <row r="4278" spans="1:7" x14ac:dyDescent="0.35">
      <c r="A4278" t="str">
        <f>"2022-03-31"</f>
        <v>2022-03-31</v>
      </c>
      <c r="B4278" t="str">
        <f>"35.1358"</f>
        <v>35.1358</v>
      </c>
      <c r="C4278">
        <v>4276</v>
      </c>
      <c r="D4278" s="7">
        <v>35.135800000000003</v>
      </c>
      <c r="E4278" s="7">
        <f t="shared" si="132"/>
        <v>150240.6808</v>
      </c>
      <c r="F4278" s="7">
        <f t="shared" si="133"/>
        <v>18284176</v>
      </c>
      <c r="G4278" s="7"/>
    </row>
    <row r="4279" spans="1:7" x14ac:dyDescent="0.35">
      <c r="A4279" t="str">
        <f>"2022-04-01"</f>
        <v>2022-04-01</v>
      </c>
      <c r="B4279" t="str">
        <f>"36.2246"</f>
        <v>36.2246</v>
      </c>
      <c r="C4279">
        <v>4277</v>
      </c>
      <c r="D4279" s="7">
        <v>36.224600000000002</v>
      </c>
      <c r="E4279" s="7">
        <f t="shared" si="132"/>
        <v>154932.61420000001</v>
      </c>
      <c r="F4279" s="7">
        <f t="shared" si="133"/>
        <v>18292729</v>
      </c>
      <c r="G4279" s="7"/>
    </row>
    <row r="4280" spans="1:7" x14ac:dyDescent="0.35">
      <c r="A4280" t="str">
        <f>"2022-04-04"</f>
        <v>2022-04-04</v>
      </c>
      <c r="B4280" t="str">
        <f>"36.7628"</f>
        <v>36.7628</v>
      </c>
      <c r="C4280">
        <v>4278</v>
      </c>
      <c r="D4280" s="7">
        <v>36.762799999999999</v>
      </c>
      <c r="E4280" s="7">
        <f t="shared" si="132"/>
        <v>157271.25839999999</v>
      </c>
      <c r="F4280" s="7">
        <f t="shared" si="133"/>
        <v>18301284</v>
      </c>
      <c r="G4280" s="7"/>
    </row>
    <row r="4281" spans="1:7" x14ac:dyDescent="0.35">
      <c r="A4281" t="str">
        <f>"2022-04-05"</f>
        <v>2022-04-05</v>
      </c>
      <c r="B4281" t="str">
        <f>"37.9844"</f>
        <v>37.9844</v>
      </c>
      <c r="C4281">
        <v>4279</v>
      </c>
      <c r="D4281" s="7">
        <v>37.984400000000001</v>
      </c>
      <c r="E4281" s="7">
        <f t="shared" si="132"/>
        <v>162535.2476</v>
      </c>
      <c r="F4281" s="7">
        <f t="shared" si="133"/>
        <v>18309841</v>
      </c>
      <c r="G4281" s="7"/>
    </row>
    <row r="4282" spans="1:7" x14ac:dyDescent="0.35">
      <c r="A4282" t="str">
        <f>"2022-04-06"</f>
        <v>2022-04-06</v>
      </c>
      <c r="B4282" t="str">
        <f>"38.1374"</f>
        <v>38.1374</v>
      </c>
      <c r="C4282">
        <v>4280</v>
      </c>
      <c r="D4282" s="7">
        <v>38.1374</v>
      </c>
      <c r="E4282" s="7">
        <f t="shared" si="132"/>
        <v>163228.07199999999</v>
      </c>
      <c r="F4282" s="7">
        <f t="shared" si="133"/>
        <v>18318400</v>
      </c>
      <c r="G4282" s="7"/>
    </row>
    <row r="4283" spans="1:7" x14ac:dyDescent="0.35">
      <c r="A4283" t="str">
        <f>"2022-04-07"</f>
        <v>2022-04-07</v>
      </c>
      <c r="B4283" t="str">
        <f>"38.975"</f>
        <v>38.975</v>
      </c>
      <c r="C4283">
        <v>4281</v>
      </c>
      <c r="D4283" s="7">
        <v>38.975000000000001</v>
      </c>
      <c r="E4283" s="7">
        <f t="shared" si="132"/>
        <v>166851.97500000001</v>
      </c>
      <c r="F4283" s="7">
        <f t="shared" si="133"/>
        <v>18326961</v>
      </c>
      <c r="G4283" s="7"/>
    </row>
    <row r="4284" spans="1:7" x14ac:dyDescent="0.35">
      <c r="A4284" t="str">
        <f>"2022-04-08"</f>
        <v>2022-04-08</v>
      </c>
      <c r="B4284" t="str">
        <f>"38.3503"</f>
        <v>38.3503</v>
      </c>
      <c r="C4284">
        <v>4282</v>
      </c>
      <c r="D4284" s="7">
        <v>38.350299999999997</v>
      </c>
      <c r="E4284" s="7">
        <f t="shared" si="132"/>
        <v>164215.9846</v>
      </c>
      <c r="F4284" s="7">
        <f t="shared" si="133"/>
        <v>18335524</v>
      </c>
      <c r="G4284" s="7"/>
    </row>
    <row r="4285" spans="1:7" x14ac:dyDescent="0.35">
      <c r="A4285" t="str">
        <f>"2022-04-11"</f>
        <v>2022-04-11</v>
      </c>
      <c r="B4285" t="str">
        <f>"39.2438"</f>
        <v>39.2438</v>
      </c>
      <c r="C4285">
        <v>4283</v>
      </c>
      <c r="D4285" s="7">
        <v>39.2438</v>
      </c>
      <c r="E4285" s="7">
        <f t="shared" si="132"/>
        <v>168081.1954</v>
      </c>
      <c r="F4285" s="7">
        <f t="shared" si="133"/>
        <v>18344089</v>
      </c>
      <c r="G4285" s="7"/>
    </row>
    <row r="4286" spans="1:7" x14ac:dyDescent="0.35">
      <c r="A4286" t="str">
        <f>"2022-04-12"</f>
        <v>2022-04-12</v>
      </c>
      <c r="B4286" t="str">
        <f>"40.0516"</f>
        <v>40.0516</v>
      </c>
      <c r="C4286">
        <v>4284</v>
      </c>
      <c r="D4286" s="7">
        <v>40.051600000000001</v>
      </c>
      <c r="E4286" s="7">
        <f t="shared" si="132"/>
        <v>171581.05439999999</v>
      </c>
      <c r="F4286" s="7">
        <f t="shared" si="133"/>
        <v>18352656</v>
      </c>
      <c r="G4286" s="7"/>
    </row>
    <row r="4287" spans="1:7" x14ac:dyDescent="0.35">
      <c r="A4287" t="str">
        <f>"2022-04-13"</f>
        <v>2022-04-13</v>
      </c>
      <c r="B4287" t="str">
        <f>"39.8189"</f>
        <v>39.8189</v>
      </c>
      <c r="C4287">
        <v>4285</v>
      </c>
      <c r="D4287" s="7">
        <v>39.818899999999999</v>
      </c>
      <c r="E4287" s="7">
        <f t="shared" si="132"/>
        <v>170623.9865</v>
      </c>
      <c r="F4287" s="7">
        <f t="shared" si="133"/>
        <v>18361225</v>
      </c>
      <c r="G4287" s="7"/>
    </row>
    <row r="4288" spans="1:7" x14ac:dyDescent="0.35">
      <c r="A4288" t="str">
        <f>"2022-04-14"</f>
        <v>2022-04-14</v>
      </c>
      <c r="B4288" t="str">
        <f>"40.409"</f>
        <v>40.409</v>
      </c>
      <c r="C4288">
        <v>4286</v>
      </c>
      <c r="D4288" s="7">
        <v>40.408999999999999</v>
      </c>
      <c r="E4288" s="7">
        <f t="shared" si="132"/>
        <v>173192.97399999999</v>
      </c>
      <c r="F4288" s="7">
        <f t="shared" si="133"/>
        <v>18369796</v>
      </c>
      <c r="G4288" s="7"/>
    </row>
    <row r="4289" spans="1:7" x14ac:dyDescent="0.35">
      <c r="A4289" t="str">
        <f>"2022-04-18"</f>
        <v>2022-04-18</v>
      </c>
      <c r="B4289" t="str">
        <f>"40.3792"</f>
        <v>40.3792</v>
      </c>
      <c r="C4289">
        <v>4287</v>
      </c>
      <c r="D4289" s="7">
        <v>40.379199999999997</v>
      </c>
      <c r="E4289" s="7">
        <f t="shared" si="132"/>
        <v>173105.63039999999</v>
      </c>
      <c r="F4289" s="7">
        <f t="shared" si="133"/>
        <v>18378369</v>
      </c>
      <c r="G4289" s="7"/>
    </row>
    <row r="4290" spans="1:7" x14ac:dyDescent="0.35">
      <c r="A4290" t="str">
        <f>"2022-04-19"</f>
        <v>2022-04-19</v>
      </c>
      <c r="B4290" t="str">
        <f>"42.104"</f>
        <v>42.104</v>
      </c>
      <c r="C4290">
        <v>4288</v>
      </c>
      <c r="D4290" s="7">
        <v>42.103999999999999</v>
      </c>
      <c r="E4290" s="7">
        <f t="shared" si="132"/>
        <v>180541.95199999999</v>
      </c>
      <c r="F4290" s="7">
        <f t="shared" si="133"/>
        <v>18386944</v>
      </c>
      <c r="G4290" s="7"/>
    </row>
    <row r="4291" spans="1:7" x14ac:dyDescent="0.35">
      <c r="A4291" t="str">
        <f>"2022-04-20"</f>
        <v>2022-04-20</v>
      </c>
      <c r="B4291" t="str">
        <f>"42.2541"</f>
        <v>42.2541</v>
      </c>
      <c r="C4291">
        <v>4289</v>
      </c>
      <c r="D4291" s="7">
        <v>42.254100000000001</v>
      </c>
      <c r="E4291" s="7">
        <f t="shared" si="132"/>
        <v>181227.83490000002</v>
      </c>
      <c r="F4291" s="7">
        <f t="shared" si="133"/>
        <v>18395521</v>
      </c>
      <c r="G4291" s="7"/>
    </row>
    <row r="4292" spans="1:7" x14ac:dyDescent="0.35">
      <c r="A4292" t="str">
        <f>"2022-04-21"</f>
        <v>2022-04-21</v>
      </c>
      <c r="B4292" t="str">
        <f>"43.8113"</f>
        <v>43.8113</v>
      </c>
      <c r="C4292">
        <v>4290</v>
      </c>
      <c r="D4292" s="7">
        <v>43.811300000000003</v>
      </c>
      <c r="E4292" s="7">
        <f t="shared" ref="E4292:E4355" si="134">C4292*D4292</f>
        <v>187950.47700000001</v>
      </c>
      <c r="F4292" s="7">
        <f t="shared" ref="F4292:F4355" si="135">C4292*C4292</f>
        <v>18404100</v>
      </c>
      <c r="G4292" s="7"/>
    </row>
    <row r="4293" spans="1:7" x14ac:dyDescent="0.35">
      <c r="A4293" t="str">
        <f>"2022-04-22"</f>
        <v>2022-04-22</v>
      </c>
      <c r="B4293" t="str">
        <f>"43.5331"</f>
        <v>43.5331</v>
      </c>
      <c r="C4293">
        <v>4291</v>
      </c>
      <c r="D4293" s="7">
        <v>43.533099999999997</v>
      </c>
      <c r="E4293" s="7">
        <f t="shared" si="134"/>
        <v>186800.53209999998</v>
      </c>
      <c r="F4293" s="7">
        <f t="shared" si="135"/>
        <v>18412681</v>
      </c>
      <c r="G4293" s="7"/>
    </row>
    <row r="4294" spans="1:7" x14ac:dyDescent="0.35">
      <c r="A4294" t="str">
        <f>"2022-04-25"</f>
        <v>2022-04-25</v>
      </c>
      <c r="B4294" t="str">
        <f>"44.1165"</f>
        <v>44.1165</v>
      </c>
      <c r="C4294">
        <v>4292</v>
      </c>
      <c r="D4294" s="7">
        <v>44.116500000000002</v>
      </c>
      <c r="E4294" s="7">
        <f t="shared" si="134"/>
        <v>189348.01800000001</v>
      </c>
      <c r="F4294" s="7">
        <f t="shared" si="135"/>
        <v>18421264</v>
      </c>
      <c r="G4294" s="7"/>
    </row>
    <row r="4295" spans="1:7" x14ac:dyDescent="0.35">
      <c r="A4295" t="str">
        <f>"2022-04-26"</f>
        <v>2022-04-26</v>
      </c>
      <c r="B4295" t="str">
        <f>"43.2988"</f>
        <v>43.2988</v>
      </c>
      <c r="C4295">
        <v>4293</v>
      </c>
      <c r="D4295" s="7">
        <v>43.2988</v>
      </c>
      <c r="E4295" s="7">
        <f t="shared" si="134"/>
        <v>185881.74840000001</v>
      </c>
      <c r="F4295" s="7">
        <f t="shared" si="135"/>
        <v>18429849</v>
      </c>
      <c r="G4295" s="7"/>
    </row>
    <row r="4296" spans="1:7" x14ac:dyDescent="0.35">
      <c r="A4296" t="str">
        <f>"2022-04-27"</f>
        <v>2022-04-27</v>
      </c>
      <c r="B4296" t="str">
        <f>"45.1328"</f>
        <v>45.1328</v>
      </c>
      <c r="C4296">
        <v>4294</v>
      </c>
      <c r="D4296" s="7">
        <v>45.132800000000003</v>
      </c>
      <c r="E4296" s="7">
        <f t="shared" si="134"/>
        <v>193800.24320000003</v>
      </c>
      <c r="F4296" s="7">
        <f t="shared" si="135"/>
        <v>18438436</v>
      </c>
      <c r="G4296" s="7"/>
    </row>
    <row r="4297" spans="1:7" x14ac:dyDescent="0.35">
      <c r="A4297" t="str">
        <f>"2022-04-28"</f>
        <v>2022-04-28</v>
      </c>
      <c r="B4297" t="str">
        <f>"45.0352"</f>
        <v>45.0352</v>
      </c>
      <c r="C4297">
        <v>4295</v>
      </c>
      <c r="D4297" s="7">
        <v>45.035200000000003</v>
      </c>
      <c r="E4297" s="7">
        <f t="shared" si="134"/>
        <v>193426.18400000001</v>
      </c>
      <c r="F4297" s="7">
        <f t="shared" si="135"/>
        <v>18447025</v>
      </c>
      <c r="G4297" s="7"/>
    </row>
    <row r="4298" spans="1:7" x14ac:dyDescent="0.35">
      <c r="A4298" t="str">
        <f>"2022-04-29"</f>
        <v>2022-04-29</v>
      </c>
      <c r="B4298" t="str">
        <f>"45.4495"</f>
        <v>45.4495</v>
      </c>
      <c r="C4298">
        <v>4296</v>
      </c>
      <c r="D4298" s="7">
        <v>45.4495</v>
      </c>
      <c r="E4298" s="7">
        <f t="shared" si="134"/>
        <v>195251.052</v>
      </c>
      <c r="F4298" s="7">
        <f t="shared" si="135"/>
        <v>18455616</v>
      </c>
      <c r="G4298" s="7"/>
    </row>
    <row r="4299" spans="1:7" x14ac:dyDescent="0.35">
      <c r="A4299" t="str">
        <f>"2022-05-05"</f>
        <v>2022-05-05</v>
      </c>
      <c r="B4299" t="str">
        <f>"48.0591"</f>
        <v>48.0591</v>
      </c>
      <c r="C4299">
        <v>4297</v>
      </c>
      <c r="D4299" s="7">
        <v>48.059100000000001</v>
      </c>
      <c r="E4299" s="7">
        <f t="shared" si="134"/>
        <v>206509.95269999999</v>
      </c>
      <c r="F4299" s="7">
        <f t="shared" si="135"/>
        <v>18464209</v>
      </c>
      <c r="G4299" s="7"/>
    </row>
    <row r="4300" spans="1:7" x14ac:dyDescent="0.35">
      <c r="A4300" t="str">
        <f>"2022-05-06"</f>
        <v>2022-05-06</v>
      </c>
      <c r="B4300" t="str">
        <f>"47.1377"</f>
        <v>47.1377</v>
      </c>
      <c r="C4300">
        <v>4298</v>
      </c>
      <c r="D4300" s="7">
        <v>47.137700000000002</v>
      </c>
      <c r="E4300" s="7">
        <f t="shared" si="134"/>
        <v>202597.8346</v>
      </c>
      <c r="F4300" s="7">
        <f t="shared" si="135"/>
        <v>18472804</v>
      </c>
      <c r="G4300" s="7"/>
    </row>
    <row r="4301" spans="1:7" x14ac:dyDescent="0.35">
      <c r="A4301" t="str">
        <f>"2022-05-09"</f>
        <v>2022-05-09</v>
      </c>
      <c r="B4301" t="str">
        <f>"47.4198"</f>
        <v>47.4198</v>
      </c>
      <c r="C4301">
        <v>4299</v>
      </c>
      <c r="D4301" s="7">
        <v>47.419800000000002</v>
      </c>
      <c r="E4301" s="7">
        <f t="shared" si="134"/>
        <v>203857.72020000001</v>
      </c>
      <c r="F4301" s="7">
        <f t="shared" si="135"/>
        <v>18481401</v>
      </c>
      <c r="G4301" s="7"/>
    </row>
    <row r="4302" spans="1:7" x14ac:dyDescent="0.35">
      <c r="A4302" t="str">
        <f>"2022-05-10"</f>
        <v>2022-05-10</v>
      </c>
      <c r="B4302" t="str">
        <f>"47.8093"</f>
        <v>47.8093</v>
      </c>
      <c r="C4302">
        <v>4300</v>
      </c>
      <c r="D4302" s="7">
        <v>47.8093</v>
      </c>
      <c r="E4302" s="7">
        <f t="shared" si="134"/>
        <v>205579.99</v>
      </c>
      <c r="F4302" s="7">
        <f t="shared" si="135"/>
        <v>18490000</v>
      </c>
      <c r="G4302" s="7"/>
    </row>
    <row r="4303" spans="1:7" x14ac:dyDescent="0.35">
      <c r="A4303" t="str">
        <f>"2022-05-11"</f>
        <v>2022-05-11</v>
      </c>
      <c r="B4303" t="str">
        <f>"46.2303"</f>
        <v>46.2303</v>
      </c>
      <c r="C4303">
        <v>4301</v>
      </c>
      <c r="D4303" s="7">
        <v>46.2303</v>
      </c>
      <c r="E4303" s="7">
        <f t="shared" si="134"/>
        <v>198836.5203</v>
      </c>
      <c r="F4303" s="7">
        <f t="shared" si="135"/>
        <v>18498601</v>
      </c>
      <c r="G4303" s="7"/>
    </row>
    <row r="4304" spans="1:7" x14ac:dyDescent="0.35">
      <c r="A4304" t="str">
        <f>"2022-05-12"</f>
        <v>2022-05-12</v>
      </c>
      <c r="B4304" t="str">
        <f>"46.704"</f>
        <v>46.704</v>
      </c>
      <c r="C4304">
        <v>4302</v>
      </c>
      <c r="D4304" s="7">
        <v>46.704000000000001</v>
      </c>
      <c r="E4304" s="7">
        <f t="shared" si="134"/>
        <v>200920.60800000001</v>
      </c>
      <c r="F4304" s="7">
        <f t="shared" si="135"/>
        <v>18507204</v>
      </c>
      <c r="G4304" s="7"/>
    </row>
    <row r="4305" spans="1:7" x14ac:dyDescent="0.35">
      <c r="A4305" t="str">
        <f>"2022-05-13"</f>
        <v>2022-05-13</v>
      </c>
      <c r="B4305" t="str">
        <f>"47.449"</f>
        <v>47.449</v>
      </c>
      <c r="C4305">
        <v>4303</v>
      </c>
      <c r="D4305" s="7">
        <v>47.448999999999998</v>
      </c>
      <c r="E4305" s="7">
        <f t="shared" si="134"/>
        <v>204173.04699999999</v>
      </c>
      <c r="F4305" s="7">
        <f t="shared" si="135"/>
        <v>18515809</v>
      </c>
      <c r="G4305" s="7"/>
    </row>
    <row r="4306" spans="1:7" x14ac:dyDescent="0.35">
      <c r="A4306" t="str">
        <f>"2022-05-16"</f>
        <v>2022-05-16</v>
      </c>
      <c r="B4306" t="str">
        <f>"47.3311"</f>
        <v>47.3311</v>
      </c>
      <c r="C4306">
        <v>4304</v>
      </c>
      <c r="D4306" s="7">
        <v>47.331099999999999</v>
      </c>
      <c r="E4306" s="7">
        <f t="shared" si="134"/>
        <v>203713.05439999999</v>
      </c>
      <c r="F4306" s="7">
        <f t="shared" si="135"/>
        <v>18524416</v>
      </c>
      <c r="G4306" s="7"/>
    </row>
    <row r="4307" spans="1:7" x14ac:dyDescent="0.35">
      <c r="A4307" t="str">
        <f>"2022-05-17"</f>
        <v>2022-05-17</v>
      </c>
      <c r="B4307" t="str">
        <f>"46.1435"</f>
        <v>46.1435</v>
      </c>
      <c r="C4307">
        <v>4305</v>
      </c>
      <c r="D4307" s="7">
        <v>46.143500000000003</v>
      </c>
      <c r="E4307" s="7">
        <f t="shared" si="134"/>
        <v>198647.76750000002</v>
      </c>
      <c r="F4307" s="7">
        <f t="shared" si="135"/>
        <v>18533025</v>
      </c>
      <c r="G4307" s="7"/>
    </row>
    <row r="4308" spans="1:7" x14ac:dyDescent="0.35">
      <c r="A4308" t="str">
        <f>"2022-05-18"</f>
        <v>2022-05-18</v>
      </c>
      <c r="B4308" t="str">
        <f>"45.6413"</f>
        <v>45.6413</v>
      </c>
      <c r="C4308">
        <v>4306</v>
      </c>
      <c r="D4308" s="7">
        <v>45.641300000000001</v>
      </c>
      <c r="E4308" s="7">
        <f t="shared" si="134"/>
        <v>196531.43780000001</v>
      </c>
      <c r="F4308" s="7">
        <f t="shared" si="135"/>
        <v>18541636</v>
      </c>
      <c r="G4308" s="7"/>
    </row>
    <row r="4309" spans="1:7" x14ac:dyDescent="0.35">
      <c r="A4309" t="str">
        <f>"2022-05-20"</f>
        <v>2022-05-20</v>
      </c>
      <c r="B4309" t="str">
        <f>"45.5145"</f>
        <v>45.5145</v>
      </c>
      <c r="C4309">
        <v>4307</v>
      </c>
      <c r="D4309" s="7">
        <v>45.514499999999998</v>
      </c>
      <c r="E4309" s="7">
        <f t="shared" si="134"/>
        <v>196030.9515</v>
      </c>
      <c r="F4309" s="7">
        <f t="shared" si="135"/>
        <v>18550249</v>
      </c>
      <c r="G4309" s="7"/>
    </row>
    <row r="4310" spans="1:7" x14ac:dyDescent="0.35">
      <c r="A4310" t="str">
        <f>"2022-05-23"</f>
        <v>2022-05-23</v>
      </c>
      <c r="B4310" t="str">
        <f>"45.3947"</f>
        <v>45.3947</v>
      </c>
      <c r="C4310">
        <v>4308</v>
      </c>
      <c r="D4310" s="7">
        <v>45.3947</v>
      </c>
      <c r="E4310" s="7">
        <f t="shared" si="134"/>
        <v>195560.3676</v>
      </c>
      <c r="F4310" s="7">
        <f t="shared" si="135"/>
        <v>18558864</v>
      </c>
      <c r="G4310" s="7"/>
    </row>
    <row r="4311" spans="1:7" x14ac:dyDescent="0.35">
      <c r="A4311" t="str">
        <f>"2022-05-24"</f>
        <v>2022-05-24</v>
      </c>
      <c r="B4311" t="str">
        <f>"44.1273"</f>
        <v>44.1273</v>
      </c>
      <c r="C4311">
        <v>4309</v>
      </c>
      <c r="D4311" s="7">
        <v>44.127299999999998</v>
      </c>
      <c r="E4311" s="7">
        <f t="shared" si="134"/>
        <v>190144.53569999998</v>
      </c>
      <c r="F4311" s="7">
        <f t="shared" si="135"/>
        <v>18567481</v>
      </c>
      <c r="G4311" s="7"/>
    </row>
    <row r="4312" spans="1:7" x14ac:dyDescent="0.35">
      <c r="A4312" t="str">
        <f>"2022-05-25"</f>
        <v>2022-05-25</v>
      </c>
      <c r="B4312" t="str">
        <f>"44.6471"</f>
        <v>44.6471</v>
      </c>
      <c r="C4312">
        <v>4310</v>
      </c>
      <c r="D4312" s="7">
        <v>44.647100000000002</v>
      </c>
      <c r="E4312" s="7">
        <f t="shared" si="134"/>
        <v>192429.00100000002</v>
      </c>
      <c r="F4312" s="7">
        <f t="shared" si="135"/>
        <v>18576100</v>
      </c>
      <c r="G4312" s="7"/>
    </row>
    <row r="4313" spans="1:7" x14ac:dyDescent="0.35">
      <c r="A4313" t="str">
        <f>"2022-05-26"</f>
        <v>2022-05-26</v>
      </c>
      <c r="B4313" t="str">
        <f>"45.7882"</f>
        <v>45.7882</v>
      </c>
      <c r="C4313">
        <v>4311</v>
      </c>
      <c r="D4313" s="7">
        <v>45.788200000000003</v>
      </c>
      <c r="E4313" s="7">
        <f t="shared" si="134"/>
        <v>197392.9302</v>
      </c>
      <c r="F4313" s="7">
        <f t="shared" si="135"/>
        <v>18584721</v>
      </c>
      <c r="G4313" s="7"/>
    </row>
    <row r="4314" spans="1:7" x14ac:dyDescent="0.35">
      <c r="A4314" t="str">
        <f>"2022-05-27"</f>
        <v>2022-05-27</v>
      </c>
      <c r="B4314" t="str">
        <f>"46.2313"</f>
        <v>46.2313</v>
      </c>
      <c r="C4314">
        <v>4312</v>
      </c>
      <c r="D4314" s="7">
        <v>46.231299999999997</v>
      </c>
      <c r="E4314" s="7">
        <f t="shared" si="134"/>
        <v>199349.36559999999</v>
      </c>
      <c r="F4314" s="7">
        <f t="shared" si="135"/>
        <v>18593344</v>
      </c>
      <c r="G4314" s="7"/>
    </row>
    <row r="4315" spans="1:7" x14ac:dyDescent="0.35">
      <c r="A4315" t="str">
        <f>"2022-05-31"</f>
        <v>2022-05-31</v>
      </c>
      <c r="B4315" t="str">
        <f>"51.4101"</f>
        <v>51.4101</v>
      </c>
      <c r="C4315">
        <v>4313</v>
      </c>
      <c r="D4315" s="7">
        <v>51.4101</v>
      </c>
      <c r="E4315" s="7">
        <f t="shared" si="134"/>
        <v>221731.76130000001</v>
      </c>
      <c r="F4315" s="7">
        <f t="shared" si="135"/>
        <v>18601969</v>
      </c>
      <c r="G4315" s="7"/>
    </row>
    <row r="4316" spans="1:7" x14ac:dyDescent="0.35">
      <c r="A4316" t="str">
        <f>"2022-06-01"</f>
        <v>2022-06-01</v>
      </c>
      <c r="B4316" t="str">
        <f>"50.7521"</f>
        <v>50.7521</v>
      </c>
      <c r="C4316">
        <v>4314</v>
      </c>
      <c r="D4316" s="7">
        <v>50.752099999999999</v>
      </c>
      <c r="E4316" s="7">
        <f t="shared" si="134"/>
        <v>218944.5594</v>
      </c>
      <c r="F4316" s="7">
        <f t="shared" si="135"/>
        <v>18610596</v>
      </c>
      <c r="G4316" s="7"/>
    </row>
    <row r="4317" spans="1:7" x14ac:dyDescent="0.35">
      <c r="A4317" t="str">
        <f>"2022-06-02"</f>
        <v>2022-06-02</v>
      </c>
      <c r="B4317" t="str">
        <f>"50.2647"</f>
        <v>50.2647</v>
      </c>
      <c r="C4317">
        <v>4315</v>
      </c>
      <c r="D4317" s="7">
        <v>50.264699999999998</v>
      </c>
      <c r="E4317" s="7">
        <f t="shared" si="134"/>
        <v>216892.18049999999</v>
      </c>
      <c r="F4317" s="7">
        <f t="shared" si="135"/>
        <v>18619225</v>
      </c>
      <c r="G4317" s="7"/>
    </row>
    <row r="4318" spans="1:7" x14ac:dyDescent="0.35">
      <c r="A4318" t="str">
        <f>"2022-06-03"</f>
        <v>2022-06-03</v>
      </c>
      <c r="B4318" t="str">
        <f>"49.0602"</f>
        <v>49.0602</v>
      </c>
      <c r="C4318">
        <v>4316</v>
      </c>
      <c r="D4318" s="7">
        <v>49.060200000000002</v>
      </c>
      <c r="E4318" s="7">
        <f t="shared" si="134"/>
        <v>211743.82320000001</v>
      </c>
      <c r="F4318" s="7">
        <f t="shared" si="135"/>
        <v>18627856</v>
      </c>
      <c r="G4318" s="7"/>
    </row>
    <row r="4319" spans="1:7" x14ac:dyDescent="0.35">
      <c r="A4319" t="str">
        <f>"2022-06-06"</f>
        <v>2022-06-06</v>
      </c>
      <c r="B4319" t="str">
        <f>"49.0275"</f>
        <v>49.0275</v>
      </c>
      <c r="C4319">
        <v>4317</v>
      </c>
      <c r="D4319" s="7">
        <v>49.027500000000003</v>
      </c>
      <c r="E4319" s="7">
        <f t="shared" si="134"/>
        <v>211651.71750000003</v>
      </c>
      <c r="F4319" s="7">
        <f t="shared" si="135"/>
        <v>18636489</v>
      </c>
      <c r="G4319" s="7"/>
    </row>
    <row r="4320" spans="1:7" x14ac:dyDescent="0.35">
      <c r="A4320" t="str">
        <f>"2022-06-07"</f>
        <v>2022-06-07</v>
      </c>
      <c r="B4320" t="str">
        <f>"49.1641"</f>
        <v>49.1641</v>
      </c>
      <c r="C4320">
        <v>4318</v>
      </c>
      <c r="D4320" s="7">
        <v>49.164099999999998</v>
      </c>
      <c r="E4320" s="7">
        <f t="shared" si="134"/>
        <v>212290.58379999999</v>
      </c>
      <c r="F4320" s="7">
        <f t="shared" si="135"/>
        <v>18645124</v>
      </c>
      <c r="G4320" s="7"/>
    </row>
    <row r="4321" spans="1:7" x14ac:dyDescent="0.35">
      <c r="A4321" t="str">
        <f>"2022-06-08"</f>
        <v>2022-06-08</v>
      </c>
      <c r="B4321" t="str">
        <f>"46.6044"</f>
        <v>46.6044</v>
      </c>
      <c r="C4321">
        <v>4319</v>
      </c>
      <c r="D4321" s="7">
        <v>46.604399999999998</v>
      </c>
      <c r="E4321" s="7">
        <f t="shared" si="134"/>
        <v>201284.40359999999</v>
      </c>
      <c r="F4321" s="7">
        <f t="shared" si="135"/>
        <v>18653761</v>
      </c>
      <c r="G4321" s="7"/>
    </row>
    <row r="4322" spans="1:7" x14ac:dyDescent="0.35">
      <c r="A4322" t="str">
        <f>"2022-06-09"</f>
        <v>2022-06-09</v>
      </c>
      <c r="B4322" t="str">
        <f>"47.3455"</f>
        <v>47.3455</v>
      </c>
      <c r="C4322">
        <v>4320</v>
      </c>
      <c r="D4322" s="7">
        <v>47.345500000000001</v>
      </c>
      <c r="E4322" s="7">
        <f t="shared" si="134"/>
        <v>204532.56</v>
      </c>
      <c r="F4322" s="7">
        <f t="shared" si="135"/>
        <v>18662400</v>
      </c>
      <c r="G4322" s="7"/>
    </row>
    <row r="4323" spans="1:7" x14ac:dyDescent="0.35">
      <c r="A4323" t="str">
        <f>"2022-06-10"</f>
        <v>2022-06-10</v>
      </c>
      <c r="B4323" t="str">
        <f>"45.0204"</f>
        <v>45.0204</v>
      </c>
      <c r="C4323">
        <v>4321</v>
      </c>
      <c r="D4323" s="7">
        <v>45.020400000000002</v>
      </c>
      <c r="E4323" s="7">
        <f t="shared" si="134"/>
        <v>194533.14840000001</v>
      </c>
      <c r="F4323" s="7">
        <f t="shared" si="135"/>
        <v>18671041</v>
      </c>
      <c r="G4323" s="7"/>
    </row>
    <row r="4324" spans="1:7" x14ac:dyDescent="0.35">
      <c r="A4324" t="str">
        <f>"2022-06-13"</f>
        <v>2022-06-13</v>
      </c>
      <c r="B4324" t="str">
        <f>"46.4031"</f>
        <v>46.4031</v>
      </c>
      <c r="C4324">
        <v>4322</v>
      </c>
      <c r="D4324" s="7">
        <v>46.403100000000002</v>
      </c>
      <c r="E4324" s="7">
        <f t="shared" si="134"/>
        <v>200554.19820000001</v>
      </c>
      <c r="F4324" s="7">
        <f t="shared" si="135"/>
        <v>18679684</v>
      </c>
      <c r="G4324" s="7"/>
    </row>
    <row r="4325" spans="1:7" x14ac:dyDescent="0.35">
      <c r="A4325" t="str">
        <f>"2022-06-14"</f>
        <v>2022-06-14</v>
      </c>
      <c r="B4325" t="str">
        <f>"46.6427"</f>
        <v>46.6427</v>
      </c>
      <c r="C4325">
        <v>4323</v>
      </c>
      <c r="D4325" s="7">
        <v>46.642699999999998</v>
      </c>
      <c r="E4325" s="7">
        <f t="shared" si="134"/>
        <v>201636.3921</v>
      </c>
      <c r="F4325" s="7">
        <f t="shared" si="135"/>
        <v>18688329</v>
      </c>
      <c r="G4325" s="7"/>
    </row>
    <row r="4326" spans="1:7" x14ac:dyDescent="0.35">
      <c r="A4326" t="str">
        <f>"2022-06-15"</f>
        <v>2022-06-15</v>
      </c>
      <c r="B4326" t="str">
        <f>"48.1109"</f>
        <v>48.1109</v>
      </c>
      <c r="C4326">
        <v>4324</v>
      </c>
      <c r="D4326" s="7">
        <v>48.110900000000001</v>
      </c>
      <c r="E4326" s="7">
        <f t="shared" si="134"/>
        <v>208031.53160000002</v>
      </c>
      <c r="F4326" s="7">
        <f t="shared" si="135"/>
        <v>18696976</v>
      </c>
      <c r="G4326" s="7"/>
    </row>
    <row r="4327" spans="1:7" x14ac:dyDescent="0.35">
      <c r="A4327" t="str">
        <f>"2022-06-16"</f>
        <v>2022-06-16</v>
      </c>
      <c r="B4327" t="str">
        <f>"46.2839"</f>
        <v>46.2839</v>
      </c>
      <c r="C4327">
        <v>4325</v>
      </c>
      <c r="D4327" s="7">
        <v>46.283900000000003</v>
      </c>
      <c r="E4327" s="7">
        <f t="shared" si="134"/>
        <v>200177.86750000002</v>
      </c>
      <c r="F4327" s="7">
        <f t="shared" si="135"/>
        <v>18705625</v>
      </c>
      <c r="G4327" s="7"/>
    </row>
    <row r="4328" spans="1:7" x14ac:dyDescent="0.35">
      <c r="A4328" t="str">
        <f>"2022-06-17"</f>
        <v>2022-06-17</v>
      </c>
      <c r="B4328" t="str">
        <f>"47.1995"</f>
        <v>47.1995</v>
      </c>
      <c r="C4328">
        <v>4326</v>
      </c>
      <c r="D4328" s="7">
        <v>47.1995</v>
      </c>
      <c r="E4328" s="7">
        <f t="shared" si="134"/>
        <v>204185.03700000001</v>
      </c>
      <c r="F4328" s="7">
        <f t="shared" si="135"/>
        <v>18714276</v>
      </c>
      <c r="G4328" s="7"/>
    </row>
    <row r="4329" spans="1:7" x14ac:dyDescent="0.35">
      <c r="A4329" t="str">
        <f>"2022-06-21"</f>
        <v>2022-06-21</v>
      </c>
      <c r="B4329" t="str">
        <f>"50.8257"</f>
        <v>50.8257</v>
      </c>
      <c r="C4329">
        <v>4327</v>
      </c>
      <c r="D4329" s="7">
        <v>50.825699999999998</v>
      </c>
      <c r="E4329" s="7">
        <f t="shared" si="134"/>
        <v>219922.8039</v>
      </c>
      <c r="F4329" s="7">
        <f t="shared" si="135"/>
        <v>18722929</v>
      </c>
      <c r="G4329" s="7"/>
    </row>
    <row r="4330" spans="1:7" x14ac:dyDescent="0.35">
      <c r="A4330" t="str">
        <f>"2022-06-22"</f>
        <v>2022-06-22</v>
      </c>
      <c r="B4330" t="str">
        <f>"50.8815"</f>
        <v>50.8815</v>
      </c>
      <c r="C4330">
        <v>4328</v>
      </c>
      <c r="D4330" s="7">
        <v>50.881500000000003</v>
      </c>
      <c r="E4330" s="7">
        <f t="shared" si="134"/>
        <v>220215.13200000001</v>
      </c>
      <c r="F4330" s="7">
        <f t="shared" si="135"/>
        <v>18731584</v>
      </c>
      <c r="G4330" s="7"/>
    </row>
    <row r="4331" spans="1:7" x14ac:dyDescent="0.35">
      <c r="A4331" t="str">
        <f>"2022-06-23"</f>
        <v>2022-06-23</v>
      </c>
      <c r="B4331" t="str">
        <f>"49.6577"</f>
        <v>49.6577</v>
      </c>
      <c r="C4331">
        <v>4329</v>
      </c>
      <c r="D4331" s="7">
        <v>49.657699999999998</v>
      </c>
      <c r="E4331" s="7">
        <f t="shared" si="134"/>
        <v>214968.1833</v>
      </c>
      <c r="F4331" s="7">
        <f t="shared" si="135"/>
        <v>18740241</v>
      </c>
      <c r="G4331" s="7"/>
    </row>
    <row r="4332" spans="1:7" x14ac:dyDescent="0.35">
      <c r="A4332" t="str">
        <f>"2022-06-24"</f>
        <v>2022-06-24</v>
      </c>
      <c r="B4332" t="str">
        <f>"49.332"</f>
        <v>49.332</v>
      </c>
      <c r="C4332">
        <v>4330</v>
      </c>
      <c r="D4332" s="7">
        <v>49.332000000000001</v>
      </c>
      <c r="E4332" s="7">
        <f t="shared" si="134"/>
        <v>213607.56</v>
      </c>
      <c r="F4332" s="7">
        <f t="shared" si="135"/>
        <v>18748900</v>
      </c>
      <c r="G4332" s="7"/>
    </row>
    <row r="4333" spans="1:7" x14ac:dyDescent="0.35">
      <c r="A4333" t="str">
        <f>"2022-06-27"</f>
        <v>2022-06-27</v>
      </c>
      <c r="B4333" t="str">
        <f>"51.0323"</f>
        <v>51.0323</v>
      </c>
      <c r="C4333">
        <v>4331</v>
      </c>
      <c r="D4333" s="7">
        <v>51.032299999999999</v>
      </c>
      <c r="E4333" s="7">
        <f t="shared" si="134"/>
        <v>221020.89129999999</v>
      </c>
      <c r="F4333" s="7">
        <f t="shared" si="135"/>
        <v>18757561</v>
      </c>
      <c r="G4333" s="7"/>
    </row>
    <row r="4334" spans="1:7" x14ac:dyDescent="0.35">
      <c r="A4334" t="str">
        <f>"2022-06-28"</f>
        <v>2022-06-28</v>
      </c>
      <c r="B4334" t="str">
        <f>"49.6338"</f>
        <v>49.6338</v>
      </c>
      <c r="C4334">
        <v>4332</v>
      </c>
      <c r="D4334" s="7">
        <v>49.633800000000001</v>
      </c>
      <c r="E4334" s="7">
        <f t="shared" si="134"/>
        <v>215013.62160000001</v>
      </c>
      <c r="F4334" s="7">
        <f t="shared" si="135"/>
        <v>18766224</v>
      </c>
      <c r="G4334" s="7"/>
    </row>
    <row r="4335" spans="1:7" x14ac:dyDescent="0.35">
      <c r="A4335" t="str">
        <f>"2022-06-29"</f>
        <v>2022-06-29</v>
      </c>
      <c r="B4335" t="str">
        <f>"47.6375"</f>
        <v>47.6375</v>
      </c>
      <c r="C4335">
        <v>4333</v>
      </c>
      <c r="D4335" s="7">
        <v>47.637500000000003</v>
      </c>
      <c r="E4335" s="7">
        <f t="shared" si="134"/>
        <v>206413.28750000001</v>
      </c>
      <c r="F4335" s="7">
        <f t="shared" si="135"/>
        <v>18774889</v>
      </c>
      <c r="G4335" s="7"/>
    </row>
    <row r="4336" spans="1:7" x14ac:dyDescent="0.35">
      <c r="A4336" t="str">
        <f>"2022-06-30"</f>
        <v>2022-06-30</v>
      </c>
      <c r="B4336" t="str">
        <f>"48.5232"</f>
        <v>48.5232</v>
      </c>
      <c r="C4336">
        <v>4334</v>
      </c>
      <c r="D4336" s="7">
        <v>48.523200000000003</v>
      </c>
      <c r="E4336" s="7">
        <f t="shared" si="134"/>
        <v>210299.54880000002</v>
      </c>
      <c r="F4336" s="7">
        <f t="shared" si="135"/>
        <v>18783556</v>
      </c>
      <c r="G4336" s="7"/>
    </row>
    <row r="4337" spans="1:7" x14ac:dyDescent="0.35">
      <c r="A4337" t="str">
        <f>"2022-07-01"</f>
        <v>2022-07-01</v>
      </c>
      <c r="B4337" t="str">
        <f>"51.0674"</f>
        <v>51.0674</v>
      </c>
      <c r="C4337">
        <v>4335</v>
      </c>
      <c r="D4337" s="7">
        <v>51.067399999999999</v>
      </c>
      <c r="E4337" s="7">
        <f t="shared" si="134"/>
        <v>221377.179</v>
      </c>
      <c r="F4337" s="7">
        <f t="shared" si="135"/>
        <v>18792225</v>
      </c>
      <c r="G4337" s="7"/>
    </row>
    <row r="4338" spans="1:7" x14ac:dyDescent="0.35">
      <c r="A4338" t="str">
        <f>"2022-07-05"</f>
        <v>2022-07-05</v>
      </c>
      <c r="B4338" t="str">
        <f>"49.4537"</f>
        <v>49.4537</v>
      </c>
      <c r="C4338">
        <v>4336</v>
      </c>
      <c r="D4338" s="7">
        <v>49.453699999999998</v>
      </c>
      <c r="E4338" s="7">
        <f t="shared" si="134"/>
        <v>214431.2432</v>
      </c>
      <c r="F4338" s="7">
        <f t="shared" si="135"/>
        <v>18800896</v>
      </c>
      <c r="G4338" s="7"/>
    </row>
    <row r="4339" spans="1:7" x14ac:dyDescent="0.35">
      <c r="A4339" t="str">
        <f>"2022-07-06"</f>
        <v>2022-07-06</v>
      </c>
      <c r="B4339" t="str">
        <f>"51.0593"</f>
        <v>51.0593</v>
      </c>
      <c r="C4339">
        <v>4337</v>
      </c>
      <c r="D4339" s="7">
        <v>51.0593</v>
      </c>
      <c r="E4339" s="7">
        <f t="shared" si="134"/>
        <v>221444.18410000001</v>
      </c>
      <c r="F4339" s="7">
        <f t="shared" si="135"/>
        <v>18809569</v>
      </c>
      <c r="G4339" s="7"/>
    </row>
    <row r="4340" spans="1:7" x14ac:dyDescent="0.35">
      <c r="A4340" t="str">
        <f>"2022-07-07"</f>
        <v>2022-07-07</v>
      </c>
      <c r="B4340" t="str">
        <f>"51.1571"</f>
        <v>51.1571</v>
      </c>
      <c r="C4340">
        <v>4338</v>
      </c>
      <c r="D4340" s="7">
        <v>51.1571</v>
      </c>
      <c r="E4340" s="7">
        <f t="shared" si="134"/>
        <v>221919.49979999999</v>
      </c>
      <c r="F4340" s="7">
        <f t="shared" si="135"/>
        <v>18818244</v>
      </c>
      <c r="G4340" s="7"/>
    </row>
    <row r="4341" spans="1:7" x14ac:dyDescent="0.35">
      <c r="A4341" t="str">
        <f>"2022-07-08"</f>
        <v>2022-07-08</v>
      </c>
      <c r="B4341" t="str">
        <f>"51.2924"</f>
        <v>51.2924</v>
      </c>
      <c r="C4341">
        <v>4339</v>
      </c>
      <c r="D4341" s="7">
        <v>51.292400000000001</v>
      </c>
      <c r="E4341" s="7">
        <f t="shared" si="134"/>
        <v>222557.7236</v>
      </c>
      <c r="F4341" s="7">
        <f t="shared" si="135"/>
        <v>18826921</v>
      </c>
      <c r="G4341" s="7"/>
    </row>
    <row r="4342" spans="1:7" x14ac:dyDescent="0.35">
      <c r="A4342" t="str">
        <f>"2022-07-13"</f>
        <v>2022-07-13</v>
      </c>
      <c r="B4342" t="str">
        <f>"51.0645"</f>
        <v>51.0645</v>
      </c>
      <c r="C4342">
        <v>4340</v>
      </c>
      <c r="D4342" s="7">
        <v>51.064500000000002</v>
      </c>
      <c r="E4342" s="7">
        <f t="shared" si="134"/>
        <v>221619.93000000002</v>
      </c>
      <c r="F4342" s="7">
        <f t="shared" si="135"/>
        <v>18835600</v>
      </c>
      <c r="G4342" s="7"/>
    </row>
    <row r="4343" spans="1:7" x14ac:dyDescent="0.35">
      <c r="A4343" t="str">
        <f>"2022-07-14"</f>
        <v>2022-07-14</v>
      </c>
      <c r="B4343" t="str">
        <f>"50.2437"</f>
        <v>50.2437</v>
      </c>
      <c r="C4343">
        <v>4341</v>
      </c>
      <c r="D4343" s="7">
        <v>50.243699999999997</v>
      </c>
      <c r="E4343" s="7">
        <f t="shared" si="134"/>
        <v>218107.90169999999</v>
      </c>
      <c r="F4343" s="7">
        <f t="shared" si="135"/>
        <v>18844281</v>
      </c>
      <c r="G4343" s="7"/>
    </row>
    <row r="4344" spans="1:7" x14ac:dyDescent="0.35">
      <c r="A4344" t="str">
        <f>"2022-07-18"</f>
        <v>2022-07-18</v>
      </c>
      <c r="B4344" t="str">
        <f>"52.4534"</f>
        <v>52.4534</v>
      </c>
      <c r="C4344">
        <v>4342</v>
      </c>
      <c r="D4344" s="7">
        <v>52.453400000000002</v>
      </c>
      <c r="E4344" s="7">
        <f t="shared" si="134"/>
        <v>227752.66280000002</v>
      </c>
      <c r="F4344" s="7">
        <f t="shared" si="135"/>
        <v>18852964</v>
      </c>
      <c r="G4344" s="7"/>
    </row>
    <row r="4345" spans="1:7" x14ac:dyDescent="0.35">
      <c r="A4345" t="str">
        <f>"2022-07-19"</f>
        <v>2022-07-19</v>
      </c>
      <c r="B4345" t="str">
        <f>"53.231"</f>
        <v>53.231</v>
      </c>
      <c r="C4345">
        <v>4343</v>
      </c>
      <c r="D4345" s="7">
        <v>53.231000000000002</v>
      </c>
      <c r="E4345" s="7">
        <f t="shared" si="134"/>
        <v>231182.23300000001</v>
      </c>
      <c r="F4345" s="7">
        <f t="shared" si="135"/>
        <v>18861649</v>
      </c>
      <c r="G4345" s="7"/>
    </row>
    <row r="4346" spans="1:7" x14ac:dyDescent="0.35">
      <c r="A4346" t="str">
        <f>"2022-07-20"</f>
        <v>2022-07-20</v>
      </c>
      <c r="B4346" t="str">
        <f>"53.5759"</f>
        <v>53.5759</v>
      </c>
      <c r="C4346">
        <v>4344</v>
      </c>
      <c r="D4346" s="7">
        <v>53.575899999999997</v>
      </c>
      <c r="E4346" s="7">
        <f t="shared" si="134"/>
        <v>232733.7096</v>
      </c>
      <c r="F4346" s="7">
        <f t="shared" si="135"/>
        <v>18870336</v>
      </c>
      <c r="G4346" s="7"/>
    </row>
    <row r="4347" spans="1:7" x14ac:dyDescent="0.35">
      <c r="A4347" t="str">
        <f>"2022-07-21"</f>
        <v>2022-07-21</v>
      </c>
      <c r="B4347" t="str">
        <f>"53.2584"</f>
        <v>53.2584</v>
      </c>
      <c r="C4347">
        <v>4345</v>
      </c>
      <c r="D4347" s="7">
        <v>53.258400000000002</v>
      </c>
      <c r="E4347" s="7">
        <f t="shared" si="134"/>
        <v>231407.74800000002</v>
      </c>
      <c r="F4347" s="7">
        <f t="shared" si="135"/>
        <v>18879025</v>
      </c>
      <c r="G4347" s="7"/>
    </row>
    <row r="4348" spans="1:7" x14ac:dyDescent="0.35">
      <c r="A4348" t="str">
        <f>"2022-07-22"</f>
        <v>2022-07-22</v>
      </c>
      <c r="B4348" t="str">
        <f>"50.8652"</f>
        <v>50.8652</v>
      </c>
      <c r="C4348">
        <v>4346</v>
      </c>
      <c r="D4348" s="7">
        <v>50.865200000000002</v>
      </c>
      <c r="E4348" s="7">
        <f t="shared" si="134"/>
        <v>221060.15919999999</v>
      </c>
      <c r="F4348" s="7">
        <f t="shared" si="135"/>
        <v>18887716</v>
      </c>
      <c r="G4348" s="7"/>
    </row>
    <row r="4349" spans="1:7" x14ac:dyDescent="0.35">
      <c r="A4349" t="str">
        <f>"2022-07-25"</f>
        <v>2022-07-25</v>
      </c>
      <c r="B4349" t="str">
        <f>"50.4792"</f>
        <v>50.4792</v>
      </c>
      <c r="C4349">
        <v>4347</v>
      </c>
      <c r="D4349" s="7">
        <v>50.479199999999999</v>
      </c>
      <c r="E4349" s="7">
        <f t="shared" si="134"/>
        <v>219433.08239999998</v>
      </c>
      <c r="F4349" s="7">
        <f t="shared" si="135"/>
        <v>18896409</v>
      </c>
      <c r="G4349" s="7"/>
    </row>
    <row r="4350" spans="1:7" x14ac:dyDescent="0.35">
      <c r="A4350" t="str">
        <f>"2022-07-26"</f>
        <v>2022-07-26</v>
      </c>
      <c r="B4350" t="str">
        <f>"49.7652"</f>
        <v>49.7652</v>
      </c>
      <c r="C4350">
        <v>4348</v>
      </c>
      <c r="D4350" s="7">
        <v>49.7652</v>
      </c>
      <c r="E4350" s="7">
        <f t="shared" si="134"/>
        <v>216379.08960000001</v>
      </c>
      <c r="F4350" s="7">
        <f t="shared" si="135"/>
        <v>18905104</v>
      </c>
      <c r="G4350" s="7"/>
    </row>
    <row r="4351" spans="1:7" x14ac:dyDescent="0.35">
      <c r="A4351" t="str">
        <f>"2022-07-27"</f>
        <v>2022-07-27</v>
      </c>
      <c r="B4351" t="str">
        <f>"50.3143"</f>
        <v>50.3143</v>
      </c>
      <c r="C4351">
        <v>4349</v>
      </c>
      <c r="D4351" s="7">
        <v>50.314300000000003</v>
      </c>
      <c r="E4351" s="7">
        <f t="shared" si="134"/>
        <v>218816.89070000002</v>
      </c>
      <c r="F4351" s="7">
        <f t="shared" si="135"/>
        <v>18913801</v>
      </c>
      <c r="G4351" s="7"/>
    </row>
    <row r="4352" spans="1:7" x14ac:dyDescent="0.35">
      <c r="A4352" t="str">
        <f>"2022-07-28"</f>
        <v>2022-07-28</v>
      </c>
      <c r="B4352" t="str">
        <f>"49.4301"</f>
        <v>49.4301</v>
      </c>
      <c r="C4352">
        <v>4350</v>
      </c>
      <c r="D4352" s="7">
        <v>49.430100000000003</v>
      </c>
      <c r="E4352" s="7">
        <f t="shared" si="134"/>
        <v>215020.93500000003</v>
      </c>
      <c r="F4352" s="7">
        <f t="shared" si="135"/>
        <v>18922500</v>
      </c>
      <c r="G4352" s="7"/>
    </row>
    <row r="4353" spans="1:7" x14ac:dyDescent="0.35">
      <c r="A4353" t="str">
        <f>"2022-07-29"</f>
        <v>2022-07-29</v>
      </c>
      <c r="B4353" t="str">
        <f>"49.5523"</f>
        <v>49.5523</v>
      </c>
      <c r="C4353">
        <v>4351</v>
      </c>
      <c r="D4353" s="7">
        <v>49.552300000000002</v>
      </c>
      <c r="E4353" s="7">
        <f t="shared" si="134"/>
        <v>215602.05730000001</v>
      </c>
      <c r="F4353" s="7">
        <f t="shared" si="135"/>
        <v>18931201</v>
      </c>
      <c r="G4353" s="7"/>
    </row>
    <row r="4354" spans="1:7" x14ac:dyDescent="0.35">
      <c r="A4354" t="str">
        <f>"2022-08-01"</f>
        <v>2022-08-01</v>
      </c>
      <c r="B4354" t="str">
        <f>"50.5231"</f>
        <v>50.5231</v>
      </c>
      <c r="C4354">
        <v>4352</v>
      </c>
      <c r="D4354" s="7">
        <v>50.523099999999999</v>
      </c>
      <c r="E4354" s="7">
        <f t="shared" si="134"/>
        <v>219876.5312</v>
      </c>
      <c r="F4354" s="7">
        <f t="shared" si="135"/>
        <v>18939904</v>
      </c>
      <c r="G4354" s="7"/>
    </row>
    <row r="4355" spans="1:7" x14ac:dyDescent="0.35">
      <c r="A4355" t="str">
        <f>"2022-08-02"</f>
        <v>2022-08-02</v>
      </c>
      <c r="B4355" t="str">
        <f>"51.3792"</f>
        <v>51.3792</v>
      </c>
      <c r="C4355">
        <v>4353</v>
      </c>
      <c r="D4355" s="7">
        <v>51.379199999999997</v>
      </c>
      <c r="E4355" s="7">
        <f t="shared" si="134"/>
        <v>223653.65759999998</v>
      </c>
      <c r="F4355" s="7">
        <f t="shared" si="135"/>
        <v>18948609</v>
      </c>
      <c r="G4355" s="7"/>
    </row>
    <row r="4356" spans="1:7" x14ac:dyDescent="0.35">
      <c r="A4356" t="str">
        <f>"2022-08-03"</f>
        <v>2022-08-03</v>
      </c>
      <c r="B4356" t="str">
        <f>"54.232"</f>
        <v>54.232</v>
      </c>
      <c r="C4356">
        <v>4354</v>
      </c>
      <c r="D4356" s="7">
        <v>54.231999999999999</v>
      </c>
      <c r="E4356" s="7">
        <f t="shared" ref="E4356:E4419" si="136">C4356*D4356</f>
        <v>236126.128</v>
      </c>
      <c r="F4356" s="7">
        <f t="shared" ref="F4356:F4419" si="137">C4356*C4356</f>
        <v>18957316</v>
      </c>
      <c r="G4356" s="7"/>
    </row>
    <row r="4357" spans="1:7" x14ac:dyDescent="0.35">
      <c r="A4357" t="str">
        <f>"2022-08-04"</f>
        <v>2022-08-04</v>
      </c>
      <c r="B4357" t="str">
        <f>"53.635"</f>
        <v>53.635</v>
      </c>
      <c r="C4357">
        <v>4355</v>
      </c>
      <c r="D4357" s="7">
        <v>53.634999999999998</v>
      </c>
      <c r="E4357" s="7">
        <f t="shared" si="136"/>
        <v>233580.42499999999</v>
      </c>
      <c r="F4357" s="7">
        <f t="shared" si="137"/>
        <v>18966025</v>
      </c>
      <c r="G4357" s="7"/>
    </row>
    <row r="4358" spans="1:7" x14ac:dyDescent="0.35">
      <c r="A4358" t="str">
        <f>"2022-08-05"</f>
        <v>2022-08-05</v>
      </c>
      <c r="B4358" t="str">
        <f>"56.9095"</f>
        <v>56.9095</v>
      </c>
      <c r="C4358">
        <v>4356</v>
      </c>
      <c r="D4358" s="7">
        <v>56.909500000000001</v>
      </c>
      <c r="E4358" s="7">
        <f t="shared" si="136"/>
        <v>247897.78200000001</v>
      </c>
      <c r="F4358" s="7">
        <f t="shared" si="137"/>
        <v>18974736</v>
      </c>
      <c r="G4358" s="7"/>
    </row>
    <row r="4359" spans="1:7" x14ac:dyDescent="0.35">
      <c r="A4359" t="str">
        <f>"2022-08-08"</f>
        <v>2022-08-08</v>
      </c>
      <c r="B4359" t="str">
        <f>"57.0576"</f>
        <v>57.0576</v>
      </c>
      <c r="C4359">
        <v>4357</v>
      </c>
      <c r="D4359" s="7">
        <v>57.057600000000001</v>
      </c>
      <c r="E4359" s="7">
        <f t="shared" si="136"/>
        <v>248599.9632</v>
      </c>
      <c r="F4359" s="7">
        <f t="shared" si="137"/>
        <v>18983449</v>
      </c>
      <c r="G4359" s="7"/>
    </row>
    <row r="4360" spans="1:7" x14ac:dyDescent="0.35">
      <c r="A4360" t="str">
        <f>"2022-08-09"</f>
        <v>2022-08-09</v>
      </c>
      <c r="B4360" t="str">
        <f>"56.639"</f>
        <v>56.639</v>
      </c>
      <c r="C4360">
        <v>4358</v>
      </c>
      <c r="D4360" s="7">
        <v>56.639000000000003</v>
      </c>
      <c r="E4360" s="7">
        <f t="shared" si="136"/>
        <v>246832.76200000002</v>
      </c>
      <c r="F4360" s="7">
        <f t="shared" si="137"/>
        <v>18992164</v>
      </c>
      <c r="G4360" s="7"/>
    </row>
    <row r="4361" spans="1:7" x14ac:dyDescent="0.35">
      <c r="A4361" t="str">
        <f>"2022-08-10"</f>
        <v>2022-08-10</v>
      </c>
      <c r="B4361" t="str">
        <f>"58.13"</f>
        <v>58.13</v>
      </c>
      <c r="C4361">
        <v>4359</v>
      </c>
      <c r="D4361" s="7">
        <v>58.13</v>
      </c>
      <c r="E4361" s="7">
        <f t="shared" si="136"/>
        <v>253388.67</v>
      </c>
      <c r="F4361" s="7">
        <f t="shared" si="137"/>
        <v>19000881</v>
      </c>
      <c r="G4361" s="7"/>
    </row>
    <row r="4362" spans="1:7" x14ac:dyDescent="0.35">
      <c r="A4362" t="str">
        <f>"2022-08-11"</f>
        <v>2022-08-11</v>
      </c>
      <c r="B4362" t="str">
        <f>"59.7132"</f>
        <v>59.7132</v>
      </c>
      <c r="C4362">
        <v>4360</v>
      </c>
      <c r="D4362" s="7">
        <v>59.713200000000001</v>
      </c>
      <c r="E4362" s="7">
        <f t="shared" si="136"/>
        <v>260349.552</v>
      </c>
      <c r="F4362" s="7">
        <f t="shared" si="137"/>
        <v>19009600</v>
      </c>
      <c r="G4362" s="7"/>
    </row>
    <row r="4363" spans="1:7" x14ac:dyDescent="0.35">
      <c r="A4363" t="str">
        <f>"2022-08-12"</f>
        <v>2022-08-12</v>
      </c>
      <c r="B4363" t="str">
        <f>"60.1197"</f>
        <v>60.1197</v>
      </c>
      <c r="C4363">
        <v>4361</v>
      </c>
      <c r="D4363" s="7">
        <v>60.119700000000002</v>
      </c>
      <c r="E4363" s="7">
        <f t="shared" si="136"/>
        <v>262182.01170000003</v>
      </c>
      <c r="F4363" s="7">
        <f t="shared" si="137"/>
        <v>19018321</v>
      </c>
      <c r="G4363" s="7"/>
    </row>
    <row r="4364" spans="1:7" x14ac:dyDescent="0.35">
      <c r="A4364" t="str">
        <f>"2022-08-15"</f>
        <v>2022-08-15</v>
      </c>
      <c r="B4364" t="str">
        <f>"61.8988"</f>
        <v>61.8988</v>
      </c>
      <c r="C4364">
        <v>4362</v>
      </c>
      <c r="D4364" s="7">
        <v>61.898800000000001</v>
      </c>
      <c r="E4364" s="7">
        <f t="shared" si="136"/>
        <v>270002.56560000003</v>
      </c>
      <c r="F4364" s="7">
        <f t="shared" si="137"/>
        <v>19027044</v>
      </c>
      <c r="G4364" s="7"/>
    </row>
    <row r="4365" spans="1:7" x14ac:dyDescent="0.35">
      <c r="A4365" t="str">
        <f>"2022-08-16"</f>
        <v>2022-08-16</v>
      </c>
      <c r="B4365" t="str">
        <f>"66.2967"</f>
        <v>66.2967</v>
      </c>
      <c r="C4365">
        <v>4363</v>
      </c>
      <c r="D4365" s="7">
        <v>66.296700000000001</v>
      </c>
      <c r="E4365" s="7">
        <f t="shared" si="136"/>
        <v>289252.50209999998</v>
      </c>
      <c r="F4365" s="7">
        <f t="shared" si="137"/>
        <v>19035769</v>
      </c>
      <c r="G4365" s="7"/>
    </row>
    <row r="4366" spans="1:7" x14ac:dyDescent="0.35">
      <c r="A4366" t="str">
        <f>"2022-08-17"</f>
        <v>2022-08-17</v>
      </c>
      <c r="B4366" t="str">
        <f>"67.7914"</f>
        <v>67.7914</v>
      </c>
      <c r="C4366">
        <v>4364</v>
      </c>
      <c r="D4366" s="7">
        <v>67.791399999999996</v>
      </c>
      <c r="E4366" s="7">
        <f t="shared" si="136"/>
        <v>295841.66959999996</v>
      </c>
      <c r="F4366" s="7">
        <f t="shared" si="137"/>
        <v>19044496</v>
      </c>
      <c r="G4366" s="7"/>
    </row>
    <row r="4367" spans="1:7" x14ac:dyDescent="0.35">
      <c r="A4367" t="str">
        <f>"2022-08-18"</f>
        <v>2022-08-18</v>
      </c>
      <c r="B4367" t="str">
        <f>"68.7796"</f>
        <v>68.7796</v>
      </c>
      <c r="C4367">
        <v>4365</v>
      </c>
      <c r="D4367" s="7">
        <v>68.779600000000002</v>
      </c>
      <c r="E4367" s="7">
        <f t="shared" si="136"/>
        <v>300222.95400000003</v>
      </c>
      <c r="F4367" s="7">
        <f t="shared" si="137"/>
        <v>19053225</v>
      </c>
      <c r="G4367" s="7"/>
    </row>
    <row r="4368" spans="1:7" x14ac:dyDescent="0.35">
      <c r="A4368" t="str">
        <f>"2022-08-19"</f>
        <v>2022-08-19</v>
      </c>
      <c r="B4368" t="str">
        <f>"67.4433"</f>
        <v>67.4433</v>
      </c>
      <c r="C4368">
        <v>4366</v>
      </c>
      <c r="D4368" s="7">
        <v>67.443299999999994</v>
      </c>
      <c r="E4368" s="7">
        <f t="shared" si="136"/>
        <v>294457.44779999997</v>
      </c>
      <c r="F4368" s="7">
        <f t="shared" si="137"/>
        <v>19061956</v>
      </c>
      <c r="G4368" s="7"/>
    </row>
    <row r="4369" spans="1:7" x14ac:dyDescent="0.35">
      <c r="A4369" t="str">
        <f>"2022-08-22"</f>
        <v>2022-08-22</v>
      </c>
      <c r="B4369" t="str">
        <f>"67.1868"</f>
        <v>67.1868</v>
      </c>
      <c r="C4369">
        <v>4367</v>
      </c>
      <c r="D4369" s="7">
        <v>67.186800000000005</v>
      </c>
      <c r="E4369" s="7">
        <f t="shared" si="136"/>
        <v>293404.75560000003</v>
      </c>
      <c r="F4369" s="7">
        <f t="shared" si="137"/>
        <v>19070689</v>
      </c>
      <c r="G4369" s="7"/>
    </row>
    <row r="4370" spans="1:7" x14ac:dyDescent="0.35">
      <c r="A4370" t="str">
        <f>"2022-08-23"</f>
        <v>2022-08-23</v>
      </c>
      <c r="B4370" t="str">
        <f>"66.7319"</f>
        <v>66.7319</v>
      </c>
      <c r="C4370">
        <v>4368</v>
      </c>
      <c r="D4370" s="7">
        <v>66.731899999999996</v>
      </c>
      <c r="E4370" s="7">
        <f t="shared" si="136"/>
        <v>291484.93919999996</v>
      </c>
      <c r="F4370" s="7">
        <f t="shared" si="137"/>
        <v>19079424</v>
      </c>
      <c r="G4370" s="7"/>
    </row>
    <row r="4371" spans="1:7" x14ac:dyDescent="0.35">
      <c r="A4371" t="str">
        <f>"2022-08-24"</f>
        <v>2022-08-24</v>
      </c>
      <c r="B4371" t="str">
        <f>"67.4184"</f>
        <v>67.4184</v>
      </c>
      <c r="C4371">
        <v>4369</v>
      </c>
      <c r="D4371" s="7">
        <v>67.418400000000005</v>
      </c>
      <c r="E4371" s="7">
        <f t="shared" si="136"/>
        <v>294550.98960000003</v>
      </c>
      <c r="F4371" s="7">
        <f t="shared" si="137"/>
        <v>19088161</v>
      </c>
      <c r="G4371" s="7"/>
    </row>
    <row r="4372" spans="1:7" x14ac:dyDescent="0.35">
      <c r="A4372" t="str">
        <f>"2022-08-25"</f>
        <v>2022-08-25</v>
      </c>
      <c r="B4372" t="str">
        <f>"68.5474"</f>
        <v>68.5474</v>
      </c>
      <c r="C4372">
        <v>4370</v>
      </c>
      <c r="D4372" s="7">
        <v>68.547399999999996</v>
      </c>
      <c r="E4372" s="7">
        <f t="shared" si="136"/>
        <v>299552.13799999998</v>
      </c>
      <c r="F4372" s="7">
        <f t="shared" si="137"/>
        <v>19096900</v>
      </c>
      <c r="G4372" s="7"/>
    </row>
    <row r="4373" spans="1:7" x14ac:dyDescent="0.35">
      <c r="A4373" t="str">
        <f>"2022-08-26"</f>
        <v>2022-08-26</v>
      </c>
      <c r="B4373" t="str">
        <f>"68.7405"</f>
        <v>68.7405</v>
      </c>
      <c r="C4373">
        <v>4371</v>
      </c>
      <c r="D4373" s="7">
        <v>68.740499999999997</v>
      </c>
      <c r="E4373" s="7">
        <f t="shared" si="136"/>
        <v>300464.7255</v>
      </c>
      <c r="F4373" s="7">
        <f t="shared" si="137"/>
        <v>19105641</v>
      </c>
      <c r="G4373" s="7"/>
    </row>
    <row r="4374" spans="1:7" x14ac:dyDescent="0.35">
      <c r="A4374" t="str">
        <f>"2022-08-29"</f>
        <v>2022-08-29</v>
      </c>
      <c r="B4374" t="str">
        <f>"69.4536"</f>
        <v>69.4536</v>
      </c>
      <c r="C4374">
        <v>4372</v>
      </c>
      <c r="D4374" s="7">
        <v>69.453599999999994</v>
      </c>
      <c r="E4374" s="7">
        <f t="shared" si="136"/>
        <v>303651.13919999998</v>
      </c>
      <c r="F4374" s="7">
        <f t="shared" si="137"/>
        <v>19114384</v>
      </c>
      <c r="G4374" s="7"/>
    </row>
    <row r="4375" spans="1:7" x14ac:dyDescent="0.35">
      <c r="A4375" t="str">
        <f>"2022-08-31"</f>
        <v>2022-08-31</v>
      </c>
      <c r="B4375" t="str">
        <f>"73.137"</f>
        <v>73.137</v>
      </c>
      <c r="C4375">
        <v>4373</v>
      </c>
      <c r="D4375" s="7">
        <v>73.137</v>
      </c>
      <c r="E4375" s="7">
        <f t="shared" si="136"/>
        <v>319828.10100000002</v>
      </c>
      <c r="F4375" s="7">
        <f t="shared" si="137"/>
        <v>19123129</v>
      </c>
      <c r="G4375" s="7"/>
    </row>
    <row r="4376" spans="1:7" x14ac:dyDescent="0.35">
      <c r="A4376" t="str">
        <f>"2022-09-01"</f>
        <v>2022-09-01</v>
      </c>
      <c r="B4376" t="str">
        <f>"71.6615"</f>
        <v>71.6615</v>
      </c>
      <c r="C4376">
        <v>4374</v>
      </c>
      <c r="D4376" s="7">
        <v>71.661500000000004</v>
      </c>
      <c r="E4376" s="7">
        <f t="shared" si="136"/>
        <v>313447.40100000001</v>
      </c>
      <c r="F4376" s="7">
        <f t="shared" si="137"/>
        <v>19131876</v>
      </c>
      <c r="G4376" s="7"/>
    </row>
    <row r="4377" spans="1:7" x14ac:dyDescent="0.35">
      <c r="A4377" t="str">
        <f>"2022-09-02"</f>
        <v>2022-09-02</v>
      </c>
      <c r="B4377" t="str">
        <f>"71.7377"</f>
        <v>71.7377</v>
      </c>
      <c r="C4377">
        <v>4375</v>
      </c>
      <c r="D4377" s="7">
        <v>71.737700000000004</v>
      </c>
      <c r="E4377" s="7">
        <f t="shared" si="136"/>
        <v>313852.4375</v>
      </c>
      <c r="F4377" s="7">
        <f t="shared" si="137"/>
        <v>19140625</v>
      </c>
      <c r="G4377" s="7"/>
    </row>
    <row r="4378" spans="1:7" x14ac:dyDescent="0.35">
      <c r="A4378" t="str">
        <f>"2022-09-06"</f>
        <v>2022-09-06</v>
      </c>
      <c r="B4378" t="str">
        <f>"73.9643"</f>
        <v>73.9643</v>
      </c>
      <c r="C4378">
        <v>4376</v>
      </c>
      <c r="D4378" s="7">
        <v>73.964299999999994</v>
      </c>
      <c r="E4378" s="7">
        <f t="shared" si="136"/>
        <v>323667.77679999999</v>
      </c>
      <c r="F4378" s="7">
        <f t="shared" si="137"/>
        <v>19149376</v>
      </c>
      <c r="G4378" s="7"/>
    </row>
    <row r="4379" spans="1:7" x14ac:dyDescent="0.35">
      <c r="A4379" t="str">
        <f>"2022-09-07"</f>
        <v>2022-09-07</v>
      </c>
      <c r="B4379" t="str">
        <f>"74.3179"</f>
        <v>74.3179</v>
      </c>
      <c r="C4379">
        <v>4377</v>
      </c>
      <c r="D4379" s="7">
        <v>74.317899999999995</v>
      </c>
      <c r="E4379" s="7">
        <f t="shared" si="136"/>
        <v>325289.44829999999</v>
      </c>
      <c r="F4379" s="7">
        <f t="shared" si="137"/>
        <v>19158129</v>
      </c>
      <c r="G4379" s="7"/>
    </row>
    <row r="4380" spans="1:7" x14ac:dyDescent="0.35">
      <c r="A4380" t="str">
        <f>"2022-09-08"</f>
        <v>2022-09-08</v>
      </c>
      <c r="B4380" t="str">
        <f>"72.957"</f>
        <v>72.957</v>
      </c>
      <c r="C4380">
        <v>4378</v>
      </c>
      <c r="D4380" s="7">
        <v>72.956999999999994</v>
      </c>
      <c r="E4380" s="7">
        <f t="shared" si="136"/>
        <v>319405.74599999998</v>
      </c>
      <c r="F4380" s="7">
        <f t="shared" si="137"/>
        <v>19166884</v>
      </c>
      <c r="G4380" s="7"/>
    </row>
    <row r="4381" spans="1:7" x14ac:dyDescent="0.35">
      <c r="A4381" t="str">
        <f>"2022-09-09"</f>
        <v>2022-09-09</v>
      </c>
      <c r="B4381" t="str">
        <f>"72.9363"</f>
        <v>72.9363</v>
      </c>
      <c r="C4381">
        <v>4379</v>
      </c>
      <c r="D4381" s="7">
        <v>72.936300000000003</v>
      </c>
      <c r="E4381" s="7">
        <f t="shared" si="136"/>
        <v>319388.0577</v>
      </c>
      <c r="F4381" s="7">
        <f t="shared" si="137"/>
        <v>19175641</v>
      </c>
      <c r="G4381" s="7"/>
    </row>
    <row r="4382" spans="1:7" x14ac:dyDescent="0.35">
      <c r="A4382" t="str">
        <f>"2022-09-12"</f>
        <v>2022-09-12</v>
      </c>
      <c r="B4382" t="str">
        <f>"74.0338"</f>
        <v>74.0338</v>
      </c>
      <c r="C4382">
        <v>4380</v>
      </c>
      <c r="D4382" s="7">
        <v>74.033799999999999</v>
      </c>
      <c r="E4382" s="7">
        <f t="shared" si="136"/>
        <v>324268.04399999999</v>
      </c>
      <c r="F4382" s="7">
        <f t="shared" si="137"/>
        <v>19184400</v>
      </c>
      <c r="G4382" s="7"/>
    </row>
    <row r="4383" spans="1:7" x14ac:dyDescent="0.35">
      <c r="A4383" t="str">
        <f>"2022-09-13"</f>
        <v>2022-09-13</v>
      </c>
      <c r="B4383" t="str">
        <f>"71.1781"</f>
        <v>71.1781</v>
      </c>
      <c r="C4383">
        <v>4381</v>
      </c>
      <c r="D4383" s="7">
        <v>71.178100000000001</v>
      </c>
      <c r="E4383" s="7">
        <f t="shared" si="136"/>
        <v>311831.2561</v>
      </c>
      <c r="F4383" s="7">
        <f t="shared" si="137"/>
        <v>19193161</v>
      </c>
      <c r="G4383" s="7"/>
    </row>
    <row r="4384" spans="1:7" x14ac:dyDescent="0.35">
      <c r="A4384" t="str">
        <f>"2022-09-14"</f>
        <v>2022-09-14</v>
      </c>
      <c r="B4384" t="str">
        <f>"74.6564"</f>
        <v>74.6564</v>
      </c>
      <c r="C4384">
        <v>4382</v>
      </c>
      <c r="D4384" s="7">
        <v>74.656400000000005</v>
      </c>
      <c r="E4384" s="7">
        <f t="shared" si="136"/>
        <v>327144.34480000002</v>
      </c>
      <c r="F4384" s="7">
        <f t="shared" si="137"/>
        <v>19201924</v>
      </c>
      <c r="G4384" s="7"/>
    </row>
    <row r="4385" spans="1:7" x14ac:dyDescent="0.35">
      <c r="A4385" t="str">
        <f>"2022-09-15"</f>
        <v>2022-09-15</v>
      </c>
      <c r="B4385" t="str">
        <f>"75.9692"</f>
        <v>75.9692</v>
      </c>
      <c r="C4385">
        <v>4383</v>
      </c>
      <c r="D4385" s="7">
        <v>75.969200000000001</v>
      </c>
      <c r="E4385" s="7">
        <f t="shared" si="136"/>
        <v>332973.0036</v>
      </c>
      <c r="F4385" s="7">
        <f t="shared" si="137"/>
        <v>19210689</v>
      </c>
      <c r="G4385" s="7"/>
    </row>
    <row r="4386" spans="1:7" x14ac:dyDescent="0.35">
      <c r="A4386" t="str">
        <f>"2022-09-16"</f>
        <v>2022-09-16</v>
      </c>
      <c r="B4386" t="str">
        <f>"75.2964"</f>
        <v>75.2964</v>
      </c>
      <c r="C4386">
        <v>4384</v>
      </c>
      <c r="D4386" s="7">
        <v>75.296400000000006</v>
      </c>
      <c r="E4386" s="7">
        <f t="shared" si="136"/>
        <v>330099.41760000004</v>
      </c>
      <c r="F4386" s="7">
        <f t="shared" si="137"/>
        <v>19219456</v>
      </c>
      <c r="G4386" s="7"/>
    </row>
    <row r="4387" spans="1:7" x14ac:dyDescent="0.35">
      <c r="A4387" t="str">
        <f>"2022-09-19"</f>
        <v>2022-09-19</v>
      </c>
      <c r="B4387" t="str">
        <f>"70.3056"</f>
        <v>70.3056</v>
      </c>
      <c r="C4387">
        <v>4385</v>
      </c>
      <c r="D4387" s="7">
        <v>70.305599999999998</v>
      </c>
      <c r="E4387" s="7">
        <f t="shared" si="136"/>
        <v>308290.05599999998</v>
      </c>
      <c r="F4387" s="7">
        <f t="shared" si="137"/>
        <v>19228225</v>
      </c>
      <c r="G4387" s="7"/>
    </row>
    <row r="4388" spans="1:7" x14ac:dyDescent="0.35">
      <c r="A4388" t="str">
        <f>"2022-09-20"</f>
        <v>2022-09-20</v>
      </c>
      <c r="B4388" t="str">
        <f>"74.2225"</f>
        <v>74.2225</v>
      </c>
      <c r="C4388">
        <v>4386</v>
      </c>
      <c r="D4388" s="7">
        <v>74.222499999999997</v>
      </c>
      <c r="E4388" s="7">
        <f t="shared" si="136"/>
        <v>325539.88500000001</v>
      </c>
      <c r="F4388" s="7">
        <f t="shared" si="137"/>
        <v>19236996</v>
      </c>
      <c r="G4388" s="7"/>
    </row>
    <row r="4389" spans="1:7" x14ac:dyDescent="0.35">
      <c r="A4389" t="str">
        <f>"2022-09-21"</f>
        <v>2022-09-21</v>
      </c>
      <c r="B4389" t="str">
        <f>"71.1768"</f>
        <v>71.1768</v>
      </c>
      <c r="C4389">
        <v>4387</v>
      </c>
      <c r="D4389" s="7">
        <v>71.1768</v>
      </c>
      <c r="E4389" s="7">
        <f t="shared" si="136"/>
        <v>312252.62160000001</v>
      </c>
      <c r="F4389" s="7">
        <f t="shared" si="137"/>
        <v>19245769</v>
      </c>
      <c r="G4389" s="7"/>
    </row>
    <row r="4390" spans="1:7" x14ac:dyDescent="0.35">
      <c r="A4390" t="str">
        <f>"2022-09-22"</f>
        <v>2022-09-22</v>
      </c>
      <c r="B4390" t="str">
        <f>"72.4715"</f>
        <v>72.4715</v>
      </c>
      <c r="C4390">
        <v>4388</v>
      </c>
      <c r="D4390" s="7">
        <v>72.471500000000006</v>
      </c>
      <c r="E4390" s="7">
        <f t="shared" si="136"/>
        <v>318004.94200000004</v>
      </c>
      <c r="F4390" s="7">
        <f t="shared" si="137"/>
        <v>19254544</v>
      </c>
      <c r="G4390" s="7"/>
    </row>
    <row r="4391" spans="1:7" x14ac:dyDescent="0.35">
      <c r="A4391" t="str">
        <f>"2022-09-23"</f>
        <v>2022-09-23</v>
      </c>
      <c r="B4391" t="str">
        <f>"73.0385"</f>
        <v>73.0385</v>
      </c>
      <c r="C4391">
        <v>4389</v>
      </c>
      <c r="D4391" s="7">
        <v>73.038499999999999</v>
      </c>
      <c r="E4391" s="7">
        <f t="shared" si="136"/>
        <v>320565.97649999999</v>
      </c>
      <c r="F4391" s="7">
        <f t="shared" si="137"/>
        <v>19263321</v>
      </c>
      <c r="G4391" s="7"/>
    </row>
    <row r="4392" spans="1:7" x14ac:dyDescent="0.35">
      <c r="A4392" t="str">
        <f>"2022-09-26"</f>
        <v>2022-09-26</v>
      </c>
      <c r="B4392" t="str">
        <f>"72.1416"</f>
        <v>72.1416</v>
      </c>
      <c r="C4392">
        <v>4390</v>
      </c>
      <c r="D4392" s="7">
        <v>72.141599999999997</v>
      </c>
      <c r="E4392" s="7">
        <f t="shared" si="136"/>
        <v>316701.62400000001</v>
      </c>
      <c r="F4392" s="7">
        <f t="shared" si="137"/>
        <v>19272100</v>
      </c>
      <c r="G4392" s="7"/>
    </row>
    <row r="4393" spans="1:7" x14ac:dyDescent="0.35">
      <c r="A4393" t="str">
        <f>"2022-09-27"</f>
        <v>2022-09-27</v>
      </c>
      <c r="B4393" t="str">
        <f>"73.5827"</f>
        <v>73.5827</v>
      </c>
      <c r="C4393">
        <v>4391</v>
      </c>
      <c r="D4393" s="7">
        <v>73.582700000000003</v>
      </c>
      <c r="E4393" s="7">
        <f t="shared" si="136"/>
        <v>323101.63569999998</v>
      </c>
      <c r="F4393" s="7">
        <f t="shared" si="137"/>
        <v>19280881</v>
      </c>
      <c r="G4393" s="7"/>
    </row>
    <row r="4394" spans="1:7" x14ac:dyDescent="0.35">
      <c r="A4394" t="str">
        <f>"2022-09-28"</f>
        <v>2022-09-28</v>
      </c>
      <c r="B4394" t="str">
        <f>"70.0328"</f>
        <v>70.0328</v>
      </c>
      <c r="C4394">
        <v>4392</v>
      </c>
      <c r="D4394" s="7">
        <v>70.032799999999995</v>
      </c>
      <c r="E4394" s="7">
        <f t="shared" si="136"/>
        <v>307584.0576</v>
      </c>
      <c r="F4394" s="7">
        <f t="shared" si="137"/>
        <v>19289664</v>
      </c>
      <c r="G4394" s="7"/>
    </row>
    <row r="4395" spans="1:7" x14ac:dyDescent="0.35">
      <c r="A4395" t="str">
        <f>"2022-09-29"</f>
        <v>2022-09-29</v>
      </c>
      <c r="B4395" t="str">
        <f>"69.4544"</f>
        <v>69.4544</v>
      </c>
      <c r="C4395">
        <v>4393</v>
      </c>
      <c r="D4395" s="7">
        <v>69.454400000000007</v>
      </c>
      <c r="E4395" s="7">
        <f t="shared" si="136"/>
        <v>305113.17920000001</v>
      </c>
      <c r="F4395" s="7">
        <f t="shared" si="137"/>
        <v>19298449</v>
      </c>
      <c r="G4395" s="7"/>
    </row>
    <row r="4396" spans="1:7" x14ac:dyDescent="0.35">
      <c r="A4396" t="str">
        <f>"2022-09-30"</f>
        <v>2022-09-30</v>
      </c>
      <c r="B4396" t="str">
        <f>"71.411"</f>
        <v>71.411</v>
      </c>
      <c r="C4396">
        <v>4394</v>
      </c>
      <c r="D4396" s="7">
        <v>71.411000000000001</v>
      </c>
      <c r="E4396" s="7">
        <f t="shared" si="136"/>
        <v>313779.93400000001</v>
      </c>
      <c r="F4396" s="7">
        <f t="shared" si="137"/>
        <v>19307236</v>
      </c>
      <c r="G4396" s="7"/>
    </row>
    <row r="4397" spans="1:7" x14ac:dyDescent="0.35">
      <c r="A4397" t="str">
        <f>"2022-10-03"</f>
        <v>2022-10-03</v>
      </c>
      <c r="B4397" t="str">
        <f>"77.0491"</f>
        <v>77.0491</v>
      </c>
      <c r="C4397">
        <v>4395</v>
      </c>
      <c r="D4397" s="7">
        <v>77.049099999999996</v>
      </c>
      <c r="E4397" s="7">
        <f t="shared" si="136"/>
        <v>338630.79449999996</v>
      </c>
      <c r="F4397" s="7">
        <f t="shared" si="137"/>
        <v>19316025</v>
      </c>
      <c r="G4397" s="7"/>
    </row>
    <row r="4398" spans="1:7" x14ac:dyDescent="0.35">
      <c r="A4398" t="str">
        <f>"2022-10-04"</f>
        <v>2022-10-04</v>
      </c>
      <c r="B4398" t="str">
        <f>"78.8291"</f>
        <v>78.8291</v>
      </c>
      <c r="C4398">
        <v>4396</v>
      </c>
      <c r="D4398" s="7">
        <v>78.829099999999997</v>
      </c>
      <c r="E4398" s="7">
        <f t="shared" si="136"/>
        <v>346532.72359999997</v>
      </c>
      <c r="F4398" s="7">
        <f t="shared" si="137"/>
        <v>19324816</v>
      </c>
      <c r="G4398" s="7"/>
    </row>
    <row r="4399" spans="1:7" x14ac:dyDescent="0.35">
      <c r="A4399" t="str">
        <f>"2022-10-05"</f>
        <v>2022-10-05</v>
      </c>
      <c r="B4399" t="str">
        <f>"82.9944"</f>
        <v>82.9944</v>
      </c>
      <c r="C4399">
        <v>4397</v>
      </c>
      <c r="D4399" s="7">
        <v>82.994399999999999</v>
      </c>
      <c r="E4399" s="7">
        <f t="shared" si="136"/>
        <v>364926.37679999997</v>
      </c>
      <c r="F4399" s="7">
        <f t="shared" si="137"/>
        <v>19333609</v>
      </c>
      <c r="G4399" s="7"/>
    </row>
    <row r="4400" spans="1:7" x14ac:dyDescent="0.35">
      <c r="A4400" t="str">
        <f>"2022-10-06"</f>
        <v>2022-10-06</v>
      </c>
      <c r="B4400" t="str">
        <f>"82.9774"</f>
        <v>82.9774</v>
      </c>
      <c r="C4400">
        <v>4398</v>
      </c>
      <c r="D4400" s="7">
        <v>82.977400000000003</v>
      </c>
      <c r="E4400" s="7">
        <f t="shared" si="136"/>
        <v>364934.60519999999</v>
      </c>
      <c r="F4400" s="7">
        <f t="shared" si="137"/>
        <v>19342404</v>
      </c>
      <c r="G4400" s="7"/>
    </row>
    <row r="4401" spans="1:7" x14ac:dyDescent="0.35">
      <c r="A4401" t="str">
        <f>"2022-10-07"</f>
        <v>2022-10-07</v>
      </c>
      <c r="B4401" t="str">
        <f>"82.9104"</f>
        <v>82.9104</v>
      </c>
      <c r="C4401">
        <v>4399</v>
      </c>
      <c r="D4401" s="7">
        <v>82.910399999999996</v>
      </c>
      <c r="E4401" s="7">
        <f t="shared" si="136"/>
        <v>364722.84959999996</v>
      </c>
      <c r="F4401" s="7">
        <f t="shared" si="137"/>
        <v>19351201</v>
      </c>
      <c r="G4401" s="7"/>
    </row>
    <row r="4402" spans="1:7" x14ac:dyDescent="0.35">
      <c r="A4402" t="str">
        <f>"2022-10-10"</f>
        <v>2022-10-10</v>
      </c>
      <c r="B4402" t="str">
        <f>"86.5071"</f>
        <v>86.5071</v>
      </c>
      <c r="C4402">
        <v>4400</v>
      </c>
      <c r="D4402" s="7">
        <v>86.507099999999994</v>
      </c>
      <c r="E4402" s="7">
        <f t="shared" si="136"/>
        <v>380631.24</v>
      </c>
      <c r="F4402" s="7">
        <f t="shared" si="137"/>
        <v>19360000</v>
      </c>
      <c r="G4402" s="7"/>
    </row>
    <row r="4403" spans="1:7" x14ac:dyDescent="0.35">
      <c r="A4403" t="str">
        <f>"2022-10-11"</f>
        <v>2022-10-11</v>
      </c>
      <c r="B4403" t="str">
        <f>"84.2509"</f>
        <v>84.2509</v>
      </c>
      <c r="C4403">
        <v>4401</v>
      </c>
      <c r="D4403" s="7">
        <v>84.250900000000001</v>
      </c>
      <c r="E4403" s="7">
        <f t="shared" si="136"/>
        <v>370788.21090000001</v>
      </c>
      <c r="F4403" s="7">
        <f t="shared" si="137"/>
        <v>19368801</v>
      </c>
      <c r="G4403" s="7"/>
    </row>
    <row r="4404" spans="1:7" x14ac:dyDescent="0.35">
      <c r="A4404" t="str">
        <f>"2022-10-12"</f>
        <v>2022-10-12</v>
      </c>
      <c r="B4404" t="str">
        <f>"85.2713"</f>
        <v>85.2713</v>
      </c>
      <c r="C4404">
        <v>4402</v>
      </c>
      <c r="D4404" s="7">
        <v>85.271299999999997</v>
      </c>
      <c r="E4404" s="7">
        <f t="shared" si="136"/>
        <v>375364.26259999996</v>
      </c>
      <c r="F4404" s="7">
        <f t="shared" si="137"/>
        <v>19377604</v>
      </c>
      <c r="G4404" s="7"/>
    </row>
    <row r="4405" spans="1:7" x14ac:dyDescent="0.35">
      <c r="A4405" t="str">
        <f>"2022-10-13"</f>
        <v>2022-10-13</v>
      </c>
      <c r="B4405" t="str">
        <f>"88.5465"</f>
        <v>88.5465</v>
      </c>
      <c r="C4405">
        <v>4403</v>
      </c>
      <c r="D4405" s="7">
        <v>88.546499999999995</v>
      </c>
      <c r="E4405" s="7">
        <f t="shared" si="136"/>
        <v>389870.23949999997</v>
      </c>
      <c r="F4405" s="7">
        <f t="shared" si="137"/>
        <v>19386409</v>
      </c>
      <c r="G4405" s="7"/>
    </row>
    <row r="4406" spans="1:7" x14ac:dyDescent="0.35">
      <c r="A4406" t="str">
        <f>"2022-10-14"</f>
        <v>2022-10-14</v>
      </c>
      <c r="B4406" t="str">
        <f>"91.9065"</f>
        <v>91.9065</v>
      </c>
      <c r="C4406">
        <v>4404</v>
      </c>
      <c r="D4406" s="7">
        <v>91.906499999999994</v>
      </c>
      <c r="E4406" s="7">
        <f t="shared" si="136"/>
        <v>404756.22599999997</v>
      </c>
      <c r="F4406" s="7">
        <f t="shared" si="137"/>
        <v>19395216</v>
      </c>
      <c r="G4406" s="7"/>
    </row>
    <row r="4407" spans="1:7" x14ac:dyDescent="0.35">
      <c r="A4407" t="str">
        <f>"2022-10-17"</f>
        <v>2022-10-17</v>
      </c>
      <c r="B4407" t="str">
        <f>"99.425"</f>
        <v>99.425</v>
      </c>
      <c r="C4407">
        <v>4405</v>
      </c>
      <c r="D4407" s="7">
        <v>99.424999999999997</v>
      </c>
      <c r="E4407" s="7">
        <f t="shared" si="136"/>
        <v>437967.125</v>
      </c>
      <c r="F4407" s="7">
        <f t="shared" si="137"/>
        <v>19404025</v>
      </c>
      <c r="G4407" s="7"/>
    </row>
    <row r="4408" spans="1:7" x14ac:dyDescent="0.35">
      <c r="A4408" t="str">
        <f>"2022-10-18"</f>
        <v>2022-10-18</v>
      </c>
      <c r="B4408" t="str">
        <f>"98.8917"</f>
        <v>98.8917</v>
      </c>
      <c r="C4408">
        <v>4406</v>
      </c>
      <c r="D4408" s="7">
        <v>98.8917</v>
      </c>
      <c r="E4408" s="7">
        <f t="shared" si="136"/>
        <v>435716.83020000003</v>
      </c>
      <c r="F4408" s="7">
        <f t="shared" si="137"/>
        <v>19412836</v>
      </c>
      <c r="G4408" s="7"/>
    </row>
    <row r="4409" spans="1:7" x14ac:dyDescent="0.35">
      <c r="A4409" t="str">
        <f>"2022-10-19"</f>
        <v>2022-10-19</v>
      </c>
      <c r="B4409" t="str">
        <f>"100.1853"</f>
        <v>100.1853</v>
      </c>
      <c r="C4409">
        <v>4407</v>
      </c>
      <c r="D4409" s="7">
        <v>100.1853</v>
      </c>
      <c r="E4409" s="7">
        <f t="shared" si="136"/>
        <v>441516.61709999997</v>
      </c>
      <c r="F4409" s="7">
        <f t="shared" si="137"/>
        <v>19421649</v>
      </c>
      <c r="G4409" s="7"/>
    </row>
    <row r="4410" spans="1:7" x14ac:dyDescent="0.35">
      <c r="A4410" t="str">
        <f>"2022-10-20"</f>
        <v>2022-10-20</v>
      </c>
      <c r="B4410" t="str">
        <f>"101.6041"</f>
        <v>101.6041</v>
      </c>
      <c r="C4410">
        <v>4408</v>
      </c>
      <c r="D4410" s="7">
        <v>101.6041</v>
      </c>
      <c r="E4410" s="7">
        <f t="shared" si="136"/>
        <v>447870.87280000001</v>
      </c>
      <c r="F4410" s="7">
        <f t="shared" si="137"/>
        <v>19430464</v>
      </c>
      <c r="G4410" s="7"/>
    </row>
    <row r="4411" spans="1:7" x14ac:dyDescent="0.35">
      <c r="A4411" t="str">
        <f>"2022-10-21"</f>
        <v>2022-10-21</v>
      </c>
      <c r="B4411" t="str">
        <f>"99.2859"</f>
        <v>99.2859</v>
      </c>
      <c r="C4411">
        <v>4409</v>
      </c>
      <c r="D4411" s="7">
        <v>99.285899999999998</v>
      </c>
      <c r="E4411" s="7">
        <f t="shared" si="136"/>
        <v>437751.5331</v>
      </c>
      <c r="F4411" s="7">
        <f t="shared" si="137"/>
        <v>19439281</v>
      </c>
      <c r="G4411" s="7"/>
    </row>
    <row r="4412" spans="1:7" x14ac:dyDescent="0.35">
      <c r="A4412" t="str">
        <f>"2022-10-24"</f>
        <v>2022-10-24</v>
      </c>
      <c r="B4412" t="str">
        <f>"101.1685"</f>
        <v>101.1685</v>
      </c>
      <c r="C4412">
        <v>4410</v>
      </c>
      <c r="D4412" s="7">
        <v>101.16849999999999</v>
      </c>
      <c r="E4412" s="7">
        <f t="shared" si="136"/>
        <v>446153.08499999996</v>
      </c>
      <c r="F4412" s="7">
        <f t="shared" si="137"/>
        <v>19448100</v>
      </c>
      <c r="G4412" s="7"/>
    </row>
    <row r="4413" spans="1:7" x14ac:dyDescent="0.35">
      <c r="A4413" t="str">
        <f>"2022-10-25"</f>
        <v>2022-10-25</v>
      </c>
      <c r="B4413" t="str">
        <f>"101.7319"</f>
        <v>101.7319</v>
      </c>
      <c r="C4413">
        <v>4411</v>
      </c>
      <c r="D4413" s="7">
        <v>101.7319</v>
      </c>
      <c r="E4413" s="7">
        <f t="shared" si="136"/>
        <v>448739.41089999996</v>
      </c>
      <c r="F4413" s="7">
        <f t="shared" si="137"/>
        <v>19456921</v>
      </c>
      <c r="G4413" s="7"/>
    </row>
    <row r="4414" spans="1:7" x14ac:dyDescent="0.35">
      <c r="A4414" t="str">
        <f>"2022-10-26"</f>
        <v>2022-10-26</v>
      </c>
      <c r="B4414" t="str">
        <f>"99.2524"</f>
        <v>99.2524</v>
      </c>
      <c r="C4414">
        <v>4412</v>
      </c>
      <c r="D4414" s="7">
        <v>99.252399999999994</v>
      </c>
      <c r="E4414" s="7">
        <f t="shared" si="136"/>
        <v>437901.58879999997</v>
      </c>
      <c r="F4414" s="7">
        <f t="shared" si="137"/>
        <v>19465744</v>
      </c>
      <c r="G4414" s="7"/>
    </row>
    <row r="4415" spans="1:7" x14ac:dyDescent="0.35">
      <c r="A4415" t="str">
        <f>"2022-10-27"</f>
        <v>2022-10-27</v>
      </c>
      <c r="B4415" t="str">
        <f>"100.1419"</f>
        <v>100.1419</v>
      </c>
      <c r="C4415">
        <v>4413</v>
      </c>
      <c r="D4415" s="7">
        <v>100.14190000000001</v>
      </c>
      <c r="E4415" s="7">
        <f t="shared" si="136"/>
        <v>441926.2047</v>
      </c>
      <c r="F4415" s="7">
        <f t="shared" si="137"/>
        <v>19474569</v>
      </c>
      <c r="G4415" s="7"/>
    </row>
    <row r="4416" spans="1:7" x14ac:dyDescent="0.35">
      <c r="A4416" t="str">
        <f>"2022-10-28"</f>
        <v>2022-10-28</v>
      </c>
      <c r="B4416" t="str">
        <f>"98.8322"</f>
        <v>98.8322</v>
      </c>
      <c r="C4416">
        <v>4414</v>
      </c>
      <c r="D4416" s="7">
        <v>98.8322</v>
      </c>
      <c r="E4416" s="7">
        <f t="shared" si="136"/>
        <v>436245.3308</v>
      </c>
      <c r="F4416" s="7">
        <f t="shared" si="137"/>
        <v>19483396</v>
      </c>
      <c r="G4416" s="7"/>
    </row>
    <row r="4417" spans="1:7" x14ac:dyDescent="0.35">
      <c r="A4417" t="str">
        <f>"2022-10-31"</f>
        <v>2022-10-31</v>
      </c>
      <c r="B4417" t="str">
        <f>"103.7004"</f>
        <v>103.7004</v>
      </c>
      <c r="C4417">
        <v>4415</v>
      </c>
      <c r="D4417" s="7">
        <v>103.7004</v>
      </c>
      <c r="E4417" s="7">
        <f t="shared" si="136"/>
        <v>457837.266</v>
      </c>
      <c r="F4417" s="7">
        <f t="shared" si="137"/>
        <v>19492225</v>
      </c>
      <c r="G4417" s="7"/>
    </row>
    <row r="4418" spans="1:7" x14ac:dyDescent="0.35">
      <c r="A4418" t="str">
        <f>"2022-11-01"</f>
        <v>2022-11-01</v>
      </c>
      <c r="B4418" t="str">
        <f>"104.0019"</f>
        <v>104.0019</v>
      </c>
      <c r="C4418">
        <v>4416</v>
      </c>
      <c r="D4418" s="7">
        <v>104.00190000000001</v>
      </c>
      <c r="E4418" s="7">
        <f t="shared" si="136"/>
        <v>459272.39040000003</v>
      </c>
      <c r="F4418" s="7">
        <f t="shared" si="137"/>
        <v>19501056</v>
      </c>
      <c r="G4418" s="7"/>
    </row>
    <row r="4419" spans="1:7" x14ac:dyDescent="0.35">
      <c r="A4419" t="str">
        <f>"2022-11-02"</f>
        <v>2022-11-02</v>
      </c>
      <c r="B4419" t="str">
        <f>"102.4014"</f>
        <v>102.4014</v>
      </c>
      <c r="C4419">
        <v>4417</v>
      </c>
      <c r="D4419" s="7">
        <v>102.4014</v>
      </c>
      <c r="E4419" s="7">
        <f t="shared" si="136"/>
        <v>452306.98379999999</v>
      </c>
      <c r="F4419" s="7">
        <f t="shared" si="137"/>
        <v>19509889</v>
      </c>
      <c r="G4419" s="7"/>
    </row>
    <row r="4420" spans="1:7" x14ac:dyDescent="0.35">
      <c r="A4420" t="str">
        <f>"2022-11-03"</f>
        <v>2022-11-03</v>
      </c>
      <c r="B4420" t="str">
        <f>"104.5265"</f>
        <v>104.5265</v>
      </c>
      <c r="C4420">
        <v>4418</v>
      </c>
      <c r="D4420" s="7">
        <v>104.5265</v>
      </c>
      <c r="E4420" s="7">
        <f t="shared" ref="E4420:E4483" si="138">C4420*D4420</f>
        <v>461798.07699999999</v>
      </c>
      <c r="F4420" s="7">
        <f t="shared" ref="F4420:F4483" si="139">C4420*C4420</f>
        <v>19518724</v>
      </c>
      <c r="G4420" s="7"/>
    </row>
    <row r="4421" spans="1:7" x14ac:dyDescent="0.35">
      <c r="A4421" t="str">
        <f>"2022-11-04"</f>
        <v>2022-11-04</v>
      </c>
      <c r="B4421" t="str">
        <f>"104.1317"</f>
        <v>104.1317</v>
      </c>
      <c r="C4421">
        <v>4419</v>
      </c>
      <c r="D4421" s="7">
        <v>104.1317</v>
      </c>
      <c r="E4421" s="7">
        <f t="shared" si="138"/>
        <v>460157.98229999997</v>
      </c>
      <c r="F4421" s="7">
        <f t="shared" si="139"/>
        <v>19527561</v>
      </c>
      <c r="G4421" s="7"/>
    </row>
    <row r="4422" spans="1:7" x14ac:dyDescent="0.35">
      <c r="A4422" t="str">
        <f>"2022-11-07"</f>
        <v>2022-11-07</v>
      </c>
      <c r="B4422" t="str">
        <f>"106.9266"</f>
        <v>106.9266</v>
      </c>
      <c r="C4422">
        <v>4420</v>
      </c>
      <c r="D4422" s="7">
        <v>106.92659999999999</v>
      </c>
      <c r="E4422" s="7">
        <f t="shared" si="138"/>
        <v>472615.57199999999</v>
      </c>
      <c r="F4422" s="7">
        <f t="shared" si="139"/>
        <v>19536400</v>
      </c>
      <c r="G4422" s="7"/>
    </row>
    <row r="4423" spans="1:7" x14ac:dyDescent="0.35">
      <c r="A4423" t="str">
        <f>"2022-11-08"</f>
        <v>2022-11-08</v>
      </c>
      <c r="B4423" t="str">
        <f>"111.3021"</f>
        <v>111.3021</v>
      </c>
      <c r="C4423">
        <v>4421</v>
      </c>
      <c r="D4423" s="7">
        <v>111.3021</v>
      </c>
      <c r="E4423" s="7">
        <f t="shared" si="138"/>
        <v>492066.58409999998</v>
      </c>
      <c r="F4423" s="7">
        <f t="shared" si="139"/>
        <v>19545241</v>
      </c>
      <c r="G4423" s="7"/>
    </row>
    <row r="4424" spans="1:7" x14ac:dyDescent="0.35">
      <c r="A4424" t="str">
        <f>"2022-11-09"</f>
        <v>2022-11-09</v>
      </c>
      <c r="B4424" t="str">
        <f>"109.4789"</f>
        <v>109.4789</v>
      </c>
      <c r="C4424">
        <v>4422</v>
      </c>
      <c r="D4424" s="7">
        <v>109.4789</v>
      </c>
      <c r="E4424" s="7">
        <f t="shared" si="138"/>
        <v>484115.69579999999</v>
      </c>
      <c r="F4424" s="7">
        <f t="shared" si="139"/>
        <v>19554084</v>
      </c>
      <c r="G4424" s="7"/>
    </row>
    <row r="4425" spans="1:7" x14ac:dyDescent="0.35">
      <c r="A4425" t="str">
        <f>"2022-11-10"</f>
        <v>2022-11-10</v>
      </c>
      <c r="B4425" t="str">
        <f>"108.4292"</f>
        <v>108.4292</v>
      </c>
      <c r="C4425">
        <v>4423</v>
      </c>
      <c r="D4425" s="7">
        <v>108.42919999999999</v>
      </c>
      <c r="E4425" s="7">
        <f t="shared" si="138"/>
        <v>479582.35159999999</v>
      </c>
      <c r="F4425" s="7">
        <f t="shared" si="139"/>
        <v>19562929</v>
      </c>
      <c r="G4425" s="7"/>
    </row>
    <row r="4426" spans="1:7" x14ac:dyDescent="0.35">
      <c r="A4426" t="str">
        <f>"2022-11-11"</f>
        <v>2022-11-11</v>
      </c>
      <c r="B4426" t="str">
        <f>"106.2501"</f>
        <v>106.2501</v>
      </c>
      <c r="C4426">
        <v>4424</v>
      </c>
      <c r="D4426" s="7">
        <v>106.2501</v>
      </c>
      <c r="E4426" s="7">
        <f t="shared" si="138"/>
        <v>470050.4424</v>
      </c>
      <c r="F4426" s="7">
        <f t="shared" si="139"/>
        <v>19571776</v>
      </c>
      <c r="G4426" s="7"/>
    </row>
    <row r="4427" spans="1:7" x14ac:dyDescent="0.35">
      <c r="A4427" t="str">
        <f>"2022-11-14"</f>
        <v>2022-11-14</v>
      </c>
      <c r="B4427" t="str">
        <f>"104.0364"</f>
        <v>104.0364</v>
      </c>
      <c r="C4427">
        <v>4425</v>
      </c>
      <c r="D4427" s="7">
        <v>104.0364</v>
      </c>
      <c r="E4427" s="7">
        <f t="shared" si="138"/>
        <v>460361.07</v>
      </c>
      <c r="F4427" s="7">
        <f t="shared" si="139"/>
        <v>19580625</v>
      </c>
      <c r="G4427" s="7"/>
    </row>
    <row r="4428" spans="1:7" x14ac:dyDescent="0.35">
      <c r="A4428" t="str">
        <f>"2022-11-15"</f>
        <v>2022-11-15</v>
      </c>
      <c r="B4428" t="str">
        <f>"102.8078"</f>
        <v>102.8078</v>
      </c>
      <c r="C4428">
        <v>4426</v>
      </c>
      <c r="D4428" s="7">
        <v>102.8078</v>
      </c>
      <c r="E4428" s="7">
        <f t="shared" si="138"/>
        <v>455027.32280000002</v>
      </c>
      <c r="F4428" s="7">
        <f t="shared" si="139"/>
        <v>19589476</v>
      </c>
      <c r="G4428" s="7"/>
    </row>
    <row r="4429" spans="1:7" x14ac:dyDescent="0.35">
      <c r="A4429" t="str">
        <f>"2022-11-16"</f>
        <v>2022-11-16</v>
      </c>
      <c r="B4429" t="str">
        <f>"98.6142"</f>
        <v>98.6142</v>
      </c>
      <c r="C4429">
        <v>4427</v>
      </c>
      <c r="D4429" s="7">
        <v>98.614199999999997</v>
      </c>
      <c r="E4429" s="7">
        <f t="shared" si="138"/>
        <v>436565.06339999998</v>
      </c>
      <c r="F4429" s="7">
        <f t="shared" si="139"/>
        <v>19598329</v>
      </c>
      <c r="G4429" s="7"/>
    </row>
    <row r="4430" spans="1:7" x14ac:dyDescent="0.35">
      <c r="A4430" t="str">
        <f>"2022-11-17"</f>
        <v>2022-11-17</v>
      </c>
      <c r="B4430" t="str">
        <f>"101.7877"</f>
        <v>101.7877</v>
      </c>
      <c r="C4430">
        <v>4428</v>
      </c>
      <c r="D4430" s="7">
        <v>101.7877</v>
      </c>
      <c r="E4430" s="7">
        <f t="shared" si="138"/>
        <v>450715.93560000003</v>
      </c>
      <c r="F4430" s="7">
        <f t="shared" si="139"/>
        <v>19607184</v>
      </c>
      <c r="G4430" s="7"/>
    </row>
    <row r="4431" spans="1:7" x14ac:dyDescent="0.35">
      <c r="A4431" t="str">
        <f>"2022-11-18"</f>
        <v>2022-11-18</v>
      </c>
      <c r="B4431" t="str">
        <f>"101.7567"</f>
        <v>101.7567</v>
      </c>
      <c r="C4431">
        <v>4429</v>
      </c>
      <c r="D4431" s="7">
        <v>101.7567</v>
      </c>
      <c r="E4431" s="7">
        <f t="shared" si="138"/>
        <v>450680.42429999996</v>
      </c>
      <c r="F4431" s="7">
        <f t="shared" si="139"/>
        <v>19616041</v>
      </c>
      <c r="G4431" s="7"/>
    </row>
    <row r="4432" spans="1:7" x14ac:dyDescent="0.35">
      <c r="A4432" t="str">
        <f>"2022-11-21"</f>
        <v>2022-11-21</v>
      </c>
      <c r="B4432" t="str">
        <f>"102.8326"</f>
        <v>102.8326</v>
      </c>
      <c r="C4432">
        <v>4430</v>
      </c>
      <c r="D4432" s="7">
        <v>102.8326</v>
      </c>
      <c r="E4432" s="7">
        <f t="shared" si="138"/>
        <v>455548.41800000001</v>
      </c>
      <c r="F4432" s="7">
        <f t="shared" si="139"/>
        <v>19624900</v>
      </c>
      <c r="G4432" s="7"/>
    </row>
    <row r="4433" spans="1:7" x14ac:dyDescent="0.35">
      <c r="A4433" t="str">
        <f>"2022-11-22"</f>
        <v>2022-11-22</v>
      </c>
      <c r="B4433" t="str">
        <f>"106.9701"</f>
        <v>106.9701</v>
      </c>
      <c r="C4433">
        <v>4431</v>
      </c>
      <c r="D4433" s="7">
        <v>106.9701</v>
      </c>
      <c r="E4433" s="7">
        <f t="shared" si="138"/>
        <v>473984.51309999998</v>
      </c>
      <c r="F4433" s="7">
        <f t="shared" si="139"/>
        <v>19633761</v>
      </c>
      <c r="G4433" s="7"/>
    </row>
    <row r="4434" spans="1:7" x14ac:dyDescent="0.35">
      <c r="A4434" t="str">
        <f>"2022-11-23"</f>
        <v>2022-11-23</v>
      </c>
      <c r="B4434" t="str">
        <f>"107.7447"</f>
        <v>107.7447</v>
      </c>
      <c r="C4434">
        <v>4432</v>
      </c>
      <c r="D4434" s="7">
        <v>107.74469999999999</v>
      </c>
      <c r="E4434" s="7">
        <f t="shared" si="138"/>
        <v>477524.51039999997</v>
      </c>
      <c r="F4434" s="7">
        <f t="shared" si="139"/>
        <v>19642624</v>
      </c>
      <c r="G4434" s="7"/>
    </row>
    <row r="4435" spans="1:7" x14ac:dyDescent="0.35">
      <c r="A4435" t="str">
        <f>"2022-11-25"</f>
        <v>2022-11-25</v>
      </c>
      <c r="B4435" t="str">
        <f>"108.382"</f>
        <v>108.382</v>
      </c>
      <c r="C4435">
        <v>4433</v>
      </c>
      <c r="D4435" s="7">
        <v>108.38200000000001</v>
      </c>
      <c r="E4435" s="7">
        <f t="shared" si="138"/>
        <v>480457.40600000002</v>
      </c>
      <c r="F4435" s="7">
        <f t="shared" si="139"/>
        <v>19651489</v>
      </c>
      <c r="G4435" s="7"/>
    </row>
    <row r="4436" spans="1:7" x14ac:dyDescent="0.35">
      <c r="A4436" t="str">
        <f>"2022-11-28"</f>
        <v>2022-11-28</v>
      </c>
      <c r="B4436" t="str">
        <f>"110.6344"</f>
        <v>110.6344</v>
      </c>
      <c r="C4436">
        <v>4434</v>
      </c>
      <c r="D4436" s="7">
        <v>110.6344</v>
      </c>
      <c r="E4436" s="7">
        <f t="shared" si="138"/>
        <v>490552.92959999997</v>
      </c>
      <c r="F4436" s="7">
        <f t="shared" si="139"/>
        <v>19660356</v>
      </c>
      <c r="G4436" s="7"/>
    </row>
    <row r="4437" spans="1:7" x14ac:dyDescent="0.35">
      <c r="A4437" t="str">
        <f>"2022-11-29"</f>
        <v>2022-11-29</v>
      </c>
      <c r="B4437" t="str">
        <f>"113.6071"</f>
        <v>113.6071</v>
      </c>
      <c r="C4437">
        <v>4435</v>
      </c>
      <c r="D4437" s="7">
        <v>113.6071</v>
      </c>
      <c r="E4437" s="7">
        <f t="shared" si="138"/>
        <v>503847.48850000004</v>
      </c>
      <c r="F4437" s="7">
        <f t="shared" si="139"/>
        <v>19669225</v>
      </c>
      <c r="G4437" s="7"/>
    </row>
    <row r="4438" spans="1:7" x14ac:dyDescent="0.35">
      <c r="A4438" t="str">
        <f>"2022-11-30"</f>
        <v>2022-11-30</v>
      </c>
      <c r="B4438" t="str">
        <f>"114.684"</f>
        <v>114.684</v>
      </c>
      <c r="C4438">
        <v>4436</v>
      </c>
      <c r="D4438" s="7">
        <v>114.684</v>
      </c>
      <c r="E4438" s="7">
        <f t="shared" si="138"/>
        <v>508738.22399999999</v>
      </c>
      <c r="F4438" s="7">
        <f t="shared" si="139"/>
        <v>19678096</v>
      </c>
      <c r="G4438" s="7"/>
    </row>
    <row r="4439" spans="1:7" x14ac:dyDescent="0.35">
      <c r="A4439" t="str">
        <f>"2022-12-01"</f>
        <v>2022-12-01</v>
      </c>
      <c r="B4439" t="str">
        <f>"115.3132"</f>
        <v>115.3132</v>
      </c>
      <c r="C4439">
        <v>4437</v>
      </c>
      <c r="D4439" s="7">
        <v>115.31319999999999</v>
      </c>
      <c r="E4439" s="7">
        <f t="shared" si="138"/>
        <v>511644.66839999997</v>
      </c>
      <c r="F4439" s="7">
        <f t="shared" si="139"/>
        <v>19686969</v>
      </c>
      <c r="G4439" s="7"/>
    </row>
    <row r="4440" spans="1:7" x14ac:dyDescent="0.35">
      <c r="A4440" t="str">
        <f>"2022-12-02"</f>
        <v>2022-12-02</v>
      </c>
      <c r="B4440" t="str">
        <f>"119.256"</f>
        <v>119.256</v>
      </c>
      <c r="C4440">
        <v>4438</v>
      </c>
      <c r="D4440" s="7">
        <v>119.256</v>
      </c>
      <c r="E4440" s="7">
        <f t="shared" si="138"/>
        <v>529258.12800000003</v>
      </c>
      <c r="F4440" s="7">
        <f t="shared" si="139"/>
        <v>19695844</v>
      </c>
      <c r="G4440" s="7"/>
    </row>
    <row r="4441" spans="1:7" x14ac:dyDescent="0.35">
      <c r="A4441" t="str">
        <f>"2022-12-05"</f>
        <v>2022-12-05</v>
      </c>
      <c r="B4441" t="str">
        <f>"130.9208"</f>
        <v>130.9208</v>
      </c>
      <c r="C4441">
        <v>4439</v>
      </c>
      <c r="D4441" s="7">
        <v>130.92080000000001</v>
      </c>
      <c r="E4441" s="7">
        <f t="shared" si="138"/>
        <v>581157.43120000011</v>
      </c>
      <c r="F4441" s="7">
        <f t="shared" si="139"/>
        <v>19704721</v>
      </c>
      <c r="G4441" s="7"/>
    </row>
    <row r="4442" spans="1:7" x14ac:dyDescent="0.35">
      <c r="A4442" t="str">
        <f>"2022-12-06"</f>
        <v>2022-12-06</v>
      </c>
      <c r="B4442" t="str">
        <f>"127.9913"</f>
        <v>127.9913</v>
      </c>
      <c r="C4442">
        <v>4440</v>
      </c>
      <c r="D4442" s="7">
        <v>127.9913</v>
      </c>
      <c r="E4442" s="7">
        <f t="shared" si="138"/>
        <v>568281.37199999997</v>
      </c>
      <c r="F4442" s="7">
        <f t="shared" si="139"/>
        <v>19713600</v>
      </c>
      <c r="G4442" s="7"/>
    </row>
    <row r="4443" spans="1:7" x14ac:dyDescent="0.35">
      <c r="A4443" t="str">
        <f>"2022-12-07"</f>
        <v>2022-12-07</v>
      </c>
      <c r="B4443" t="str">
        <f>"125.9747"</f>
        <v>125.9747</v>
      </c>
      <c r="C4443">
        <v>4441</v>
      </c>
      <c r="D4443" s="7">
        <v>125.9747</v>
      </c>
      <c r="E4443" s="7">
        <f t="shared" si="138"/>
        <v>559453.64269999997</v>
      </c>
      <c r="F4443" s="7">
        <f t="shared" si="139"/>
        <v>19722481</v>
      </c>
      <c r="G4443" s="7"/>
    </row>
    <row r="4444" spans="1:7" x14ac:dyDescent="0.35">
      <c r="A4444" t="str">
        <f>"2022-12-08"</f>
        <v>2022-12-08</v>
      </c>
      <c r="B4444" t="str">
        <f>"126.4003"</f>
        <v>126.4003</v>
      </c>
      <c r="C4444">
        <v>4442</v>
      </c>
      <c r="D4444" s="7">
        <v>126.4003</v>
      </c>
      <c r="E4444" s="7">
        <f t="shared" si="138"/>
        <v>561470.13260000001</v>
      </c>
      <c r="F4444" s="7">
        <f t="shared" si="139"/>
        <v>19731364</v>
      </c>
      <c r="G4444" s="7"/>
    </row>
    <row r="4445" spans="1:7" x14ac:dyDescent="0.35">
      <c r="A4445" t="str">
        <f>"2022-12-09"</f>
        <v>2022-12-09</v>
      </c>
      <c r="B4445" t="str">
        <f>"130.8588"</f>
        <v>130.8588</v>
      </c>
      <c r="C4445">
        <v>4443</v>
      </c>
      <c r="D4445" s="7">
        <v>130.8588</v>
      </c>
      <c r="E4445" s="7">
        <f t="shared" si="138"/>
        <v>581405.64840000006</v>
      </c>
      <c r="F4445" s="7">
        <f t="shared" si="139"/>
        <v>19740249</v>
      </c>
      <c r="G4445" s="7"/>
    </row>
    <row r="4446" spans="1:7" x14ac:dyDescent="0.35">
      <c r="A4446" t="str">
        <f>"2022-12-12"</f>
        <v>2022-12-12</v>
      </c>
      <c r="B4446" t="str">
        <f>"136.7662"</f>
        <v>136.7662</v>
      </c>
      <c r="C4446">
        <v>4444</v>
      </c>
      <c r="D4446" s="7">
        <v>136.7662</v>
      </c>
      <c r="E4446" s="7">
        <f t="shared" si="138"/>
        <v>607788.99280000001</v>
      </c>
      <c r="F4446" s="7">
        <f t="shared" si="139"/>
        <v>19749136</v>
      </c>
      <c r="G4446" s="7"/>
    </row>
    <row r="4447" spans="1:7" x14ac:dyDescent="0.35">
      <c r="A4447" t="str">
        <f>"2022-12-13"</f>
        <v>2022-12-13</v>
      </c>
      <c r="B4447" t="str">
        <f>"132.6257"</f>
        <v>132.6257</v>
      </c>
      <c r="C4447">
        <v>4445</v>
      </c>
      <c r="D4447" s="7">
        <v>132.62569999999999</v>
      </c>
      <c r="E4447" s="7">
        <f t="shared" si="138"/>
        <v>589521.2365</v>
      </c>
      <c r="F4447" s="7">
        <f t="shared" si="139"/>
        <v>19758025</v>
      </c>
      <c r="G4447" s="7"/>
    </row>
    <row r="4448" spans="1:7" x14ac:dyDescent="0.35">
      <c r="A4448" t="str">
        <f>"2022-12-14"</f>
        <v>2022-12-14</v>
      </c>
      <c r="B4448" t="str">
        <f>"126.5466"</f>
        <v>126.5466</v>
      </c>
      <c r="C4448">
        <v>4446</v>
      </c>
      <c r="D4448" s="7">
        <v>126.5466</v>
      </c>
      <c r="E4448" s="7">
        <f t="shared" si="138"/>
        <v>562626.18359999999</v>
      </c>
      <c r="F4448" s="7">
        <f t="shared" si="139"/>
        <v>19766916</v>
      </c>
      <c r="G4448" s="7"/>
    </row>
    <row r="4449" spans="1:7" x14ac:dyDescent="0.35">
      <c r="A4449" t="str">
        <f>"2022-12-15"</f>
        <v>2022-12-15</v>
      </c>
      <c r="B4449" t="str">
        <f>"131.7701"</f>
        <v>131.7701</v>
      </c>
      <c r="C4449">
        <v>4447</v>
      </c>
      <c r="D4449" s="7">
        <v>131.77010000000001</v>
      </c>
      <c r="E4449" s="7">
        <f t="shared" si="138"/>
        <v>585981.63470000005</v>
      </c>
      <c r="F4449" s="7">
        <f t="shared" si="139"/>
        <v>19775809</v>
      </c>
      <c r="G4449" s="7"/>
    </row>
    <row r="4450" spans="1:7" x14ac:dyDescent="0.35">
      <c r="A4450" t="str">
        <f>"2022-12-16"</f>
        <v>2022-12-16</v>
      </c>
      <c r="B4450" t="str">
        <f>"129.7306"</f>
        <v>129.7306</v>
      </c>
      <c r="C4450">
        <v>4448</v>
      </c>
      <c r="D4450" s="7">
        <v>129.73060000000001</v>
      </c>
      <c r="E4450" s="7">
        <f t="shared" si="138"/>
        <v>577041.70880000002</v>
      </c>
      <c r="F4450" s="7">
        <f t="shared" si="139"/>
        <v>19784704</v>
      </c>
      <c r="G4450" s="7"/>
    </row>
    <row r="4451" spans="1:7" x14ac:dyDescent="0.35">
      <c r="A4451" t="str">
        <f>"2022-12-19"</f>
        <v>2022-12-19</v>
      </c>
      <c r="B4451" t="str">
        <f>"133.8793"</f>
        <v>133.8793</v>
      </c>
      <c r="C4451">
        <v>4449</v>
      </c>
      <c r="D4451" s="7">
        <v>133.8793</v>
      </c>
      <c r="E4451" s="7">
        <f t="shared" si="138"/>
        <v>595629.00569999998</v>
      </c>
      <c r="F4451" s="7">
        <f t="shared" si="139"/>
        <v>19793601</v>
      </c>
      <c r="G4451" s="7"/>
    </row>
    <row r="4452" spans="1:7" x14ac:dyDescent="0.35">
      <c r="A4452" t="str">
        <f>"2022-12-20"</f>
        <v>2022-12-20</v>
      </c>
      <c r="B4452" t="str">
        <f>"134.0311"</f>
        <v>134.0311</v>
      </c>
      <c r="C4452">
        <v>4450</v>
      </c>
      <c r="D4452" s="7">
        <v>134.03110000000001</v>
      </c>
      <c r="E4452" s="7">
        <f t="shared" si="138"/>
        <v>596438.39500000002</v>
      </c>
      <c r="F4452" s="7">
        <f t="shared" si="139"/>
        <v>19802500</v>
      </c>
      <c r="G4452" s="7"/>
    </row>
    <row r="4453" spans="1:7" x14ac:dyDescent="0.35">
      <c r="A4453" t="str">
        <f>"2022-12-21"</f>
        <v>2022-12-21</v>
      </c>
      <c r="B4453" t="str">
        <f>"131.3352"</f>
        <v>131.3352</v>
      </c>
      <c r="C4453">
        <v>4451</v>
      </c>
      <c r="D4453" s="7">
        <v>131.33519999999999</v>
      </c>
      <c r="E4453" s="7">
        <f t="shared" si="138"/>
        <v>584572.97519999999</v>
      </c>
      <c r="F4453" s="7">
        <f t="shared" si="139"/>
        <v>19811401</v>
      </c>
      <c r="G4453" s="7"/>
    </row>
    <row r="4454" spans="1:7" x14ac:dyDescent="0.35">
      <c r="A4454" t="str">
        <f>"2022-12-22"</f>
        <v>2022-12-22</v>
      </c>
      <c r="B4454" t="str">
        <f>"132.5831"</f>
        <v>132.5831</v>
      </c>
      <c r="C4454">
        <v>4452</v>
      </c>
      <c r="D4454" s="7">
        <v>132.5831</v>
      </c>
      <c r="E4454" s="7">
        <f t="shared" si="138"/>
        <v>590259.96120000002</v>
      </c>
      <c r="F4454" s="7">
        <f t="shared" si="139"/>
        <v>19820304</v>
      </c>
      <c r="G4454" s="7"/>
    </row>
    <row r="4455" spans="1:7" x14ac:dyDescent="0.35">
      <c r="A4455" t="str">
        <f>"2022-12-23"</f>
        <v>2022-12-23</v>
      </c>
      <c r="B4455" t="str">
        <f>"131.543"</f>
        <v>131.543</v>
      </c>
      <c r="C4455">
        <v>4453</v>
      </c>
      <c r="D4455" s="7">
        <v>131.54300000000001</v>
      </c>
      <c r="E4455" s="7">
        <f t="shared" si="138"/>
        <v>585760.97900000005</v>
      </c>
      <c r="F4455" s="7">
        <f t="shared" si="139"/>
        <v>19829209</v>
      </c>
      <c r="G4455" s="7"/>
    </row>
    <row r="4456" spans="1:7" x14ac:dyDescent="0.35">
      <c r="A4456" t="str">
        <f>"2022-12-27"</f>
        <v>2022-12-27</v>
      </c>
      <c r="B4456" t="str">
        <f>"131.4568"</f>
        <v>131.4568</v>
      </c>
      <c r="C4456">
        <v>4454</v>
      </c>
      <c r="D4456" s="7">
        <v>131.45679999999999</v>
      </c>
      <c r="E4456" s="7">
        <f t="shared" si="138"/>
        <v>585508.58719999995</v>
      </c>
      <c r="F4456" s="7">
        <f t="shared" si="139"/>
        <v>19838116</v>
      </c>
      <c r="G4456" s="7"/>
    </row>
    <row r="4457" spans="1:7" x14ac:dyDescent="0.35">
      <c r="A4457" t="str">
        <f>"2022-12-28"</f>
        <v>2022-12-28</v>
      </c>
      <c r="B4457" t="str">
        <f>"129.1907"</f>
        <v>129.1907</v>
      </c>
      <c r="C4457">
        <v>4455</v>
      </c>
      <c r="D4457" s="7">
        <v>129.19069999999999</v>
      </c>
      <c r="E4457" s="7">
        <f t="shared" si="138"/>
        <v>575544.56849999994</v>
      </c>
      <c r="F4457" s="7">
        <f t="shared" si="139"/>
        <v>19847025</v>
      </c>
      <c r="G4457" s="7"/>
    </row>
    <row r="4458" spans="1:7" x14ac:dyDescent="0.35">
      <c r="A4458" t="str">
        <f>"2022-12-29"</f>
        <v>2022-12-29</v>
      </c>
      <c r="B4458" t="str">
        <f>"130.127"</f>
        <v>130.127</v>
      </c>
      <c r="C4458">
        <v>4456</v>
      </c>
      <c r="D4458" s="7">
        <v>130.12700000000001</v>
      </c>
      <c r="E4458" s="7">
        <f t="shared" si="138"/>
        <v>579845.91200000001</v>
      </c>
      <c r="F4458" s="7">
        <f t="shared" si="139"/>
        <v>19855936</v>
      </c>
      <c r="G4458" s="7"/>
    </row>
    <row r="4459" spans="1:7" x14ac:dyDescent="0.35">
      <c r="A4459" t="str">
        <f>"2022-12-30"</f>
        <v>2022-12-30</v>
      </c>
      <c r="B4459" t="str">
        <f>"128.7684"</f>
        <v>128.7684</v>
      </c>
      <c r="C4459">
        <v>4457</v>
      </c>
      <c r="D4459" s="7">
        <v>128.76840000000001</v>
      </c>
      <c r="E4459" s="7">
        <f t="shared" si="138"/>
        <v>573920.75880000007</v>
      </c>
      <c r="F4459" s="7">
        <f t="shared" si="139"/>
        <v>19864849</v>
      </c>
      <c r="G4459" s="7"/>
    </row>
    <row r="4460" spans="1:7" x14ac:dyDescent="0.35">
      <c r="A4460" t="str">
        <f>"2023-01-03"</f>
        <v>2023-01-03</v>
      </c>
      <c r="B4460" t="str">
        <f>"132.9578"</f>
        <v>132.9578</v>
      </c>
      <c r="C4460">
        <v>4458</v>
      </c>
      <c r="D4460" s="7">
        <v>132.95779999999999</v>
      </c>
      <c r="E4460" s="7">
        <f t="shared" si="138"/>
        <v>592725.87239999999</v>
      </c>
      <c r="F4460" s="7">
        <f t="shared" si="139"/>
        <v>19873764</v>
      </c>
      <c r="G4460" s="7"/>
    </row>
    <row r="4461" spans="1:7" x14ac:dyDescent="0.35">
      <c r="A4461" t="str">
        <f>"2023-01-04"</f>
        <v>2023-01-04</v>
      </c>
      <c r="B4461" t="str">
        <f>"129.6724"</f>
        <v>129.6724</v>
      </c>
      <c r="C4461">
        <v>4459</v>
      </c>
      <c r="D4461" s="7">
        <v>129.67240000000001</v>
      </c>
      <c r="E4461" s="7">
        <f t="shared" si="138"/>
        <v>578209.23160000006</v>
      </c>
      <c r="F4461" s="7">
        <f t="shared" si="139"/>
        <v>19882681</v>
      </c>
      <c r="G4461" s="7"/>
    </row>
    <row r="4462" spans="1:7" x14ac:dyDescent="0.35">
      <c r="A4462" t="str">
        <f>"2023-01-05"</f>
        <v>2023-01-05</v>
      </c>
      <c r="B4462" t="str">
        <f>"128.2983"</f>
        <v>128.2983</v>
      </c>
      <c r="C4462">
        <v>4460</v>
      </c>
      <c r="D4462" s="7">
        <v>128.29830000000001</v>
      </c>
      <c r="E4462" s="7">
        <f t="shared" si="138"/>
        <v>572210.41800000006</v>
      </c>
      <c r="F4462" s="7">
        <f t="shared" si="139"/>
        <v>19891600</v>
      </c>
      <c r="G4462" s="7"/>
    </row>
    <row r="4463" spans="1:7" x14ac:dyDescent="0.35">
      <c r="A4463" t="str">
        <f>"2023-01-06"</f>
        <v>2023-01-06</v>
      </c>
      <c r="B4463" t="str">
        <f>"126.6911"</f>
        <v>126.6911</v>
      </c>
      <c r="C4463">
        <v>4461</v>
      </c>
      <c r="D4463" s="7">
        <v>126.69110000000001</v>
      </c>
      <c r="E4463" s="7">
        <f t="shared" si="138"/>
        <v>565168.99710000004</v>
      </c>
      <c r="F4463" s="7">
        <f t="shared" si="139"/>
        <v>19900521</v>
      </c>
      <c r="G4463" s="7"/>
    </row>
    <row r="4464" spans="1:7" x14ac:dyDescent="0.35">
      <c r="A4464" t="str">
        <f>"2023-01-09"</f>
        <v>2023-01-09</v>
      </c>
      <c r="B4464" t="str">
        <f>"122.4751"</f>
        <v>122.4751</v>
      </c>
      <c r="C4464">
        <v>4462</v>
      </c>
      <c r="D4464" s="7">
        <v>122.4751</v>
      </c>
      <c r="E4464" s="7">
        <f t="shared" si="138"/>
        <v>546483.89619999996</v>
      </c>
      <c r="F4464" s="7">
        <f t="shared" si="139"/>
        <v>19909444</v>
      </c>
      <c r="G4464" s="7"/>
    </row>
    <row r="4465" spans="1:7" x14ac:dyDescent="0.35">
      <c r="A4465" t="str">
        <f>"2023-01-10"</f>
        <v>2023-01-10</v>
      </c>
      <c r="B4465" t="str">
        <f>"116.2337"</f>
        <v>116.2337</v>
      </c>
      <c r="C4465">
        <v>4463</v>
      </c>
      <c r="D4465" s="7">
        <v>116.2337</v>
      </c>
      <c r="E4465" s="7">
        <f t="shared" si="138"/>
        <v>518751.00309999997</v>
      </c>
      <c r="F4465" s="7">
        <f t="shared" si="139"/>
        <v>19918369</v>
      </c>
      <c r="G4465" s="7"/>
    </row>
    <row r="4466" spans="1:7" x14ac:dyDescent="0.35">
      <c r="A4466" t="str">
        <f>"2023-01-11"</f>
        <v>2023-01-11</v>
      </c>
      <c r="B4466" t="str">
        <f>"110.8529"</f>
        <v>110.8529</v>
      </c>
      <c r="C4466">
        <v>4464</v>
      </c>
      <c r="D4466" s="7">
        <v>110.85290000000001</v>
      </c>
      <c r="E4466" s="7">
        <f t="shared" si="138"/>
        <v>494847.3456</v>
      </c>
      <c r="F4466" s="7">
        <f t="shared" si="139"/>
        <v>19927296</v>
      </c>
      <c r="G4466" s="7"/>
    </row>
    <row r="4467" spans="1:7" x14ac:dyDescent="0.35">
      <c r="A4467" t="str">
        <f>"2023-01-12"</f>
        <v>2023-01-12</v>
      </c>
      <c r="B4467" t="str">
        <f>"118.6977"</f>
        <v>118.6977</v>
      </c>
      <c r="C4467">
        <v>4465</v>
      </c>
      <c r="D4467" s="7">
        <v>118.6977</v>
      </c>
      <c r="E4467" s="7">
        <f t="shared" si="138"/>
        <v>529985.23049999995</v>
      </c>
      <c r="F4467" s="7">
        <f t="shared" si="139"/>
        <v>19936225</v>
      </c>
      <c r="G4467" s="7"/>
    </row>
    <row r="4468" spans="1:7" x14ac:dyDescent="0.35">
      <c r="A4468" t="str">
        <f>"2023-01-13"</f>
        <v>2023-01-13</v>
      </c>
      <c r="B4468" t="str">
        <f>"116.298"</f>
        <v>116.298</v>
      </c>
      <c r="C4468">
        <v>4466</v>
      </c>
      <c r="D4468" s="7">
        <v>116.298</v>
      </c>
      <c r="E4468" s="7">
        <f t="shared" si="138"/>
        <v>519386.86800000002</v>
      </c>
      <c r="F4468" s="7">
        <f t="shared" si="139"/>
        <v>19945156</v>
      </c>
      <c r="G4468" s="7"/>
    </row>
    <row r="4469" spans="1:7" x14ac:dyDescent="0.35">
      <c r="A4469" t="str">
        <f>"2023-01-17"</f>
        <v>2023-01-17</v>
      </c>
      <c r="B4469" t="str">
        <f>"128.0077"</f>
        <v>128.0077</v>
      </c>
      <c r="C4469">
        <v>4467</v>
      </c>
      <c r="D4469" s="7">
        <v>128.0077</v>
      </c>
      <c r="E4469" s="7">
        <f t="shared" si="138"/>
        <v>571810.3959</v>
      </c>
      <c r="F4469" s="7">
        <f t="shared" si="139"/>
        <v>19954089</v>
      </c>
      <c r="G4469" s="7"/>
    </row>
    <row r="4470" spans="1:7" x14ac:dyDescent="0.35">
      <c r="A4470" t="str">
        <f>"2023-01-18"</f>
        <v>2023-01-18</v>
      </c>
      <c r="B4470" t="str">
        <f>"129.8574"</f>
        <v>129.8574</v>
      </c>
      <c r="C4470">
        <v>4468</v>
      </c>
      <c r="D4470" s="7">
        <v>129.85740000000001</v>
      </c>
      <c r="E4470" s="7">
        <f t="shared" si="138"/>
        <v>580202.86320000002</v>
      </c>
      <c r="F4470" s="7">
        <f t="shared" si="139"/>
        <v>19963024</v>
      </c>
      <c r="G4470" s="7"/>
    </row>
    <row r="4471" spans="1:7" x14ac:dyDescent="0.35">
      <c r="A4471" t="str">
        <f>"2023-01-19"</f>
        <v>2023-01-19</v>
      </c>
      <c r="B4471" t="str">
        <f>"133.3337"</f>
        <v>133.3337</v>
      </c>
      <c r="C4471">
        <v>4469</v>
      </c>
      <c r="D4471" s="7">
        <v>133.33369999999999</v>
      </c>
      <c r="E4471" s="7">
        <f t="shared" si="138"/>
        <v>595868.30530000001</v>
      </c>
      <c r="F4471" s="7">
        <f t="shared" si="139"/>
        <v>19971961</v>
      </c>
      <c r="G4471" s="7"/>
    </row>
    <row r="4472" spans="1:7" x14ac:dyDescent="0.35">
      <c r="A4472" t="str">
        <f>"2023-01-20"</f>
        <v>2023-01-20</v>
      </c>
      <c r="B4472" t="str">
        <f>"131.3654"</f>
        <v>131.3654</v>
      </c>
      <c r="C4472">
        <v>4470</v>
      </c>
      <c r="D4472" s="7">
        <v>131.36539999999999</v>
      </c>
      <c r="E4472" s="7">
        <f t="shared" si="138"/>
        <v>587203.33799999999</v>
      </c>
      <c r="F4472" s="7">
        <f t="shared" si="139"/>
        <v>19980900</v>
      </c>
      <c r="G4472" s="7"/>
    </row>
    <row r="4473" spans="1:7" x14ac:dyDescent="0.35">
      <c r="A4473" t="str">
        <f>"2023-01-23"</f>
        <v>2023-01-23</v>
      </c>
      <c r="B4473" t="str">
        <f>"129.8532"</f>
        <v>129.8532</v>
      </c>
      <c r="C4473">
        <v>4471</v>
      </c>
      <c r="D4473" s="7">
        <v>129.85319999999999</v>
      </c>
      <c r="E4473" s="7">
        <f t="shared" si="138"/>
        <v>580573.6571999999</v>
      </c>
      <c r="F4473" s="7">
        <f t="shared" si="139"/>
        <v>19989841</v>
      </c>
      <c r="G4473" s="7"/>
    </row>
    <row r="4474" spans="1:7" x14ac:dyDescent="0.35">
      <c r="A4474" t="str">
        <f>"2023-01-24"</f>
        <v>2023-01-24</v>
      </c>
      <c r="B4474" t="str">
        <f>"128.6201"</f>
        <v>128.6201</v>
      </c>
      <c r="C4474">
        <v>4472</v>
      </c>
      <c r="D4474" s="7">
        <v>128.62010000000001</v>
      </c>
      <c r="E4474" s="7">
        <f t="shared" si="138"/>
        <v>575189.08720000007</v>
      </c>
      <c r="F4474" s="7">
        <f t="shared" si="139"/>
        <v>19998784</v>
      </c>
      <c r="G4474" s="7"/>
    </row>
    <row r="4475" spans="1:7" x14ac:dyDescent="0.35">
      <c r="A4475" t="str">
        <f>"2023-01-25"</f>
        <v>2023-01-25</v>
      </c>
      <c r="B4475" t="str">
        <f>"129.4086"</f>
        <v>129.4086</v>
      </c>
      <c r="C4475">
        <v>4473</v>
      </c>
      <c r="D4475" s="7">
        <v>129.40860000000001</v>
      </c>
      <c r="E4475" s="7">
        <f t="shared" si="138"/>
        <v>578844.66780000005</v>
      </c>
      <c r="F4475" s="7">
        <f t="shared" si="139"/>
        <v>20007729</v>
      </c>
      <c r="G4475" s="7"/>
    </row>
    <row r="4476" spans="1:7" x14ac:dyDescent="0.35">
      <c r="A4476" t="str">
        <f>"2023-01-26"</f>
        <v>2023-01-26</v>
      </c>
      <c r="B4476" t="str">
        <f>"128.7876"</f>
        <v>128.7876</v>
      </c>
      <c r="C4476">
        <v>4474</v>
      </c>
      <c r="D4476" s="7">
        <v>128.7876</v>
      </c>
      <c r="E4476" s="7">
        <f t="shared" si="138"/>
        <v>576195.72239999997</v>
      </c>
      <c r="F4476" s="7">
        <f t="shared" si="139"/>
        <v>20016676</v>
      </c>
      <c r="G4476" s="7"/>
    </row>
    <row r="4477" spans="1:7" x14ac:dyDescent="0.35">
      <c r="A4477" t="str">
        <f>"2023-01-27"</f>
        <v>2023-01-27</v>
      </c>
      <c r="B4477" t="str">
        <f>"128.4336"</f>
        <v>128.4336</v>
      </c>
      <c r="C4477">
        <v>4475</v>
      </c>
      <c r="D4477" s="7">
        <v>128.43360000000001</v>
      </c>
      <c r="E4477" s="7">
        <f t="shared" si="138"/>
        <v>574740.3600000001</v>
      </c>
      <c r="F4477" s="7">
        <f t="shared" si="139"/>
        <v>20025625</v>
      </c>
      <c r="G4477" s="7"/>
    </row>
    <row r="4478" spans="1:7" x14ac:dyDescent="0.35">
      <c r="A4478" t="str">
        <f>"2023-01-30"</f>
        <v>2023-01-30</v>
      </c>
      <c r="B4478" t="str">
        <f>"124.5936"</f>
        <v>124.5936</v>
      </c>
      <c r="C4478">
        <v>4476</v>
      </c>
      <c r="D4478" s="7">
        <v>124.5936</v>
      </c>
      <c r="E4478" s="7">
        <f t="shared" si="138"/>
        <v>557680.95360000001</v>
      </c>
      <c r="F4478" s="7">
        <f t="shared" si="139"/>
        <v>20034576</v>
      </c>
      <c r="G4478" s="7"/>
    </row>
    <row r="4479" spans="1:7" x14ac:dyDescent="0.35">
      <c r="A4479" t="str">
        <f>"2023-01-31"</f>
        <v>2023-01-31</v>
      </c>
      <c r="B4479" t="str">
        <f>"117.9343"</f>
        <v>117.9343</v>
      </c>
      <c r="C4479">
        <v>4477</v>
      </c>
      <c r="D4479" s="7">
        <v>117.93429999999999</v>
      </c>
      <c r="E4479" s="7">
        <f t="shared" si="138"/>
        <v>527991.86109999998</v>
      </c>
      <c r="F4479" s="7">
        <f t="shared" si="139"/>
        <v>20043529</v>
      </c>
      <c r="G4479" s="7"/>
    </row>
    <row r="4480" spans="1:7" x14ac:dyDescent="0.35">
      <c r="A4480" t="str">
        <f>"2023-02-01"</f>
        <v>2023-02-01</v>
      </c>
      <c r="B4480" t="str">
        <f>"112.2289"</f>
        <v>112.2289</v>
      </c>
      <c r="C4480">
        <v>4478</v>
      </c>
      <c r="D4480" s="7">
        <v>112.2289</v>
      </c>
      <c r="E4480" s="7">
        <f t="shared" si="138"/>
        <v>502561.01419999998</v>
      </c>
      <c r="F4480" s="7">
        <f t="shared" si="139"/>
        <v>20052484</v>
      </c>
      <c r="G4480" s="7"/>
    </row>
    <row r="4481" spans="1:7" x14ac:dyDescent="0.35">
      <c r="A4481" t="str">
        <f>"2023-02-02"</f>
        <v>2023-02-02</v>
      </c>
      <c r="B4481" t="str">
        <f>"116.1612"</f>
        <v>116.1612</v>
      </c>
      <c r="C4481">
        <v>4479</v>
      </c>
      <c r="D4481" s="7">
        <v>116.16119999999999</v>
      </c>
      <c r="E4481" s="7">
        <f t="shared" si="138"/>
        <v>520286.01479999995</v>
      </c>
      <c r="F4481" s="7">
        <f t="shared" si="139"/>
        <v>20061441</v>
      </c>
      <c r="G4481" s="7"/>
    </row>
    <row r="4482" spans="1:7" x14ac:dyDescent="0.35">
      <c r="A4482" t="str">
        <f>"2023-02-03"</f>
        <v>2023-02-03</v>
      </c>
      <c r="B4482" t="str">
        <f>"126.6965"</f>
        <v>126.6965</v>
      </c>
      <c r="C4482">
        <v>4480</v>
      </c>
      <c r="D4482" s="7">
        <v>126.6965</v>
      </c>
      <c r="E4482" s="7">
        <f t="shared" si="138"/>
        <v>567600.31999999995</v>
      </c>
      <c r="F4482" s="7">
        <f t="shared" si="139"/>
        <v>20070400</v>
      </c>
      <c r="G4482" s="7"/>
    </row>
    <row r="4483" spans="1:7" x14ac:dyDescent="0.35">
      <c r="A4483" t="str">
        <f>"2023-02-06"</f>
        <v>2023-02-06</v>
      </c>
      <c r="B4483" t="str">
        <f>"123.8587"</f>
        <v>123.8587</v>
      </c>
      <c r="C4483">
        <v>4481</v>
      </c>
      <c r="D4483" s="7">
        <v>123.8587</v>
      </c>
      <c r="E4483" s="7">
        <f t="shared" si="138"/>
        <v>555010.83470000001</v>
      </c>
      <c r="F4483" s="7">
        <f t="shared" si="139"/>
        <v>20079361</v>
      </c>
      <c r="G4483" s="7"/>
    </row>
    <row r="4484" spans="1:7" x14ac:dyDescent="0.35">
      <c r="A4484" t="str">
        <f>"2023-02-07"</f>
        <v>2023-02-07</v>
      </c>
      <c r="B4484" t="str">
        <f>"112.2614"</f>
        <v>112.2614</v>
      </c>
      <c r="C4484">
        <v>4482</v>
      </c>
      <c r="D4484" s="7">
        <v>112.26139999999999</v>
      </c>
      <c r="E4484" s="7">
        <f t="shared" ref="E4484:E4547" si="140">C4484*D4484</f>
        <v>503155.59479999996</v>
      </c>
      <c r="F4484" s="7">
        <f t="shared" ref="F4484:F4547" si="141">C4484*C4484</f>
        <v>20088324</v>
      </c>
      <c r="G4484" s="7"/>
    </row>
    <row r="4485" spans="1:7" x14ac:dyDescent="0.35">
      <c r="A4485" t="str">
        <f>"2023-02-08"</f>
        <v>2023-02-08</v>
      </c>
      <c r="B4485" t="str">
        <f>"101.1726"</f>
        <v>101.1726</v>
      </c>
      <c r="C4485">
        <v>4483</v>
      </c>
      <c r="D4485" s="7">
        <v>101.1726</v>
      </c>
      <c r="E4485" s="7">
        <f t="shared" si="140"/>
        <v>453556.76579999999</v>
      </c>
      <c r="F4485" s="7">
        <f t="shared" si="141"/>
        <v>20097289</v>
      </c>
      <c r="G4485" s="7"/>
    </row>
    <row r="4486" spans="1:7" x14ac:dyDescent="0.35">
      <c r="A4486" t="str">
        <f>"2023-02-15"</f>
        <v>2023-02-15</v>
      </c>
      <c r="B4486" t="str">
        <f>"125.895"</f>
        <v>125.895</v>
      </c>
      <c r="C4486">
        <v>4484</v>
      </c>
      <c r="D4486" s="7">
        <v>125.895</v>
      </c>
      <c r="E4486" s="7">
        <f t="shared" si="140"/>
        <v>564513.17999999993</v>
      </c>
      <c r="F4486" s="7">
        <f t="shared" si="141"/>
        <v>20106256</v>
      </c>
      <c r="G4486" s="7"/>
    </row>
    <row r="4487" spans="1:7" x14ac:dyDescent="0.35">
      <c r="A4487" t="str">
        <f>"2023-02-16"</f>
        <v>2023-02-16</v>
      </c>
      <c r="B4487" t="str">
        <f>"125.4086"</f>
        <v>125.4086</v>
      </c>
      <c r="C4487">
        <v>4485</v>
      </c>
      <c r="D4487" s="7">
        <v>125.40860000000001</v>
      </c>
      <c r="E4487" s="7">
        <f t="shared" si="140"/>
        <v>562457.571</v>
      </c>
      <c r="F4487" s="7">
        <f t="shared" si="141"/>
        <v>20115225</v>
      </c>
      <c r="G4487" s="7"/>
    </row>
    <row r="4488" spans="1:7" x14ac:dyDescent="0.35">
      <c r="A4488" t="str">
        <f>"2023-02-17"</f>
        <v>2023-02-17</v>
      </c>
      <c r="B4488" t="str">
        <f>"126.6534"</f>
        <v>126.6534</v>
      </c>
      <c r="C4488">
        <v>4486</v>
      </c>
      <c r="D4488" s="7">
        <v>126.6534</v>
      </c>
      <c r="E4488" s="7">
        <f t="shared" si="140"/>
        <v>568167.15240000002</v>
      </c>
      <c r="F4488" s="7">
        <f t="shared" si="141"/>
        <v>20124196</v>
      </c>
      <c r="G4488" s="7"/>
    </row>
    <row r="4489" spans="1:7" x14ac:dyDescent="0.35">
      <c r="A4489" t="str">
        <f>"2023-02-21"</f>
        <v>2023-02-21</v>
      </c>
      <c r="B4489" t="str">
        <f>"123.6879"</f>
        <v>123.6879</v>
      </c>
      <c r="C4489">
        <v>4487</v>
      </c>
      <c r="D4489" s="7">
        <v>123.6879</v>
      </c>
      <c r="E4489" s="7">
        <f t="shared" si="140"/>
        <v>554987.60730000003</v>
      </c>
      <c r="F4489" s="7">
        <f t="shared" si="141"/>
        <v>20133169</v>
      </c>
      <c r="G4489" s="7"/>
    </row>
    <row r="4490" spans="1:7" x14ac:dyDescent="0.35">
      <c r="A4490" t="str">
        <f>"2023-02-22"</f>
        <v>2023-02-22</v>
      </c>
      <c r="B4490" t="str">
        <f>"122.7706"</f>
        <v>122.7706</v>
      </c>
      <c r="C4490">
        <v>4488</v>
      </c>
      <c r="D4490" s="7">
        <v>122.7706</v>
      </c>
      <c r="E4490" s="7">
        <f t="shared" si="140"/>
        <v>550994.45279999997</v>
      </c>
      <c r="F4490" s="7">
        <f t="shared" si="141"/>
        <v>20142144</v>
      </c>
      <c r="G4490" s="7"/>
    </row>
    <row r="4491" spans="1:7" x14ac:dyDescent="0.35">
      <c r="A4491" t="str">
        <f>"2023-02-23"</f>
        <v>2023-02-23</v>
      </c>
      <c r="B4491" t="str">
        <f>"123.8154"</f>
        <v>123.8154</v>
      </c>
      <c r="C4491">
        <v>4489</v>
      </c>
      <c r="D4491" s="7">
        <v>123.8154</v>
      </c>
      <c r="E4491" s="7">
        <f t="shared" si="140"/>
        <v>555807.33059999999</v>
      </c>
      <c r="F4491" s="7">
        <f t="shared" si="141"/>
        <v>20151121</v>
      </c>
      <c r="G4491" s="7"/>
    </row>
    <row r="4492" spans="1:7" x14ac:dyDescent="0.35">
      <c r="A4492" t="str">
        <f>"2023-02-24"</f>
        <v>2023-02-24</v>
      </c>
      <c r="B4492" t="str">
        <f>"123.0668"</f>
        <v>123.0668</v>
      </c>
      <c r="C4492">
        <v>4490</v>
      </c>
      <c r="D4492" s="7">
        <v>123.0668</v>
      </c>
      <c r="E4492" s="7">
        <f t="shared" si="140"/>
        <v>552569.93200000003</v>
      </c>
      <c r="F4492" s="7">
        <f t="shared" si="141"/>
        <v>20160100</v>
      </c>
      <c r="G4492" s="7"/>
    </row>
    <row r="4493" spans="1:7" x14ac:dyDescent="0.35">
      <c r="A4493" t="str">
        <f>"2023-02-27"</f>
        <v>2023-02-27</v>
      </c>
      <c r="B4493" t="str">
        <f>"130.0035"</f>
        <v>130.0035</v>
      </c>
      <c r="C4493">
        <v>4491</v>
      </c>
      <c r="D4493" s="7">
        <v>130.0035</v>
      </c>
      <c r="E4493" s="7">
        <f t="shared" si="140"/>
        <v>583845.71849999996</v>
      </c>
      <c r="F4493" s="7">
        <f t="shared" si="141"/>
        <v>20169081</v>
      </c>
      <c r="G4493" s="7"/>
    </row>
    <row r="4494" spans="1:7" x14ac:dyDescent="0.35">
      <c r="A4494" t="str">
        <f>"2023-02-28"</f>
        <v>2023-02-28</v>
      </c>
      <c r="B4494" t="str">
        <f>"129.3228"</f>
        <v>129.3228</v>
      </c>
      <c r="C4494">
        <v>4492</v>
      </c>
      <c r="D4494" s="7">
        <v>129.3228</v>
      </c>
      <c r="E4494" s="7">
        <f t="shared" si="140"/>
        <v>580918.01760000002</v>
      </c>
      <c r="F4494" s="7">
        <f t="shared" si="141"/>
        <v>20178064</v>
      </c>
      <c r="G4494" s="7"/>
    </row>
    <row r="4495" spans="1:7" x14ac:dyDescent="0.35">
      <c r="A4495" t="str">
        <f>"2023-03-01"</f>
        <v>2023-03-01</v>
      </c>
      <c r="B4495" t="str">
        <f>"132.2116"</f>
        <v>132.2116</v>
      </c>
      <c r="C4495">
        <v>4493</v>
      </c>
      <c r="D4495" s="7">
        <v>132.2116</v>
      </c>
      <c r="E4495" s="7">
        <f t="shared" si="140"/>
        <v>594026.71880000003</v>
      </c>
      <c r="F4495" s="7">
        <f t="shared" si="141"/>
        <v>20187049</v>
      </c>
      <c r="G4495" s="7"/>
    </row>
    <row r="4496" spans="1:7" x14ac:dyDescent="0.35">
      <c r="A4496" t="str">
        <f>"2023-03-02"</f>
        <v>2023-03-02</v>
      </c>
      <c r="B4496" t="str">
        <f>"127.5665"</f>
        <v>127.5665</v>
      </c>
      <c r="C4496">
        <v>4494</v>
      </c>
      <c r="D4496" s="7">
        <v>127.5665</v>
      </c>
      <c r="E4496" s="7">
        <f t="shared" si="140"/>
        <v>573283.85100000002</v>
      </c>
      <c r="F4496" s="7">
        <f t="shared" si="141"/>
        <v>20196036</v>
      </c>
      <c r="G4496" s="7"/>
    </row>
    <row r="4497" spans="1:7" x14ac:dyDescent="0.35">
      <c r="A4497" t="str">
        <f>"2023-03-03"</f>
        <v>2023-03-03</v>
      </c>
      <c r="B4497" t="str">
        <f>"123.6292"</f>
        <v>123.6292</v>
      </c>
      <c r="C4497">
        <v>4495</v>
      </c>
      <c r="D4497" s="7">
        <v>123.6292</v>
      </c>
      <c r="E4497" s="7">
        <f t="shared" si="140"/>
        <v>555713.25399999996</v>
      </c>
      <c r="F4497" s="7">
        <f t="shared" si="141"/>
        <v>20205025</v>
      </c>
      <c r="G4497" s="7"/>
    </row>
    <row r="4498" spans="1:7" x14ac:dyDescent="0.35">
      <c r="A4498" t="str">
        <f>"2023-03-06"</f>
        <v>2023-03-06</v>
      </c>
      <c r="B4498" t="str">
        <f>"126.9059"</f>
        <v>126.9059</v>
      </c>
      <c r="C4498">
        <v>4496</v>
      </c>
      <c r="D4498" s="7">
        <v>126.9059</v>
      </c>
      <c r="E4498" s="7">
        <f t="shared" si="140"/>
        <v>570568.9264</v>
      </c>
      <c r="F4498" s="7">
        <f t="shared" si="141"/>
        <v>20214016</v>
      </c>
      <c r="G4498" s="7"/>
    </row>
    <row r="4499" spans="1:7" x14ac:dyDescent="0.35">
      <c r="A4499" t="str">
        <f>"2023-03-07"</f>
        <v>2023-03-07</v>
      </c>
      <c r="B4499" t="str">
        <f>"128.1285"</f>
        <v>128.1285</v>
      </c>
      <c r="C4499">
        <v>4497</v>
      </c>
      <c r="D4499" s="7">
        <v>128.1285</v>
      </c>
      <c r="E4499" s="7">
        <f t="shared" si="140"/>
        <v>576193.86450000003</v>
      </c>
      <c r="F4499" s="7">
        <f t="shared" si="141"/>
        <v>20223009</v>
      </c>
      <c r="G4499" s="7"/>
    </row>
    <row r="4500" spans="1:7" x14ac:dyDescent="0.35">
      <c r="A4500" t="str">
        <f>"2023-03-08"</f>
        <v>2023-03-08</v>
      </c>
      <c r="B4500" t="str">
        <f>"127.0703"</f>
        <v>127.0703</v>
      </c>
      <c r="C4500">
        <v>4498</v>
      </c>
      <c r="D4500" s="7">
        <v>127.0703</v>
      </c>
      <c r="E4500" s="7">
        <f t="shared" si="140"/>
        <v>571562.20940000005</v>
      </c>
      <c r="F4500" s="7">
        <f t="shared" si="141"/>
        <v>20232004</v>
      </c>
      <c r="G4500" s="7"/>
    </row>
    <row r="4501" spans="1:7" x14ac:dyDescent="0.35">
      <c r="A4501" t="str">
        <f>"2023-03-09"</f>
        <v>2023-03-09</v>
      </c>
      <c r="B4501" t="str">
        <f>"126.1253"</f>
        <v>126.1253</v>
      </c>
      <c r="C4501">
        <v>4499</v>
      </c>
      <c r="D4501" s="7">
        <v>126.1253</v>
      </c>
      <c r="E4501" s="7">
        <f t="shared" si="140"/>
        <v>567437.72470000002</v>
      </c>
      <c r="F4501" s="7">
        <f t="shared" si="141"/>
        <v>20241001</v>
      </c>
      <c r="G4501" s="7"/>
    </row>
    <row r="4502" spans="1:7" x14ac:dyDescent="0.35">
      <c r="A4502" t="str">
        <f>"2023-03-10"</f>
        <v>2023-03-10</v>
      </c>
      <c r="B4502" t="str">
        <f>"122.2512"</f>
        <v>122.2512</v>
      </c>
      <c r="C4502">
        <v>4500</v>
      </c>
      <c r="D4502" s="7">
        <v>122.2512</v>
      </c>
      <c r="E4502" s="7">
        <f t="shared" si="140"/>
        <v>550130.4</v>
      </c>
      <c r="F4502" s="7">
        <f t="shared" si="141"/>
        <v>20250000</v>
      </c>
      <c r="G4502" s="7"/>
    </row>
    <row r="4503" spans="1:7" x14ac:dyDescent="0.35">
      <c r="A4503" t="str">
        <f>"2023-03-13"</f>
        <v>2023-03-13</v>
      </c>
      <c r="B4503" t="str">
        <f>"116.525"</f>
        <v>116.525</v>
      </c>
      <c r="C4503">
        <v>4501</v>
      </c>
      <c r="D4503" s="7">
        <v>116.52500000000001</v>
      </c>
      <c r="E4503" s="7">
        <f t="shared" si="140"/>
        <v>524479.02500000002</v>
      </c>
      <c r="F4503" s="7">
        <f t="shared" si="141"/>
        <v>20259001</v>
      </c>
      <c r="G4503" s="7"/>
    </row>
    <row r="4504" spans="1:7" x14ac:dyDescent="0.35">
      <c r="A4504" t="str">
        <f>"2023-03-14"</f>
        <v>2023-03-14</v>
      </c>
      <c r="B4504" t="str">
        <f>"113.7917"</f>
        <v>113.7917</v>
      </c>
      <c r="C4504">
        <v>4502</v>
      </c>
      <c r="D4504" s="7">
        <v>113.79170000000001</v>
      </c>
      <c r="E4504" s="7">
        <f t="shared" si="140"/>
        <v>512290.23340000003</v>
      </c>
      <c r="F4504" s="7">
        <f t="shared" si="141"/>
        <v>20268004</v>
      </c>
      <c r="G4504" s="7"/>
    </row>
    <row r="4505" spans="1:7" x14ac:dyDescent="0.35">
      <c r="A4505" t="str">
        <f>"2023-03-15"</f>
        <v>2023-03-15</v>
      </c>
      <c r="B4505" t="str">
        <f>"111.3725"</f>
        <v>111.3725</v>
      </c>
      <c r="C4505">
        <v>4503</v>
      </c>
      <c r="D4505" s="7">
        <v>111.3725</v>
      </c>
      <c r="E4505" s="7">
        <f t="shared" si="140"/>
        <v>501510.36749999999</v>
      </c>
      <c r="F4505" s="7">
        <f t="shared" si="141"/>
        <v>20277009</v>
      </c>
      <c r="G4505" s="7"/>
    </row>
    <row r="4506" spans="1:7" x14ac:dyDescent="0.35">
      <c r="A4506" t="str">
        <f>"2023-03-16"</f>
        <v>2023-03-16</v>
      </c>
      <c r="B4506" t="str">
        <f>"112.852"</f>
        <v>112.852</v>
      </c>
      <c r="C4506">
        <v>4504</v>
      </c>
      <c r="D4506" s="7">
        <v>112.852</v>
      </c>
      <c r="E4506" s="7">
        <f t="shared" si="140"/>
        <v>508285.408</v>
      </c>
      <c r="F4506" s="7">
        <f t="shared" si="141"/>
        <v>20286016</v>
      </c>
      <c r="G4506" s="7"/>
    </row>
    <row r="4507" spans="1:7" x14ac:dyDescent="0.35">
      <c r="A4507" t="str">
        <f>"2023-03-17"</f>
        <v>2023-03-17</v>
      </c>
      <c r="B4507" t="str">
        <f>"105.1183"</f>
        <v>105.1183</v>
      </c>
      <c r="C4507">
        <v>4505</v>
      </c>
      <c r="D4507" s="7">
        <v>105.1183</v>
      </c>
      <c r="E4507" s="7">
        <f t="shared" si="140"/>
        <v>473557.94150000002</v>
      </c>
      <c r="F4507" s="7">
        <f t="shared" si="141"/>
        <v>20295025</v>
      </c>
      <c r="G4507" s="7"/>
    </row>
    <row r="4508" spans="1:7" x14ac:dyDescent="0.35">
      <c r="A4508" t="str">
        <f>"2023-03-20"</f>
        <v>2023-03-20</v>
      </c>
      <c r="B4508" t="str">
        <f>"104.256"</f>
        <v>104.256</v>
      </c>
      <c r="C4508">
        <v>4506</v>
      </c>
      <c r="D4508" s="7">
        <v>104.256</v>
      </c>
      <c r="E4508" s="7">
        <f t="shared" si="140"/>
        <v>469777.53600000002</v>
      </c>
      <c r="F4508" s="7">
        <f t="shared" si="141"/>
        <v>20304036</v>
      </c>
      <c r="G4508" s="7"/>
    </row>
    <row r="4509" spans="1:7" x14ac:dyDescent="0.35">
      <c r="A4509" t="str">
        <f>"2023-03-21"</f>
        <v>2023-03-21</v>
      </c>
      <c r="B4509" t="str">
        <f>"104.6097"</f>
        <v>104.6097</v>
      </c>
      <c r="C4509">
        <v>4507</v>
      </c>
      <c r="D4509" s="7">
        <v>104.6097</v>
      </c>
      <c r="E4509" s="7">
        <f t="shared" si="140"/>
        <v>471475.9179</v>
      </c>
      <c r="F4509" s="7">
        <f t="shared" si="141"/>
        <v>20313049</v>
      </c>
      <c r="G4509" s="7"/>
    </row>
    <row r="4510" spans="1:7" x14ac:dyDescent="0.35">
      <c r="A4510" t="str">
        <f>"2023-03-22"</f>
        <v>2023-03-22</v>
      </c>
      <c r="B4510" t="str">
        <f>"107.361"</f>
        <v>107.361</v>
      </c>
      <c r="C4510">
        <v>4508</v>
      </c>
      <c r="D4510" s="7">
        <v>107.361</v>
      </c>
      <c r="E4510" s="7">
        <f t="shared" si="140"/>
        <v>483983.38800000004</v>
      </c>
      <c r="F4510" s="7">
        <f t="shared" si="141"/>
        <v>20322064</v>
      </c>
      <c r="G4510" s="7"/>
    </row>
    <row r="4511" spans="1:7" x14ac:dyDescent="0.35">
      <c r="A4511" t="str">
        <f>"2023-03-23"</f>
        <v>2023-03-23</v>
      </c>
      <c r="B4511" t="str">
        <f>"106"</f>
        <v>106</v>
      </c>
      <c r="C4511">
        <v>4509</v>
      </c>
      <c r="D4511" s="7">
        <v>106</v>
      </c>
      <c r="E4511" s="7">
        <f t="shared" si="140"/>
        <v>477954</v>
      </c>
      <c r="F4511" s="7">
        <f t="shared" si="141"/>
        <v>20331081</v>
      </c>
      <c r="G4511" s="7"/>
    </row>
    <row r="4512" spans="1:7" x14ac:dyDescent="0.35">
      <c r="A4512" t="str">
        <f>"2023-03-24"</f>
        <v>2023-03-24</v>
      </c>
      <c r="B4512" t="str">
        <f>"105.7279"</f>
        <v>105.7279</v>
      </c>
      <c r="C4512">
        <v>4510</v>
      </c>
      <c r="D4512" s="7">
        <v>105.72790000000001</v>
      </c>
      <c r="E4512" s="7">
        <f t="shared" si="140"/>
        <v>476832.82900000003</v>
      </c>
      <c r="F4512" s="7">
        <f t="shared" si="141"/>
        <v>20340100</v>
      </c>
      <c r="G4512" s="7"/>
    </row>
    <row r="4513" spans="1:7" x14ac:dyDescent="0.35">
      <c r="A4513" t="str">
        <f>"2023-03-27"</f>
        <v>2023-03-27</v>
      </c>
      <c r="B4513" t="str">
        <f>"104.6185"</f>
        <v>104.6185</v>
      </c>
      <c r="C4513">
        <v>4511</v>
      </c>
      <c r="D4513" s="7">
        <v>104.6185</v>
      </c>
      <c r="E4513" s="7">
        <f t="shared" si="140"/>
        <v>471934.05349999998</v>
      </c>
      <c r="F4513" s="7">
        <f t="shared" si="141"/>
        <v>20349121</v>
      </c>
      <c r="G4513" s="7"/>
    </row>
    <row r="4514" spans="1:7" x14ac:dyDescent="0.35">
      <c r="A4514" t="str">
        <f>"2023-03-28"</f>
        <v>2023-03-28</v>
      </c>
      <c r="B4514" t="str">
        <f>"98.6175"</f>
        <v>98.6175</v>
      </c>
      <c r="C4514">
        <v>4512</v>
      </c>
      <c r="D4514" s="7">
        <v>98.617500000000007</v>
      </c>
      <c r="E4514" s="7">
        <f t="shared" si="140"/>
        <v>444962.16000000003</v>
      </c>
      <c r="F4514" s="7">
        <f t="shared" si="141"/>
        <v>20358144</v>
      </c>
      <c r="G4514" s="7"/>
    </row>
    <row r="4515" spans="1:7" x14ac:dyDescent="0.35">
      <c r="A4515" t="str">
        <f>"2023-03-29"</f>
        <v>2023-03-29</v>
      </c>
      <c r="B4515" t="str">
        <f>"103.0903"</f>
        <v>103.0903</v>
      </c>
      <c r="C4515">
        <v>4513</v>
      </c>
      <c r="D4515" s="7">
        <v>103.0903</v>
      </c>
      <c r="E4515" s="7">
        <f t="shared" si="140"/>
        <v>465246.52389999997</v>
      </c>
      <c r="F4515" s="7">
        <f t="shared" si="141"/>
        <v>20367169</v>
      </c>
      <c r="G4515" s="7"/>
    </row>
    <row r="4516" spans="1:7" x14ac:dyDescent="0.35">
      <c r="A4516" t="str">
        <f>"2023-03-30"</f>
        <v>2023-03-30</v>
      </c>
      <c r="B4516" t="str">
        <f>"99.9963"</f>
        <v>99.9963</v>
      </c>
      <c r="C4516">
        <v>4514</v>
      </c>
      <c r="D4516" s="7">
        <v>99.996300000000005</v>
      </c>
      <c r="E4516" s="7">
        <f t="shared" si="140"/>
        <v>451383.29820000002</v>
      </c>
      <c r="F4516" s="7">
        <f t="shared" si="141"/>
        <v>20376196</v>
      </c>
      <c r="G4516" s="7"/>
    </row>
    <row r="4517" spans="1:7" x14ac:dyDescent="0.35">
      <c r="A4517" t="str">
        <f>"2023-03-31"</f>
        <v>2023-03-31</v>
      </c>
      <c r="B4517" t="str">
        <f>"97.6182"</f>
        <v>97.6182</v>
      </c>
      <c r="C4517">
        <v>4515</v>
      </c>
      <c r="D4517" s="7">
        <v>97.618200000000002</v>
      </c>
      <c r="E4517" s="7">
        <f t="shared" si="140"/>
        <v>440746.17300000001</v>
      </c>
      <c r="F4517" s="7">
        <f t="shared" si="141"/>
        <v>20385225</v>
      </c>
      <c r="G4517" s="7"/>
    </row>
    <row r="4518" spans="1:7" x14ac:dyDescent="0.35">
      <c r="A4518" t="str">
        <f>"2023-04-03"</f>
        <v>2023-04-03</v>
      </c>
      <c r="B4518" t="str">
        <f>"98.674"</f>
        <v>98.674</v>
      </c>
      <c r="C4518">
        <v>4516</v>
      </c>
      <c r="D4518" s="7">
        <v>98.674000000000007</v>
      </c>
      <c r="E4518" s="7">
        <f t="shared" si="140"/>
        <v>445611.78400000004</v>
      </c>
      <c r="F4518" s="7">
        <f t="shared" si="141"/>
        <v>20394256</v>
      </c>
      <c r="G4518" s="7"/>
    </row>
    <row r="4519" spans="1:7" x14ac:dyDescent="0.35">
      <c r="A4519" t="str">
        <f>"2023-04-04"</f>
        <v>2023-04-04</v>
      </c>
      <c r="B4519" t="str">
        <f>"102.5946"</f>
        <v>102.5946</v>
      </c>
      <c r="C4519">
        <v>4517</v>
      </c>
      <c r="D4519" s="7">
        <v>102.5946</v>
      </c>
      <c r="E4519" s="7">
        <f t="shared" si="140"/>
        <v>463419.80819999997</v>
      </c>
      <c r="F4519" s="7">
        <f t="shared" si="141"/>
        <v>20403289</v>
      </c>
      <c r="G4519" s="7"/>
    </row>
    <row r="4520" spans="1:7" x14ac:dyDescent="0.35">
      <c r="A4520" t="str">
        <f>"2023-04-05"</f>
        <v>2023-04-05</v>
      </c>
      <c r="B4520" t="str">
        <f>"100.3529"</f>
        <v>100.3529</v>
      </c>
      <c r="C4520">
        <v>4518</v>
      </c>
      <c r="D4520" s="7">
        <v>100.35290000000001</v>
      </c>
      <c r="E4520" s="7">
        <f t="shared" si="140"/>
        <v>453394.40220000001</v>
      </c>
      <c r="F4520" s="7">
        <f t="shared" si="141"/>
        <v>20412324</v>
      </c>
      <c r="G4520" s="7"/>
    </row>
    <row r="4521" spans="1:7" x14ac:dyDescent="0.35">
      <c r="A4521" t="str">
        <f>"2023-04-06"</f>
        <v>2023-04-06</v>
      </c>
      <c r="B4521" t="str">
        <f>"102.1544"</f>
        <v>102.1544</v>
      </c>
      <c r="C4521">
        <v>4519</v>
      </c>
      <c r="D4521" s="7">
        <v>102.1544</v>
      </c>
      <c r="E4521" s="7">
        <f t="shared" si="140"/>
        <v>461635.73359999998</v>
      </c>
      <c r="F4521" s="7">
        <f t="shared" si="141"/>
        <v>20421361</v>
      </c>
      <c r="G4521" s="7"/>
    </row>
    <row r="4522" spans="1:7" x14ac:dyDescent="0.35">
      <c r="A4522" t="str">
        <f>"2023-04-10"</f>
        <v>2023-04-10</v>
      </c>
      <c r="B4522" t="str">
        <f>"108.4693"</f>
        <v>108.4693</v>
      </c>
      <c r="C4522">
        <v>4520</v>
      </c>
      <c r="D4522" s="7">
        <v>108.4693</v>
      </c>
      <c r="E4522" s="7">
        <f t="shared" si="140"/>
        <v>490281.23600000003</v>
      </c>
      <c r="F4522" s="7">
        <f t="shared" si="141"/>
        <v>20430400</v>
      </c>
      <c r="G4522" s="7"/>
    </row>
    <row r="4523" spans="1:7" x14ac:dyDescent="0.35">
      <c r="A4523" t="str">
        <f>"2023-04-11"</f>
        <v>2023-04-11</v>
      </c>
      <c r="B4523" t="str">
        <f>"107.1061"</f>
        <v>107.1061</v>
      </c>
      <c r="C4523">
        <v>4521</v>
      </c>
      <c r="D4523" s="7">
        <v>107.1061</v>
      </c>
      <c r="E4523" s="7">
        <f t="shared" si="140"/>
        <v>484226.67810000002</v>
      </c>
      <c r="F4523" s="7">
        <f t="shared" si="141"/>
        <v>20439441</v>
      </c>
      <c r="G4523" s="7"/>
    </row>
    <row r="4524" spans="1:7" x14ac:dyDescent="0.35">
      <c r="A4524" t="str">
        <f>"2023-04-12"</f>
        <v>2023-04-12</v>
      </c>
      <c r="B4524" t="str">
        <f>"106.9594"</f>
        <v>106.9594</v>
      </c>
      <c r="C4524">
        <v>4522</v>
      </c>
      <c r="D4524" s="7">
        <v>106.9594</v>
      </c>
      <c r="E4524" s="7">
        <f t="shared" si="140"/>
        <v>483670.4068</v>
      </c>
      <c r="F4524" s="7">
        <f t="shared" si="141"/>
        <v>20448484</v>
      </c>
      <c r="G4524" s="7"/>
    </row>
    <row r="4525" spans="1:7" x14ac:dyDescent="0.35">
      <c r="A4525" t="str">
        <f>"2023-04-13"</f>
        <v>2023-04-13</v>
      </c>
      <c r="B4525" t="str">
        <f>"108.1896"</f>
        <v>108.1896</v>
      </c>
      <c r="C4525">
        <v>4523</v>
      </c>
      <c r="D4525" s="7">
        <v>108.1896</v>
      </c>
      <c r="E4525" s="7">
        <f t="shared" si="140"/>
        <v>489341.56079999998</v>
      </c>
      <c r="F4525" s="7">
        <f t="shared" si="141"/>
        <v>20457529</v>
      </c>
      <c r="G4525" s="7"/>
    </row>
    <row r="4526" spans="1:7" x14ac:dyDescent="0.35">
      <c r="A4526" t="str">
        <f>"2023-04-14"</f>
        <v>2023-04-14</v>
      </c>
      <c r="B4526" t="str">
        <f>"107.9828"</f>
        <v>107.9828</v>
      </c>
      <c r="C4526">
        <v>4524</v>
      </c>
      <c r="D4526" s="7">
        <v>107.9828</v>
      </c>
      <c r="E4526" s="7">
        <f t="shared" si="140"/>
        <v>488514.18719999999</v>
      </c>
      <c r="F4526" s="7">
        <f t="shared" si="141"/>
        <v>20466576</v>
      </c>
      <c r="G4526" s="7"/>
    </row>
    <row r="4527" spans="1:7" x14ac:dyDescent="0.35">
      <c r="A4527" t="str">
        <f>"2023-04-17"</f>
        <v>2023-04-17</v>
      </c>
      <c r="B4527" t="str">
        <f>"109.2206"</f>
        <v>109.2206</v>
      </c>
      <c r="C4527">
        <v>4525</v>
      </c>
      <c r="D4527" s="7">
        <v>109.2206</v>
      </c>
      <c r="E4527" s="7">
        <f t="shared" si="140"/>
        <v>494223.21500000003</v>
      </c>
      <c r="F4527" s="7">
        <f t="shared" si="141"/>
        <v>20475625</v>
      </c>
      <c r="G4527" s="7"/>
    </row>
    <row r="4528" spans="1:7" x14ac:dyDescent="0.35">
      <c r="A4528" t="str">
        <f>"2023-04-18"</f>
        <v>2023-04-18</v>
      </c>
      <c r="B4528" t="str">
        <f>"108.8629"</f>
        <v>108.8629</v>
      </c>
      <c r="C4528">
        <v>4526</v>
      </c>
      <c r="D4528" s="7">
        <v>108.8629</v>
      </c>
      <c r="E4528" s="7">
        <f t="shared" si="140"/>
        <v>492713.48540000001</v>
      </c>
      <c r="F4528" s="7">
        <f t="shared" si="141"/>
        <v>20484676</v>
      </c>
      <c r="G4528" s="7"/>
    </row>
    <row r="4529" spans="1:7" x14ac:dyDescent="0.35">
      <c r="A4529" t="str">
        <f>"2023-04-19"</f>
        <v>2023-04-19</v>
      </c>
      <c r="B4529" t="str">
        <f>"108.2425"</f>
        <v>108.2425</v>
      </c>
      <c r="C4529">
        <v>4527</v>
      </c>
      <c r="D4529" s="7">
        <v>108.24250000000001</v>
      </c>
      <c r="E4529" s="7">
        <f t="shared" si="140"/>
        <v>490013.79750000004</v>
      </c>
      <c r="F4529" s="7">
        <f t="shared" si="141"/>
        <v>20493729</v>
      </c>
      <c r="G4529" s="7"/>
    </row>
    <row r="4530" spans="1:7" x14ac:dyDescent="0.35">
      <c r="A4530" t="str">
        <f>"2023-04-20"</f>
        <v>2023-04-20</v>
      </c>
      <c r="B4530" t="str">
        <f>"107.0226"</f>
        <v>107.0226</v>
      </c>
      <c r="C4530">
        <v>4528</v>
      </c>
      <c r="D4530" s="7">
        <v>107.0226</v>
      </c>
      <c r="E4530" s="7">
        <f t="shared" si="140"/>
        <v>484598.33279999997</v>
      </c>
      <c r="F4530" s="7">
        <f t="shared" si="141"/>
        <v>20502784</v>
      </c>
      <c r="G4530" s="7"/>
    </row>
    <row r="4531" spans="1:7" x14ac:dyDescent="0.35">
      <c r="A4531" t="str">
        <f>"2023-04-24"</f>
        <v>2023-04-24</v>
      </c>
      <c r="B4531" t="str">
        <f>"109.8325"</f>
        <v>109.8325</v>
      </c>
      <c r="C4531">
        <v>4529</v>
      </c>
      <c r="D4531" s="7">
        <v>109.8325</v>
      </c>
      <c r="E4531" s="7">
        <f t="shared" si="140"/>
        <v>497431.39249999996</v>
      </c>
      <c r="F4531" s="7">
        <f t="shared" si="141"/>
        <v>20511841</v>
      </c>
      <c r="G4531" s="7"/>
    </row>
    <row r="4532" spans="1:7" x14ac:dyDescent="0.35">
      <c r="A4532" t="str">
        <f>"2023-04-25"</f>
        <v>2023-04-25</v>
      </c>
      <c r="B4532" t="str">
        <f>"107.4864"</f>
        <v>107.4864</v>
      </c>
      <c r="C4532">
        <v>4530</v>
      </c>
      <c r="D4532" s="7">
        <v>107.4864</v>
      </c>
      <c r="E4532" s="7">
        <f t="shared" si="140"/>
        <v>486913.39199999999</v>
      </c>
      <c r="F4532" s="7">
        <f t="shared" si="141"/>
        <v>20520900</v>
      </c>
      <c r="G4532" s="7"/>
    </row>
    <row r="4533" spans="1:7" x14ac:dyDescent="0.35">
      <c r="A4533" t="str">
        <f>"2023-04-26"</f>
        <v>2023-04-26</v>
      </c>
      <c r="B4533" t="str">
        <f>"104.8668"</f>
        <v>104.8668</v>
      </c>
      <c r="C4533">
        <v>4531</v>
      </c>
      <c r="D4533" s="7">
        <v>104.8668</v>
      </c>
      <c r="E4533" s="7">
        <f t="shared" si="140"/>
        <v>475151.47080000001</v>
      </c>
      <c r="F4533" s="7">
        <f t="shared" si="141"/>
        <v>20529961</v>
      </c>
      <c r="G4533" s="7"/>
    </row>
    <row r="4534" spans="1:7" x14ac:dyDescent="0.35">
      <c r="A4534" t="str">
        <f>"2023-04-27"</f>
        <v>2023-04-27</v>
      </c>
      <c r="B4534" t="str">
        <f>"105.2609"</f>
        <v>105.2609</v>
      </c>
      <c r="C4534">
        <v>4532</v>
      </c>
      <c r="D4534" s="7">
        <v>105.26090000000001</v>
      </c>
      <c r="E4534" s="7">
        <f t="shared" si="140"/>
        <v>477042.39880000002</v>
      </c>
      <c r="F4534" s="7">
        <f t="shared" si="141"/>
        <v>20539024</v>
      </c>
      <c r="G4534" s="7"/>
    </row>
    <row r="4535" spans="1:7" x14ac:dyDescent="0.35">
      <c r="A4535" t="str">
        <f>"2023-04-28"</f>
        <v>2023-04-28</v>
      </c>
      <c r="B4535" t="str">
        <f>"102.7708"</f>
        <v>102.7708</v>
      </c>
      <c r="C4535">
        <v>4533</v>
      </c>
      <c r="D4535" s="7">
        <v>102.77079999999999</v>
      </c>
      <c r="E4535" s="7">
        <f t="shared" si="140"/>
        <v>465860.03639999998</v>
      </c>
      <c r="F4535" s="7">
        <f t="shared" si="141"/>
        <v>20548089</v>
      </c>
      <c r="G4535" s="7"/>
    </row>
    <row r="4536" spans="1:7" x14ac:dyDescent="0.35">
      <c r="A4536" t="str">
        <f>"2023-05-02"</f>
        <v>2023-05-02</v>
      </c>
      <c r="B4536" t="str">
        <f>"100.2589"</f>
        <v>100.2589</v>
      </c>
      <c r="C4536">
        <v>4534</v>
      </c>
      <c r="D4536" s="7">
        <v>100.2589</v>
      </c>
      <c r="E4536" s="7">
        <f t="shared" si="140"/>
        <v>454573.85259999998</v>
      </c>
      <c r="F4536" s="7">
        <f t="shared" si="141"/>
        <v>20557156</v>
      </c>
      <c r="G4536" s="7"/>
    </row>
    <row r="4537" spans="1:7" x14ac:dyDescent="0.35">
      <c r="A4537" t="str">
        <f>"2023-05-03"</f>
        <v>2023-05-03</v>
      </c>
      <c r="B4537" t="str">
        <f>"101.7256"</f>
        <v>101.7256</v>
      </c>
      <c r="C4537">
        <v>4535</v>
      </c>
      <c r="D4537" s="7">
        <v>101.7256</v>
      </c>
      <c r="E4537" s="7">
        <f t="shared" si="140"/>
        <v>461325.59600000002</v>
      </c>
      <c r="F4537" s="7">
        <f t="shared" si="141"/>
        <v>20566225</v>
      </c>
      <c r="G4537" s="7"/>
    </row>
    <row r="4538" spans="1:7" x14ac:dyDescent="0.35">
      <c r="A4538" t="str">
        <f>"2023-05-04"</f>
        <v>2023-05-04</v>
      </c>
      <c r="B4538" t="str">
        <f>"99.5853"</f>
        <v>99.5853</v>
      </c>
      <c r="C4538">
        <v>4536</v>
      </c>
      <c r="D4538" s="7">
        <v>99.585300000000004</v>
      </c>
      <c r="E4538" s="7">
        <f t="shared" si="140"/>
        <v>451718.92080000002</v>
      </c>
      <c r="F4538" s="7">
        <f t="shared" si="141"/>
        <v>20575296</v>
      </c>
      <c r="G4538" s="7"/>
    </row>
    <row r="4539" spans="1:7" x14ac:dyDescent="0.35">
      <c r="A4539" t="str">
        <f>"2023-05-05"</f>
        <v>2023-05-05</v>
      </c>
      <c r="B4539" t="str">
        <f>"99.2914"</f>
        <v>99.2914</v>
      </c>
      <c r="C4539">
        <v>4537</v>
      </c>
      <c r="D4539" s="7">
        <v>99.291399999999996</v>
      </c>
      <c r="E4539" s="7">
        <f t="shared" si="140"/>
        <v>450485.08179999999</v>
      </c>
      <c r="F4539" s="7">
        <f t="shared" si="141"/>
        <v>20584369</v>
      </c>
      <c r="G4539" s="7"/>
    </row>
    <row r="4540" spans="1:7" x14ac:dyDescent="0.35">
      <c r="A4540" t="str">
        <f>"2023-05-08"</f>
        <v>2023-05-08</v>
      </c>
      <c r="B4540" t="str">
        <f>"104.5421"</f>
        <v>104.5421</v>
      </c>
      <c r="C4540">
        <v>4538</v>
      </c>
      <c r="D4540" s="7">
        <v>104.5421</v>
      </c>
      <c r="E4540" s="7">
        <f t="shared" si="140"/>
        <v>474412.04980000004</v>
      </c>
      <c r="F4540" s="7">
        <f t="shared" si="141"/>
        <v>20593444</v>
      </c>
      <c r="G4540" s="7"/>
    </row>
    <row r="4541" spans="1:7" x14ac:dyDescent="0.35">
      <c r="A4541" t="str">
        <f>"2023-05-09"</f>
        <v>2023-05-09</v>
      </c>
      <c r="B4541" t="str">
        <f>"100.8853"</f>
        <v>100.8853</v>
      </c>
      <c r="C4541">
        <v>4539</v>
      </c>
      <c r="D4541" s="7">
        <v>100.8853</v>
      </c>
      <c r="E4541" s="7">
        <f t="shared" si="140"/>
        <v>457918.37670000002</v>
      </c>
      <c r="F4541" s="7">
        <f t="shared" si="141"/>
        <v>20602521</v>
      </c>
      <c r="G4541" s="7"/>
    </row>
    <row r="4542" spans="1:7" x14ac:dyDescent="0.35">
      <c r="A4542" t="str">
        <f>"2023-05-10"</f>
        <v>2023-05-10</v>
      </c>
      <c r="B4542" t="str">
        <f>"99.5052"</f>
        <v>99.5052</v>
      </c>
      <c r="C4542">
        <v>4540</v>
      </c>
      <c r="D4542" s="7">
        <v>99.505200000000002</v>
      </c>
      <c r="E4542" s="7">
        <f t="shared" si="140"/>
        <v>451753.60800000001</v>
      </c>
      <c r="F4542" s="7">
        <f t="shared" si="141"/>
        <v>20611600</v>
      </c>
      <c r="G4542" s="7"/>
    </row>
    <row r="4543" spans="1:7" x14ac:dyDescent="0.35">
      <c r="A4543" t="str">
        <f>"2023-05-11"</f>
        <v>2023-05-11</v>
      </c>
      <c r="B4543" t="str">
        <f>"107.6904"</f>
        <v>107.6904</v>
      </c>
      <c r="C4543">
        <v>4541</v>
      </c>
      <c r="D4543" s="7">
        <v>107.6904</v>
      </c>
      <c r="E4543" s="7">
        <f t="shared" si="140"/>
        <v>489022.10639999999</v>
      </c>
      <c r="F4543" s="7">
        <f t="shared" si="141"/>
        <v>20620681</v>
      </c>
      <c r="G4543" s="7"/>
    </row>
    <row r="4544" spans="1:7" x14ac:dyDescent="0.35">
      <c r="A4544" t="str">
        <f>"2023-05-12"</f>
        <v>2023-05-12</v>
      </c>
      <c r="B4544" t="str">
        <f>"104.6376"</f>
        <v>104.6376</v>
      </c>
      <c r="C4544">
        <v>4542</v>
      </c>
      <c r="D4544" s="7">
        <v>104.63760000000001</v>
      </c>
      <c r="E4544" s="7">
        <f t="shared" si="140"/>
        <v>475263.9792</v>
      </c>
      <c r="F4544" s="7">
        <f t="shared" si="141"/>
        <v>20629764</v>
      </c>
      <c r="G4544" s="7"/>
    </row>
    <row r="4545" spans="1:7" x14ac:dyDescent="0.35">
      <c r="A4545" t="str">
        <f>"2023-05-15"</f>
        <v>2023-05-15</v>
      </c>
      <c r="B4545" t="str">
        <f>"97.686"</f>
        <v>97.686</v>
      </c>
      <c r="C4545">
        <v>4543</v>
      </c>
      <c r="D4545" s="7">
        <v>97.686000000000007</v>
      </c>
      <c r="E4545" s="7">
        <f t="shared" si="140"/>
        <v>443787.49800000002</v>
      </c>
      <c r="F4545" s="7">
        <f t="shared" si="141"/>
        <v>20638849</v>
      </c>
      <c r="G4545" s="7"/>
    </row>
    <row r="4546" spans="1:7" x14ac:dyDescent="0.35">
      <c r="A4546" t="str">
        <f>"2023-05-16"</f>
        <v>2023-05-16</v>
      </c>
      <c r="B4546" t="str">
        <f>"108.0206"</f>
        <v>108.0206</v>
      </c>
      <c r="C4546">
        <v>4544</v>
      </c>
      <c r="D4546" s="7">
        <v>108.0206</v>
      </c>
      <c r="E4546" s="7">
        <f t="shared" si="140"/>
        <v>490845.60639999999</v>
      </c>
      <c r="F4546" s="7">
        <f t="shared" si="141"/>
        <v>20647936</v>
      </c>
      <c r="G4546" s="7"/>
    </row>
    <row r="4547" spans="1:7" x14ac:dyDescent="0.35">
      <c r="A4547" t="str">
        <f>"2023-05-17"</f>
        <v>2023-05-17</v>
      </c>
      <c r="B4547" t="str">
        <f>"109.112"</f>
        <v>109.112</v>
      </c>
      <c r="C4547">
        <v>4545</v>
      </c>
      <c r="D4547" s="7">
        <v>109.11199999999999</v>
      </c>
      <c r="E4547" s="7">
        <f t="shared" si="140"/>
        <v>495914.04</v>
      </c>
      <c r="F4547" s="7">
        <f t="shared" si="141"/>
        <v>20657025</v>
      </c>
      <c r="G4547" s="7"/>
    </row>
    <row r="4548" spans="1:7" x14ac:dyDescent="0.35">
      <c r="A4548" t="str">
        <f>"2023-05-18"</f>
        <v>2023-05-18</v>
      </c>
      <c r="B4548" t="str">
        <f>"106.657"</f>
        <v>106.657</v>
      </c>
      <c r="C4548">
        <v>4546</v>
      </c>
      <c r="D4548" s="7">
        <v>106.657</v>
      </c>
      <c r="E4548" s="7">
        <f t="shared" ref="E4548:E4611" si="142">C4548*D4548</f>
        <v>484862.72200000001</v>
      </c>
      <c r="F4548" s="7">
        <f t="shared" ref="F4548:F4611" si="143">C4548*C4548</f>
        <v>20666116</v>
      </c>
      <c r="G4548" s="7"/>
    </row>
    <row r="4549" spans="1:7" x14ac:dyDescent="0.35">
      <c r="A4549" t="str">
        <f>"2023-05-22"</f>
        <v>2023-05-22</v>
      </c>
      <c r="B4549" t="str">
        <f>"107.699"</f>
        <v>107.699</v>
      </c>
      <c r="C4549">
        <v>4547</v>
      </c>
      <c r="D4549" s="7">
        <v>107.699</v>
      </c>
      <c r="E4549" s="7">
        <f t="shared" si="142"/>
        <v>489707.353</v>
      </c>
      <c r="F4549" s="7">
        <f t="shared" si="143"/>
        <v>20675209</v>
      </c>
      <c r="G4549" s="7"/>
    </row>
    <row r="4550" spans="1:7" x14ac:dyDescent="0.35">
      <c r="A4550" t="str">
        <f>"2023-05-23"</f>
        <v>2023-05-23</v>
      </c>
      <c r="B4550" t="str">
        <f>"106.8003"</f>
        <v>106.8003</v>
      </c>
      <c r="C4550">
        <v>4548</v>
      </c>
      <c r="D4550" s="7">
        <v>106.80029999999999</v>
      </c>
      <c r="E4550" s="7">
        <f t="shared" si="142"/>
        <v>485727.76439999999</v>
      </c>
      <c r="F4550" s="7">
        <f t="shared" si="143"/>
        <v>20684304</v>
      </c>
      <c r="G4550" s="7"/>
    </row>
    <row r="4551" spans="1:7" x14ac:dyDescent="0.35">
      <c r="A4551" t="str">
        <f>"2023-05-24"</f>
        <v>2023-05-24</v>
      </c>
      <c r="B4551" t="str">
        <f>"105.9415"</f>
        <v>105.9415</v>
      </c>
      <c r="C4551">
        <v>4549</v>
      </c>
      <c r="D4551" s="7">
        <v>105.9415</v>
      </c>
      <c r="E4551" s="7">
        <f t="shared" si="142"/>
        <v>481927.8835</v>
      </c>
      <c r="F4551" s="7">
        <f t="shared" si="143"/>
        <v>20693401</v>
      </c>
      <c r="G4551" s="7"/>
    </row>
    <row r="4552" spans="1:7" x14ac:dyDescent="0.35">
      <c r="A4552" t="str">
        <f>"2023-05-25"</f>
        <v>2023-05-25</v>
      </c>
      <c r="B4552" t="str">
        <f>"107.8288"</f>
        <v>107.8288</v>
      </c>
      <c r="C4552">
        <v>4550</v>
      </c>
      <c r="D4552" s="7">
        <v>107.8288</v>
      </c>
      <c r="E4552" s="7">
        <f t="shared" si="142"/>
        <v>490621.04</v>
      </c>
      <c r="F4552" s="7">
        <f t="shared" si="143"/>
        <v>20702500</v>
      </c>
      <c r="G4552" s="7"/>
    </row>
    <row r="4553" spans="1:7" x14ac:dyDescent="0.35">
      <c r="A4553" t="str">
        <f>"2023-05-26"</f>
        <v>2023-05-26</v>
      </c>
      <c r="B4553" t="str">
        <f>"113.9782"</f>
        <v>113.9782</v>
      </c>
      <c r="C4553">
        <v>4551</v>
      </c>
      <c r="D4553" s="7">
        <v>113.9782</v>
      </c>
      <c r="E4553" s="7">
        <f t="shared" si="142"/>
        <v>518714.78820000001</v>
      </c>
      <c r="F4553" s="7">
        <f t="shared" si="143"/>
        <v>20711601</v>
      </c>
      <c r="G4553" s="7"/>
    </row>
    <row r="4554" spans="1:7" x14ac:dyDescent="0.35">
      <c r="A4554" t="str">
        <f>"2023-05-30"</f>
        <v>2023-05-30</v>
      </c>
      <c r="B4554" t="str">
        <f>"116.0201"</f>
        <v>116.0201</v>
      </c>
      <c r="C4554">
        <v>4552</v>
      </c>
      <c r="D4554" s="7">
        <v>116.0201</v>
      </c>
      <c r="E4554" s="7">
        <f t="shared" si="142"/>
        <v>528123.4952</v>
      </c>
      <c r="F4554" s="7">
        <f t="shared" si="143"/>
        <v>20720704</v>
      </c>
      <c r="G4554" s="7"/>
    </row>
    <row r="4555" spans="1:7" x14ac:dyDescent="0.35">
      <c r="A4555" t="str">
        <f>"2023-05-31"</f>
        <v>2023-05-31</v>
      </c>
      <c r="B4555" t="str">
        <f>"110.4936"</f>
        <v>110.4936</v>
      </c>
      <c r="C4555">
        <v>4553</v>
      </c>
      <c r="D4555" s="7">
        <v>110.4936</v>
      </c>
      <c r="E4555" s="7">
        <f t="shared" si="142"/>
        <v>503077.36080000002</v>
      </c>
      <c r="F4555" s="7">
        <f t="shared" si="143"/>
        <v>20729809</v>
      </c>
      <c r="G4555" s="7"/>
    </row>
    <row r="4556" spans="1:7" x14ac:dyDescent="0.35">
      <c r="A4556" t="str">
        <f>"2023-06-01"</f>
        <v>2023-06-01</v>
      </c>
      <c r="B4556" t="str">
        <f>"111.2042"</f>
        <v>111.2042</v>
      </c>
      <c r="C4556">
        <v>4554</v>
      </c>
      <c r="D4556" s="7">
        <v>111.2042</v>
      </c>
      <c r="E4556" s="7">
        <f t="shared" si="142"/>
        <v>506423.92680000002</v>
      </c>
      <c r="F4556" s="7">
        <f t="shared" si="143"/>
        <v>20738916</v>
      </c>
      <c r="G4556" s="7"/>
    </row>
    <row r="4557" spans="1:7" x14ac:dyDescent="0.35">
      <c r="A4557" t="str">
        <f>"2023-06-02"</f>
        <v>2023-06-02</v>
      </c>
      <c r="B4557" t="str">
        <f>"114.4665"</f>
        <v>114.4665</v>
      </c>
      <c r="C4557">
        <v>4555</v>
      </c>
      <c r="D4557" s="7">
        <v>114.4665</v>
      </c>
      <c r="E4557" s="7">
        <f t="shared" si="142"/>
        <v>521394.90749999997</v>
      </c>
      <c r="F4557" s="7">
        <f t="shared" si="143"/>
        <v>20748025</v>
      </c>
      <c r="G4557" s="7"/>
    </row>
    <row r="4558" spans="1:7" x14ac:dyDescent="0.35">
      <c r="A4558" t="str">
        <f>"2023-06-05"</f>
        <v>2023-06-05</v>
      </c>
      <c r="B4558" t="str">
        <f>"123.9612"</f>
        <v>123.9612</v>
      </c>
      <c r="C4558">
        <v>4556</v>
      </c>
      <c r="D4558" s="7">
        <v>123.96120000000001</v>
      </c>
      <c r="E4558" s="7">
        <f t="shared" si="142"/>
        <v>564767.22720000008</v>
      </c>
      <c r="F4558" s="7">
        <f t="shared" si="143"/>
        <v>20757136</v>
      </c>
      <c r="G4558" s="7"/>
    </row>
    <row r="4559" spans="1:7" x14ac:dyDescent="0.35">
      <c r="A4559" t="str">
        <f>"2023-06-06"</f>
        <v>2023-06-06</v>
      </c>
      <c r="B4559" t="str">
        <f>"123.0593"</f>
        <v>123.0593</v>
      </c>
      <c r="C4559">
        <v>4557</v>
      </c>
      <c r="D4559" s="7">
        <v>123.05929999999999</v>
      </c>
      <c r="E4559" s="7">
        <f t="shared" si="142"/>
        <v>560781.23009999993</v>
      </c>
      <c r="F4559" s="7">
        <f t="shared" si="143"/>
        <v>20766249</v>
      </c>
      <c r="G4559" s="7"/>
    </row>
    <row r="4560" spans="1:7" x14ac:dyDescent="0.35">
      <c r="A4560" t="str">
        <f>"2023-06-07"</f>
        <v>2023-06-07</v>
      </c>
      <c r="B4560" t="str">
        <f>"125.9119"</f>
        <v>125.9119</v>
      </c>
      <c r="C4560">
        <v>4558</v>
      </c>
      <c r="D4560" s="7">
        <v>125.9119</v>
      </c>
      <c r="E4560" s="7">
        <f t="shared" si="142"/>
        <v>573906.44020000007</v>
      </c>
      <c r="F4560" s="7">
        <f t="shared" si="143"/>
        <v>20775364</v>
      </c>
      <c r="G4560" s="7"/>
    </row>
    <row r="4561" spans="1:7" x14ac:dyDescent="0.35">
      <c r="A4561" t="str">
        <f>"2023-06-08"</f>
        <v>2023-06-08</v>
      </c>
      <c r="B4561" t="str">
        <f>"116.6812"</f>
        <v>116.6812</v>
      </c>
      <c r="C4561">
        <v>4559</v>
      </c>
      <c r="D4561" s="7">
        <v>116.6812</v>
      </c>
      <c r="E4561" s="7">
        <f t="shared" si="142"/>
        <v>531949.59080000001</v>
      </c>
      <c r="F4561" s="7">
        <f t="shared" si="143"/>
        <v>20784481</v>
      </c>
      <c r="G4561" s="7"/>
    </row>
    <row r="4562" spans="1:7" x14ac:dyDescent="0.35">
      <c r="A4562" t="str">
        <f>"2023-06-09"</f>
        <v>2023-06-09</v>
      </c>
      <c r="B4562" t="str">
        <f>"119.3301"</f>
        <v>119.3301</v>
      </c>
      <c r="C4562">
        <v>4560</v>
      </c>
      <c r="D4562" s="7">
        <v>119.3301</v>
      </c>
      <c r="E4562" s="7">
        <f t="shared" si="142"/>
        <v>544145.25600000005</v>
      </c>
      <c r="F4562" s="7">
        <f t="shared" si="143"/>
        <v>20793600</v>
      </c>
      <c r="G4562" s="7"/>
    </row>
    <row r="4563" spans="1:7" x14ac:dyDescent="0.35">
      <c r="A4563" t="str">
        <f>"2023-06-12"</f>
        <v>2023-06-12</v>
      </c>
      <c r="B4563" t="str">
        <f>"123.3107"</f>
        <v>123.3107</v>
      </c>
      <c r="C4563">
        <v>4561</v>
      </c>
      <c r="D4563" s="7">
        <v>123.3107</v>
      </c>
      <c r="E4563" s="7">
        <f t="shared" si="142"/>
        <v>562420.10269999993</v>
      </c>
      <c r="F4563" s="7">
        <f t="shared" si="143"/>
        <v>20802721</v>
      </c>
      <c r="G4563" s="7"/>
    </row>
    <row r="4564" spans="1:7" x14ac:dyDescent="0.35">
      <c r="A4564" t="str">
        <f>"2023-06-13"</f>
        <v>2023-06-13</v>
      </c>
      <c r="B4564" t="str">
        <f>"120.1971"</f>
        <v>120.1971</v>
      </c>
      <c r="C4564">
        <v>4562</v>
      </c>
      <c r="D4564" s="7">
        <v>120.19710000000001</v>
      </c>
      <c r="E4564" s="7">
        <f t="shared" si="142"/>
        <v>548339.17020000005</v>
      </c>
      <c r="F4564" s="7">
        <f t="shared" si="143"/>
        <v>20811844</v>
      </c>
      <c r="G4564" s="7"/>
    </row>
    <row r="4565" spans="1:7" x14ac:dyDescent="0.35">
      <c r="A4565" t="str">
        <f>"2023-06-14"</f>
        <v>2023-06-14</v>
      </c>
      <c r="B4565" t="str">
        <f>"123.0806"</f>
        <v>123.0806</v>
      </c>
      <c r="C4565">
        <v>4563</v>
      </c>
      <c r="D4565" s="7">
        <v>123.0806</v>
      </c>
      <c r="E4565" s="7">
        <f t="shared" si="142"/>
        <v>561616.77780000004</v>
      </c>
      <c r="F4565" s="7">
        <f t="shared" si="143"/>
        <v>20820969</v>
      </c>
      <c r="G4565" s="7"/>
    </row>
    <row r="4566" spans="1:7" x14ac:dyDescent="0.35">
      <c r="A4566" t="str">
        <f>"2023-06-15"</f>
        <v>2023-06-15</v>
      </c>
      <c r="B4566" t="str">
        <f>"123.3559"</f>
        <v>123.3559</v>
      </c>
      <c r="C4566">
        <v>4564</v>
      </c>
      <c r="D4566" s="7">
        <v>123.35590000000001</v>
      </c>
      <c r="E4566" s="7">
        <f t="shared" si="142"/>
        <v>562996.32760000008</v>
      </c>
      <c r="F4566" s="7">
        <f t="shared" si="143"/>
        <v>20830096</v>
      </c>
      <c r="G4566" s="7"/>
    </row>
    <row r="4567" spans="1:7" x14ac:dyDescent="0.35">
      <c r="A4567" t="str">
        <f>"2023-06-16"</f>
        <v>2023-06-16</v>
      </c>
      <c r="B4567" t="str">
        <f>"121.3445"</f>
        <v>121.3445</v>
      </c>
      <c r="C4567">
        <v>4565</v>
      </c>
      <c r="D4567" s="7">
        <v>121.3445</v>
      </c>
      <c r="E4567" s="7">
        <f t="shared" si="142"/>
        <v>553937.64249999996</v>
      </c>
      <c r="F4567" s="7">
        <f t="shared" si="143"/>
        <v>20839225</v>
      </c>
      <c r="G4567" s="7"/>
    </row>
    <row r="4568" spans="1:7" x14ac:dyDescent="0.35">
      <c r="A4568" t="str">
        <f>"2023-06-20"</f>
        <v>2023-06-20</v>
      </c>
      <c r="B4568" t="str">
        <f>"116.7044"</f>
        <v>116.7044</v>
      </c>
      <c r="C4568">
        <v>4566</v>
      </c>
      <c r="D4568" s="7">
        <v>116.70440000000001</v>
      </c>
      <c r="E4568" s="7">
        <f t="shared" si="142"/>
        <v>532872.29040000006</v>
      </c>
      <c r="F4568" s="7">
        <f t="shared" si="143"/>
        <v>20848356</v>
      </c>
      <c r="G4568" s="7"/>
    </row>
    <row r="4569" spans="1:7" x14ac:dyDescent="0.35">
      <c r="A4569" t="str">
        <f>"2023-06-21"</f>
        <v>2023-06-21</v>
      </c>
      <c r="B4569" t="str">
        <f>"115.6179"</f>
        <v>115.6179</v>
      </c>
      <c r="C4569">
        <v>4567</v>
      </c>
      <c r="D4569" s="7">
        <v>115.61790000000001</v>
      </c>
      <c r="E4569" s="7">
        <f t="shared" si="142"/>
        <v>528026.94929999998</v>
      </c>
      <c r="F4569" s="7">
        <f t="shared" si="143"/>
        <v>20857489</v>
      </c>
      <c r="G4569" s="7"/>
    </row>
    <row r="4570" spans="1:7" x14ac:dyDescent="0.35">
      <c r="A4570" t="str">
        <f>"2023-06-22"</f>
        <v>2023-06-22</v>
      </c>
      <c r="B4570" t="str">
        <f>"124.474"</f>
        <v>124.474</v>
      </c>
      <c r="C4570">
        <v>4568</v>
      </c>
      <c r="D4570" s="7">
        <v>124.474</v>
      </c>
      <c r="E4570" s="7">
        <f t="shared" si="142"/>
        <v>568597.23199999996</v>
      </c>
      <c r="F4570" s="7">
        <f t="shared" si="143"/>
        <v>20866624</v>
      </c>
      <c r="G4570" s="7"/>
    </row>
    <row r="4571" spans="1:7" x14ac:dyDescent="0.35">
      <c r="A4571" t="str">
        <f>"2023-06-23"</f>
        <v>2023-06-23</v>
      </c>
      <c r="B4571" t="str">
        <f>"120.2927"</f>
        <v>120.2927</v>
      </c>
      <c r="C4571">
        <v>4569</v>
      </c>
      <c r="D4571" s="7">
        <v>120.2927</v>
      </c>
      <c r="E4571" s="7">
        <f t="shared" si="142"/>
        <v>549617.34629999998</v>
      </c>
      <c r="F4571" s="7">
        <f t="shared" si="143"/>
        <v>20875761</v>
      </c>
      <c r="G4571" s="7"/>
    </row>
    <row r="4572" spans="1:7" x14ac:dyDescent="0.35">
      <c r="A4572" t="str">
        <f>"2023-06-26"</f>
        <v>2023-06-26</v>
      </c>
      <c r="B4572" t="str">
        <f>"121.9774"</f>
        <v>121.9774</v>
      </c>
      <c r="C4572">
        <v>4570</v>
      </c>
      <c r="D4572" s="7">
        <v>121.9774</v>
      </c>
      <c r="E4572" s="7">
        <f t="shared" si="142"/>
        <v>557436.71799999999</v>
      </c>
      <c r="F4572" s="7">
        <f t="shared" si="143"/>
        <v>20884900</v>
      </c>
      <c r="G4572" s="7"/>
    </row>
    <row r="4573" spans="1:7" x14ac:dyDescent="0.35">
      <c r="A4573" t="str">
        <f>"2023-06-27"</f>
        <v>2023-06-27</v>
      </c>
      <c r="B4573" t="str">
        <f>"121.2522"</f>
        <v>121.2522</v>
      </c>
      <c r="C4573">
        <v>4571</v>
      </c>
      <c r="D4573" s="7">
        <v>121.2522</v>
      </c>
      <c r="E4573" s="7">
        <f t="shared" si="142"/>
        <v>554243.80619999999</v>
      </c>
      <c r="F4573" s="7">
        <f t="shared" si="143"/>
        <v>20894041</v>
      </c>
      <c r="G4573" s="7"/>
    </row>
    <row r="4574" spans="1:7" x14ac:dyDescent="0.35">
      <c r="A4574" t="str">
        <f>"2023-07-03"</f>
        <v>2023-07-03</v>
      </c>
      <c r="B4574" t="str">
        <f>"134.0168"</f>
        <v>134.0168</v>
      </c>
      <c r="C4574">
        <v>4572</v>
      </c>
      <c r="D4574" s="7">
        <v>134.01679999999999</v>
      </c>
      <c r="E4574" s="7">
        <f t="shared" si="142"/>
        <v>612724.80959999992</v>
      </c>
      <c r="F4574" s="7">
        <f t="shared" si="143"/>
        <v>20903184</v>
      </c>
      <c r="G4574" s="7"/>
    </row>
    <row r="4575" spans="1:7" x14ac:dyDescent="0.35">
      <c r="A4575" t="str">
        <f>"2023-07-05"</f>
        <v>2023-07-05</v>
      </c>
      <c r="B4575" t="str">
        <f>"135.0358"</f>
        <v>135.0358</v>
      </c>
      <c r="C4575">
        <v>4573</v>
      </c>
      <c r="D4575" s="7">
        <v>135.03579999999999</v>
      </c>
      <c r="E4575" s="7">
        <f t="shared" si="142"/>
        <v>617518.71340000001</v>
      </c>
      <c r="F4575" s="7">
        <f t="shared" si="143"/>
        <v>20912329</v>
      </c>
      <c r="G4575" s="7"/>
    </row>
    <row r="4576" spans="1:7" x14ac:dyDescent="0.35">
      <c r="A4576" t="str">
        <f>"2023-07-06"</f>
        <v>2023-07-06</v>
      </c>
      <c r="B4576" t="str">
        <f>"135.3098"</f>
        <v>135.3098</v>
      </c>
      <c r="C4576">
        <v>4574</v>
      </c>
      <c r="D4576" s="7">
        <v>135.3098</v>
      </c>
      <c r="E4576" s="7">
        <f t="shared" si="142"/>
        <v>618907.02520000003</v>
      </c>
      <c r="F4576" s="7">
        <f t="shared" si="143"/>
        <v>20921476</v>
      </c>
      <c r="G4576" s="7"/>
    </row>
    <row r="4577" spans="1:7" x14ac:dyDescent="0.35">
      <c r="A4577" t="str">
        <f>"2023-07-07"</f>
        <v>2023-07-07</v>
      </c>
      <c r="B4577" t="str">
        <f>"132.9885"</f>
        <v>132.9885</v>
      </c>
      <c r="C4577">
        <v>4575</v>
      </c>
      <c r="D4577" s="7">
        <v>132.98849999999999</v>
      </c>
      <c r="E4577" s="7">
        <f t="shared" si="142"/>
        <v>608422.38749999995</v>
      </c>
      <c r="F4577" s="7">
        <f t="shared" si="143"/>
        <v>20930625</v>
      </c>
      <c r="G4577" s="7"/>
    </row>
    <row r="4578" spans="1:7" x14ac:dyDescent="0.35">
      <c r="A4578" t="str">
        <f>"2023-07-10"</f>
        <v>2023-07-10</v>
      </c>
      <c r="B4578" t="str">
        <f>"132.6598"</f>
        <v>132.6598</v>
      </c>
      <c r="C4578">
        <v>4576</v>
      </c>
      <c r="D4578" s="7">
        <v>132.65979999999999</v>
      </c>
      <c r="E4578" s="7">
        <f t="shared" si="142"/>
        <v>607051.24479999999</v>
      </c>
      <c r="F4578" s="7">
        <f t="shared" si="143"/>
        <v>20939776</v>
      </c>
      <c r="G4578" s="7"/>
    </row>
    <row r="4579" spans="1:7" x14ac:dyDescent="0.35">
      <c r="A4579" t="str">
        <f>"2023-07-11"</f>
        <v>2023-07-11</v>
      </c>
      <c r="B4579" t="str">
        <f>"133.1709"</f>
        <v>133.1709</v>
      </c>
      <c r="C4579">
        <v>4577</v>
      </c>
      <c r="D4579" s="7">
        <v>133.17089999999999</v>
      </c>
      <c r="E4579" s="7">
        <f t="shared" si="142"/>
        <v>609523.20929999999</v>
      </c>
      <c r="F4579" s="7">
        <f t="shared" si="143"/>
        <v>20948929</v>
      </c>
      <c r="G4579" s="7"/>
    </row>
    <row r="4580" spans="1:7" x14ac:dyDescent="0.35">
      <c r="A4580" t="str">
        <f>"2023-07-12"</f>
        <v>2023-07-12</v>
      </c>
      <c r="B4580" t="str">
        <f>"128.4298"</f>
        <v>128.4298</v>
      </c>
      <c r="C4580">
        <v>4578</v>
      </c>
      <c r="D4580" s="7">
        <v>128.4298</v>
      </c>
      <c r="E4580" s="7">
        <f t="shared" si="142"/>
        <v>587951.62439999997</v>
      </c>
      <c r="F4580" s="7">
        <f t="shared" si="143"/>
        <v>20958084</v>
      </c>
      <c r="G4580" s="7"/>
    </row>
    <row r="4581" spans="1:7" x14ac:dyDescent="0.35">
      <c r="A4581" t="str">
        <f>"2023-07-13"</f>
        <v>2023-07-13</v>
      </c>
      <c r="B4581" t="str">
        <f>"126.9462"</f>
        <v>126.9462</v>
      </c>
      <c r="C4581">
        <v>4579</v>
      </c>
      <c r="D4581" s="7">
        <v>126.9462</v>
      </c>
      <c r="E4581" s="7">
        <f t="shared" si="142"/>
        <v>581286.64980000001</v>
      </c>
      <c r="F4581" s="7">
        <f t="shared" si="143"/>
        <v>20967241</v>
      </c>
      <c r="G4581" s="7"/>
    </row>
    <row r="4582" spans="1:7" x14ac:dyDescent="0.35">
      <c r="A4582" t="str">
        <f>"2023-07-14"</f>
        <v>2023-07-14</v>
      </c>
      <c r="B4582" t="str">
        <f>"130.0173"</f>
        <v>130.0173</v>
      </c>
      <c r="C4582">
        <v>4580</v>
      </c>
      <c r="D4582" s="7">
        <v>130.01730000000001</v>
      </c>
      <c r="E4582" s="7">
        <f t="shared" si="142"/>
        <v>595479.23400000005</v>
      </c>
      <c r="F4582" s="7">
        <f t="shared" si="143"/>
        <v>20976400</v>
      </c>
      <c r="G4582" s="7"/>
    </row>
    <row r="4583" spans="1:7" x14ac:dyDescent="0.35">
      <c r="A4583" t="str">
        <f>"2023-07-17"</f>
        <v>2023-07-17</v>
      </c>
      <c r="B4583" t="str">
        <f>"132.7879"</f>
        <v>132.7879</v>
      </c>
      <c r="C4583">
        <v>4581</v>
      </c>
      <c r="D4583" s="7">
        <v>132.78790000000001</v>
      </c>
      <c r="E4583" s="7">
        <f t="shared" si="142"/>
        <v>608301.36990000005</v>
      </c>
      <c r="F4583" s="7">
        <f t="shared" si="143"/>
        <v>20985561</v>
      </c>
      <c r="G4583" s="7"/>
    </row>
    <row r="4584" spans="1:7" x14ac:dyDescent="0.35">
      <c r="A4584" t="str">
        <f>"2023-07-18"</f>
        <v>2023-07-18</v>
      </c>
      <c r="B4584" t="str">
        <f>"127.6032"</f>
        <v>127.6032</v>
      </c>
      <c r="C4584">
        <v>4582</v>
      </c>
      <c r="D4584" s="7">
        <v>127.6032</v>
      </c>
      <c r="E4584" s="7">
        <f t="shared" si="142"/>
        <v>584677.86239999998</v>
      </c>
      <c r="F4584" s="7">
        <f t="shared" si="143"/>
        <v>20994724</v>
      </c>
      <c r="G4584" s="7"/>
    </row>
    <row r="4585" spans="1:7" x14ac:dyDescent="0.35">
      <c r="A4585" t="str">
        <f>"2023-07-19"</f>
        <v>2023-07-19</v>
      </c>
      <c r="B4585" t="str">
        <f>"130.5092"</f>
        <v>130.5092</v>
      </c>
      <c r="C4585">
        <v>4583</v>
      </c>
      <c r="D4585" s="7">
        <v>130.50919999999999</v>
      </c>
      <c r="E4585" s="7">
        <f t="shared" si="142"/>
        <v>598123.66359999997</v>
      </c>
      <c r="F4585" s="7">
        <f t="shared" si="143"/>
        <v>21003889</v>
      </c>
      <c r="G4585" s="7"/>
    </row>
    <row r="4586" spans="1:7" x14ac:dyDescent="0.35">
      <c r="A4586" t="str">
        <f>"2023-07-20"</f>
        <v>2023-07-20</v>
      </c>
      <c r="B4586" t="str">
        <f>"132.6843"</f>
        <v>132.6843</v>
      </c>
      <c r="C4586">
        <v>4584</v>
      </c>
      <c r="D4586" s="7">
        <v>132.68430000000001</v>
      </c>
      <c r="E4586" s="7">
        <f t="shared" si="142"/>
        <v>608224.83120000002</v>
      </c>
      <c r="F4586" s="7">
        <f t="shared" si="143"/>
        <v>21013056</v>
      </c>
      <c r="G4586" s="7"/>
    </row>
    <row r="4587" spans="1:7" x14ac:dyDescent="0.35">
      <c r="A4587" t="str">
        <f>"2023-07-21"</f>
        <v>2023-07-21</v>
      </c>
      <c r="B4587" t="str">
        <f>"131.8624"</f>
        <v>131.8624</v>
      </c>
      <c r="C4587">
        <v>4585</v>
      </c>
      <c r="D4587" s="7">
        <v>131.86240000000001</v>
      </c>
      <c r="E4587" s="7">
        <f t="shared" si="142"/>
        <v>604589.10400000005</v>
      </c>
      <c r="F4587" s="7">
        <f t="shared" si="143"/>
        <v>21022225</v>
      </c>
      <c r="G4587" s="7"/>
    </row>
    <row r="4588" spans="1:7" x14ac:dyDescent="0.35">
      <c r="A4588" t="str">
        <f>"2023-07-24"</f>
        <v>2023-07-24</v>
      </c>
      <c r="B4588" t="str">
        <f>"130.5742"</f>
        <v>130.5742</v>
      </c>
      <c r="C4588">
        <v>4586</v>
      </c>
      <c r="D4588" s="7">
        <v>130.57419999999999</v>
      </c>
      <c r="E4588" s="7">
        <f t="shared" si="142"/>
        <v>598813.28119999997</v>
      </c>
      <c r="F4588" s="7">
        <f t="shared" si="143"/>
        <v>21031396</v>
      </c>
      <c r="G4588" s="7"/>
    </row>
    <row r="4589" spans="1:7" x14ac:dyDescent="0.35">
      <c r="A4589" t="str">
        <f>"2023-07-25"</f>
        <v>2023-07-25</v>
      </c>
      <c r="B4589" t="str">
        <f>"127.7252"</f>
        <v>127.7252</v>
      </c>
      <c r="C4589">
        <v>4587</v>
      </c>
      <c r="D4589" s="7">
        <v>127.7252</v>
      </c>
      <c r="E4589" s="7">
        <f t="shared" si="142"/>
        <v>585875.49239999999</v>
      </c>
      <c r="F4589" s="7">
        <f t="shared" si="143"/>
        <v>21040569</v>
      </c>
      <c r="G4589" s="7"/>
    </row>
    <row r="4590" spans="1:7" x14ac:dyDescent="0.35">
      <c r="A4590" t="str">
        <f>"2023-07-26"</f>
        <v>2023-07-26</v>
      </c>
      <c r="B4590" t="str">
        <f>"131.491"</f>
        <v>131.491</v>
      </c>
      <c r="C4590">
        <v>4588</v>
      </c>
      <c r="D4590" s="7">
        <v>131.49100000000001</v>
      </c>
      <c r="E4590" s="7">
        <f t="shared" si="142"/>
        <v>603280.7080000001</v>
      </c>
      <c r="F4590" s="7">
        <f t="shared" si="143"/>
        <v>21049744</v>
      </c>
      <c r="G4590" s="7"/>
    </row>
    <row r="4591" spans="1:7" x14ac:dyDescent="0.35">
      <c r="A4591" t="str">
        <f>"2023-07-27"</f>
        <v>2023-07-27</v>
      </c>
      <c r="B4591" t="str">
        <f>"135.8325"</f>
        <v>135.8325</v>
      </c>
      <c r="C4591">
        <v>4589</v>
      </c>
      <c r="D4591" s="7">
        <v>135.83250000000001</v>
      </c>
      <c r="E4591" s="7">
        <f t="shared" si="142"/>
        <v>623335.34250000003</v>
      </c>
      <c r="F4591" s="7">
        <f t="shared" si="143"/>
        <v>21058921</v>
      </c>
      <c r="G4591" s="7"/>
    </row>
    <row r="4592" spans="1:7" x14ac:dyDescent="0.35">
      <c r="A4592" t="str">
        <f>"2023-07-28"</f>
        <v>2023-07-28</v>
      </c>
      <c r="B4592" t="str">
        <f>"138.3216"</f>
        <v>138.3216</v>
      </c>
      <c r="C4592">
        <v>4590</v>
      </c>
      <c r="D4592" s="7">
        <v>138.32159999999999</v>
      </c>
      <c r="E4592" s="7">
        <f t="shared" si="142"/>
        <v>634896.14399999997</v>
      </c>
      <c r="F4592" s="7">
        <f t="shared" si="143"/>
        <v>21068100</v>
      </c>
      <c r="G4592" s="7"/>
    </row>
    <row r="4593" spans="1:7" x14ac:dyDescent="0.35">
      <c r="A4593" t="str">
        <f>"2023-07-31"</f>
        <v>2023-07-31</v>
      </c>
      <c r="B4593" t="str">
        <f>"137.7895"</f>
        <v>137.7895</v>
      </c>
      <c r="C4593">
        <v>4591</v>
      </c>
      <c r="D4593" s="7">
        <v>137.7895</v>
      </c>
      <c r="E4593" s="7">
        <f t="shared" si="142"/>
        <v>632591.59450000001</v>
      </c>
      <c r="F4593" s="7">
        <f t="shared" si="143"/>
        <v>21077281</v>
      </c>
      <c r="G4593" s="7"/>
    </row>
    <row r="4594" spans="1:7" x14ac:dyDescent="0.35">
      <c r="A4594" t="str">
        <f>"2023-08-01"</f>
        <v>2023-08-01</v>
      </c>
      <c r="B4594" t="str">
        <f>"137.4964"</f>
        <v>137.4964</v>
      </c>
      <c r="C4594">
        <v>4592</v>
      </c>
      <c r="D4594" s="7">
        <v>137.49639999999999</v>
      </c>
      <c r="E4594" s="7">
        <f t="shared" si="142"/>
        <v>631383.46879999992</v>
      </c>
      <c r="F4594" s="7">
        <f t="shared" si="143"/>
        <v>21086464</v>
      </c>
      <c r="G4594" s="7"/>
    </row>
    <row r="4595" spans="1:7" x14ac:dyDescent="0.35">
      <c r="A4595" t="str">
        <f>"2023-08-02"</f>
        <v>2023-08-02</v>
      </c>
      <c r="B4595" t="str">
        <f>"140.7615"</f>
        <v>140.7615</v>
      </c>
      <c r="C4595">
        <v>4593</v>
      </c>
      <c r="D4595" s="7">
        <v>140.76150000000001</v>
      </c>
      <c r="E4595" s="7">
        <f t="shared" si="142"/>
        <v>646517.5695000001</v>
      </c>
      <c r="F4595" s="7">
        <f t="shared" si="143"/>
        <v>21095649</v>
      </c>
      <c r="G4595" s="7"/>
    </row>
    <row r="4596" spans="1:7" x14ac:dyDescent="0.35">
      <c r="A4596" t="str">
        <f>"2023-08-03"</f>
        <v>2023-08-03</v>
      </c>
      <c r="B4596" t="str">
        <f>"140.3179"</f>
        <v>140.3179</v>
      </c>
      <c r="C4596">
        <v>4594</v>
      </c>
      <c r="D4596" s="7">
        <v>140.31790000000001</v>
      </c>
      <c r="E4596" s="7">
        <f t="shared" si="142"/>
        <v>644620.43260000006</v>
      </c>
      <c r="F4596" s="7">
        <f t="shared" si="143"/>
        <v>21104836</v>
      </c>
      <c r="G4596" s="7"/>
    </row>
    <row r="4597" spans="1:7" x14ac:dyDescent="0.35">
      <c r="A4597" t="str">
        <f>"2023-08-04"</f>
        <v>2023-08-04</v>
      </c>
      <c r="B4597" t="str">
        <f>"147.9703"</f>
        <v>147.9703</v>
      </c>
      <c r="C4597">
        <v>4595</v>
      </c>
      <c r="D4597" s="7">
        <v>147.97030000000001</v>
      </c>
      <c r="E4597" s="7">
        <f t="shared" si="142"/>
        <v>679923.52850000001</v>
      </c>
      <c r="F4597" s="7">
        <f t="shared" si="143"/>
        <v>21114025</v>
      </c>
      <c r="G4597" s="7"/>
    </row>
    <row r="4598" spans="1:7" x14ac:dyDescent="0.35">
      <c r="A4598" t="str">
        <f>"2023-08-07"</f>
        <v>2023-08-07</v>
      </c>
      <c r="B4598" t="str">
        <f>"159.0529"</f>
        <v>159.0529</v>
      </c>
      <c r="C4598">
        <v>4596</v>
      </c>
      <c r="D4598" s="7">
        <v>159.05289999999999</v>
      </c>
      <c r="E4598" s="7">
        <f t="shared" si="142"/>
        <v>731007.12839999993</v>
      </c>
      <c r="F4598" s="7">
        <f t="shared" si="143"/>
        <v>21123216</v>
      </c>
      <c r="G4598" s="7"/>
    </row>
    <row r="4599" spans="1:7" x14ac:dyDescent="0.35">
      <c r="A4599" t="str">
        <f>"2023-08-08"</f>
        <v>2023-08-08</v>
      </c>
      <c r="B4599" t="str">
        <f>"156.7114"</f>
        <v>156.7114</v>
      </c>
      <c r="C4599">
        <v>4597</v>
      </c>
      <c r="D4599" s="7">
        <v>156.7114</v>
      </c>
      <c r="E4599" s="7">
        <f t="shared" si="142"/>
        <v>720402.30579999997</v>
      </c>
      <c r="F4599" s="7">
        <f t="shared" si="143"/>
        <v>21132409</v>
      </c>
      <c r="G4599" s="7"/>
    </row>
    <row r="4600" spans="1:7" x14ac:dyDescent="0.35">
      <c r="A4600" t="str">
        <f>"2023-08-09"</f>
        <v>2023-08-09</v>
      </c>
      <c r="B4600" t="str">
        <f>"156.8067"</f>
        <v>156.8067</v>
      </c>
      <c r="C4600">
        <v>4598</v>
      </c>
      <c r="D4600" s="7">
        <v>156.80670000000001</v>
      </c>
      <c r="E4600" s="7">
        <f t="shared" si="142"/>
        <v>720997.20660000003</v>
      </c>
      <c r="F4600" s="7">
        <f t="shared" si="143"/>
        <v>21141604</v>
      </c>
      <c r="G4600" s="7"/>
    </row>
    <row r="4601" spans="1:7" x14ac:dyDescent="0.35">
      <c r="A4601" t="str">
        <f>"2023-08-10"</f>
        <v>2023-08-10</v>
      </c>
      <c r="B4601" t="str">
        <f>"155.8571"</f>
        <v>155.8571</v>
      </c>
      <c r="C4601">
        <v>4599</v>
      </c>
      <c r="D4601" s="7">
        <v>155.8571</v>
      </c>
      <c r="E4601" s="7">
        <f t="shared" si="142"/>
        <v>716786.80290000001</v>
      </c>
      <c r="F4601" s="7">
        <f t="shared" si="143"/>
        <v>21150801</v>
      </c>
      <c r="G4601" s="7"/>
    </row>
    <row r="4602" spans="1:7" x14ac:dyDescent="0.35">
      <c r="A4602" t="str">
        <f>"2023-08-11"</f>
        <v>2023-08-11</v>
      </c>
      <c r="B4602" t="str">
        <f>"159.7063"</f>
        <v>159.7063</v>
      </c>
      <c r="C4602">
        <v>4600</v>
      </c>
      <c r="D4602" s="7">
        <v>159.7063</v>
      </c>
      <c r="E4602" s="7">
        <f t="shared" si="142"/>
        <v>734648.98</v>
      </c>
      <c r="F4602" s="7">
        <f t="shared" si="143"/>
        <v>21160000</v>
      </c>
      <c r="G4602" s="7"/>
    </row>
    <row r="4603" spans="1:7" x14ac:dyDescent="0.35">
      <c r="A4603" t="str">
        <f>"2023-08-14"</f>
        <v>2023-08-14</v>
      </c>
      <c r="B4603" t="str">
        <f>"156.9569"</f>
        <v>156.9569</v>
      </c>
      <c r="C4603">
        <v>4601</v>
      </c>
      <c r="D4603" s="7">
        <v>156.95689999999999</v>
      </c>
      <c r="E4603" s="7">
        <f t="shared" si="142"/>
        <v>722158.69689999998</v>
      </c>
      <c r="F4603" s="7">
        <f t="shared" si="143"/>
        <v>21169201</v>
      </c>
      <c r="G4603" s="7"/>
    </row>
    <row r="4604" spans="1:7" x14ac:dyDescent="0.35">
      <c r="A4604" t="str">
        <f>"2023-08-15"</f>
        <v>2023-08-15</v>
      </c>
      <c r="B4604" t="str">
        <f>"156.9288"</f>
        <v>156.9288</v>
      </c>
      <c r="C4604">
        <v>4602</v>
      </c>
      <c r="D4604" s="7">
        <v>156.9288</v>
      </c>
      <c r="E4604" s="7">
        <f t="shared" si="142"/>
        <v>722186.33759999997</v>
      </c>
      <c r="F4604" s="7">
        <f t="shared" si="143"/>
        <v>21178404</v>
      </c>
      <c r="G4604" s="7"/>
    </row>
    <row r="4605" spans="1:7" x14ac:dyDescent="0.35">
      <c r="A4605" t="str">
        <f>"2023-08-16"</f>
        <v>2023-08-16</v>
      </c>
      <c r="B4605" t="str">
        <f>"154.3485"</f>
        <v>154.3485</v>
      </c>
      <c r="C4605">
        <v>4603</v>
      </c>
      <c r="D4605" s="7">
        <v>154.3485</v>
      </c>
      <c r="E4605" s="7">
        <f t="shared" si="142"/>
        <v>710466.14549999998</v>
      </c>
      <c r="F4605" s="7">
        <f t="shared" si="143"/>
        <v>21187609</v>
      </c>
      <c r="G4605" s="7"/>
    </row>
    <row r="4606" spans="1:7" x14ac:dyDescent="0.35">
      <c r="A4606" t="str">
        <f>"2023-08-17"</f>
        <v>2023-08-17</v>
      </c>
      <c r="B4606" t="str">
        <f>"159.8179"</f>
        <v>159.8179</v>
      </c>
      <c r="C4606">
        <v>4604</v>
      </c>
      <c r="D4606" s="7">
        <v>159.81790000000001</v>
      </c>
      <c r="E4606" s="7">
        <f t="shared" si="142"/>
        <v>735801.61160000006</v>
      </c>
      <c r="F4606" s="7">
        <f t="shared" si="143"/>
        <v>21196816</v>
      </c>
      <c r="G4606" s="7"/>
    </row>
    <row r="4607" spans="1:7" x14ac:dyDescent="0.35">
      <c r="A4607" t="str">
        <f>"2023-08-18"</f>
        <v>2023-08-18</v>
      </c>
      <c r="B4607" t="str">
        <f>"152.8411"</f>
        <v>152.8411</v>
      </c>
      <c r="C4607">
        <v>4605</v>
      </c>
      <c r="D4607" s="7">
        <v>152.84110000000001</v>
      </c>
      <c r="E4607" s="7">
        <f t="shared" si="142"/>
        <v>703833.2655000001</v>
      </c>
      <c r="F4607" s="7">
        <f t="shared" si="143"/>
        <v>21206025</v>
      </c>
      <c r="G4607" s="7"/>
    </row>
    <row r="4608" spans="1:7" x14ac:dyDescent="0.35">
      <c r="A4608" t="str">
        <f>"2023-08-21"</f>
        <v>2023-08-21</v>
      </c>
      <c r="B4608" t="str">
        <f>"156.7853"</f>
        <v>156.7853</v>
      </c>
      <c r="C4608">
        <v>4606</v>
      </c>
      <c r="D4608" s="7">
        <v>156.78530000000001</v>
      </c>
      <c r="E4608" s="7">
        <f t="shared" si="142"/>
        <v>722153.09180000005</v>
      </c>
      <c r="F4608" s="7">
        <f t="shared" si="143"/>
        <v>21215236</v>
      </c>
      <c r="G4608" s="7"/>
    </row>
    <row r="4609" spans="1:7" x14ac:dyDescent="0.35">
      <c r="A4609" t="str">
        <f>"2023-08-22"</f>
        <v>2023-08-22</v>
      </c>
      <c r="B4609" t="str">
        <f>"153.6712"</f>
        <v>153.6712</v>
      </c>
      <c r="C4609">
        <v>4607</v>
      </c>
      <c r="D4609" s="7">
        <v>153.6712</v>
      </c>
      <c r="E4609" s="7">
        <f t="shared" si="142"/>
        <v>707963.21840000001</v>
      </c>
      <c r="F4609" s="7">
        <f t="shared" si="143"/>
        <v>21224449</v>
      </c>
      <c r="G4609" s="7"/>
    </row>
    <row r="4610" spans="1:7" x14ac:dyDescent="0.35">
      <c r="A4610" t="str">
        <f>"2023-08-23"</f>
        <v>2023-08-23</v>
      </c>
      <c r="B4610" t="str">
        <f>"142.8461"</f>
        <v>142.8461</v>
      </c>
      <c r="C4610">
        <v>4608</v>
      </c>
      <c r="D4610" s="7">
        <v>142.84610000000001</v>
      </c>
      <c r="E4610" s="7">
        <f t="shared" si="142"/>
        <v>658234.82880000002</v>
      </c>
      <c r="F4610" s="7">
        <f t="shared" si="143"/>
        <v>21233664</v>
      </c>
      <c r="G4610" s="7"/>
    </row>
    <row r="4611" spans="1:7" x14ac:dyDescent="0.35">
      <c r="A4611" t="str">
        <f>"2023-08-24"</f>
        <v>2023-08-24</v>
      </c>
      <c r="B4611" t="str">
        <f>"137.4431"</f>
        <v>137.4431</v>
      </c>
      <c r="C4611">
        <v>4609</v>
      </c>
      <c r="D4611" s="7">
        <v>137.44309999999999</v>
      </c>
      <c r="E4611" s="7">
        <f t="shared" si="142"/>
        <v>633475.24789999996</v>
      </c>
      <c r="F4611" s="7">
        <f t="shared" si="143"/>
        <v>21242881</v>
      </c>
      <c r="G4611" s="7"/>
    </row>
    <row r="4612" spans="1:7" x14ac:dyDescent="0.35">
      <c r="A4612" t="str">
        <f>"2023-08-25"</f>
        <v>2023-08-25</v>
      </c>
      <c r="B4612" t="str">
        <f>"149.5246"</f>
        <v>149.5246</v>
      </c>
      <c r="C4612">
        <v>4610</v>
      </c>
      <c r="D4612" s="7">
        <v>149.52459999999999</v>
      </c>
      <c r="E4612" s="7">
        <f t="shared" ref="E4612:E4675" si="144">C4612*D4612</f>
        <v>689308.40599999996</v>
      </c>
      <c r="F4612" s="7">
        <f t="shared" ref="F4612:F4675" si="145">C4612*C4612</f>
        <v>21252100</v>
      </c>
      <c r="G4612" s="7"/>
    </row>
    <row r="4613" spans="1:7" x14ac:dyDescent="0.35">
      <c r="A4613" t="str">
        <f>"2023-08-28"</f>
        <v>2023-08-28</v>
      </c>
      <c r="B4613" t="str">
        <f>"157.5367"</f>
        <v>157.5367</v>
      </c>
      <c r="C4613">
        <v>4611</v>
      </c>
      <c r="D4613" s="7">
        <v>157.5367</v>
      </c>
      <c r="E4613" s="7">
        <f t="shared" si="144"/>
        <v>726401.72369999997</v>
      </c>
      <c r="F4613" s="7">
        <f t="shared" si="145"/>
        <v>21261321</v>
      </c>
      <c r="G4613" s="7"/>
    </row>
    <row r="4614" spans="1:7" x14ac:dyDescent="0.35">
      <c r="A4614" t="str">
        <f>"2023-08-29"</f>
        <v>2023-08-29</v>
      </c>
      <c r="B4614" t="str">
        <f>"151.3407"</f>
        <v>151.3407</v>
      </c>
      <c r="C4614">
        <v>4612</v>
      </c>
      <c r="D4614" s="7">
        <v>151.3407</v>
      </c>
      <c r="E4614" s="7">
        <f t="shared" si="144"/>
        <v>697983.30839999998</v>
      </c>
      <c r="F4614" s="7">
        <f t="shared" si="145"/>
        <v>21270544</v>
      </c>
      <c r="G4614" s="7"/>
    </row>
    <row r="4615" spans="1:7" x14ac:dyDescent="0.35">
      <c r="A4615" t="str">
        <f>"2023-08-31"</f>
        <v>2023-08-31</v>
      </c>
      <c r="B4615" t="str">
        <f>"147.3567"</f>
        <v>147.3567</v>
      </c>
      <c r="C4615">
        <v>4613</v>
      </c>
      <c r="D4615" s="7">
        <v>147.35669999999999</v>
      </c>
      <c r="E4615" s="7">
        <f t="shared" si="144"/>
        <v>679756.4571</v>
      </c>
      <c r="F4615" s="7">
        <f t="shared" si="145"/>
        <v>21279769</v>
      </c>
      <c r="G4615" s="7"/>
    </row>
    <row r="4616" spans="1:7" x14ac:dyDescent="0.35">
      <c r="A4616" t="str">
        <f>"2023-09-01"</f>
        <v>2023-09-01</v>
      </c>
      <c r="B4616" t="str">
        <f>"152.606"</f>
        <v>152.606</v>
      </c>
      <c r="C4616">
        <v>4614</v>
      </c>
      <c r="D4616" s="7">
        <v>152.60599999999999</v>
      </c>
      <c r="E4616" s="7">
        <f t="shared" si="144"/>
        <v>704124.08400000003</v>
      </c>
      <c r="F4616" s="7">
        <f t="shared" si="145"/>
        <v>21288996</v>
      </c>
      <c r="G4616" s="7"/>
    </row>
    <row r="4617" spans="1:7" x14ac:dyDescent="0.35">
      <c r="A4617" t="str">
        <f>"2023-09-05"</f>
        <v>2023-09-05</v>
      </c>
      <c r="B4617" t="str">
        <f>"151.999"</f>
        <v>151.999</v>
      </c>
      <c r="C4617">
        <v>4615</v>
      </c>
      <c r="D4617" s="7">
        <v>151.999</v>
      </c>
      <c r="E4617" s="7">
        <f t="shared" si="144"/>
        <v>701475.38500000001</v>
      </c>
      <c r="F4617" s="7">
        <f t="shared" si="145"/>
        <v>21298225</v>
      </c>
      <c r="G4617" s="7"/>
    </row>
    <row r="4618" spans="1:7" x14ac:dyDescent="0.35">
      <c r="A4618" t="str">
        <f>"2023-09-06"</f>
        <v>2023-09-06</v>
      </c>
      <c r="B4618" t="str">
        <f>"148.3487"</f>
        <v>148.3487</v>
      </c>
      <c r="C4618">
        <v>4616</v>
      </c>
      <c r="D4618" s="7">
        <v>148.34870000000001</v>
      </c>
      <c r="E4618" s="7">
        <f t="shared" si="144"/>
        <v>684777.59920000006</v>
      </c>
      <c r="F4618" s="7">
        <f t="shared" si="145"/>
        <v>21307456</v>
      </c>
      <c r="G4618" s="7"/>
    </row>
    <row r="4619" spans="1:7" x14ac:dyDescent="0.35">
      <c r="A4619" t="str">
        <f>"2023-09-07"</f>
        <v>2023-09-07</v>
      </c>
      <c r="B4619" t="str">
        <f>"147.9545"</f>
        <v>147.9545</v>
      </c>
      <c r="C4619">
        <v>4617</v>
      </c>
      <c r="D4619" s="7">
        <v>147.9545</v>
      </c>
      <c r="E4619" s="7">
        <f t="shared" si="144"/>
        <v>683105.92649999994</v>
      </c>
      <c r="F4619" s="7">
        <f t="shared" si="145"/>
        <v>21316689</v>
      </c>
      <c r="G4619" s="7"/>
    </row>
    <row r="4620" spans="1:7" x14ac:dyDescent="0.35">
      <c r="A4620" t="str">
        <f>"2023-09-08"</f>
        <v>2023-09-08</v>
      </c>
      <c r="B4620" t="str">
        <f>"146.8713"</f>
        <v>146.8713</v>
      </c>
      <c r="C4620">
        <v>4618</v>
      </c>
      <c r="D4620" s="7">
        <v>146.87129999999999</v>
      </c>
      <c r="E4620" s="7">
        <f t="shared" si="144"/>
        <v>678251.66339999996</v>
      </c>
      <c r="F4620" s="7">
        <f t="shared" si="145"/>
        <v>21325924</v>
      </c>
      <c r="G4620" s="7"/>
    </row>
    <row r="4621" spans="1:7" x14ac:dyDescent="0.35">
      <c r="A4621" t="str">
        <f>"2023-09-11"</f>
        <v>2023-09-11</v>
      </c>
      <c r="B4621" t="str">
        <f>"142.2204"</f>
        <v>142.2204</v>
      </c>
      <c r="C4621">
        <v>4619</v>
      </c>
      <c r="D4621" s="7">
        <v>142.22040000000001</v>
      </c>
      <c r="E4621" s="7">
        <f t="shared" si="144"/>
        <v>656916.02760000003</v>
      </c>
      <c r="F4621" s="7">
        <f t="shared" si="145"/>
        <v>21335161</v>
      </c>
      <c r="G4621" s="7"/>
    </row>
    <row r="4622" spans="1:7" x14ac:dyDescent="0.35">
      <c r="A4622" t="str">
        <f>"2023-09-12"</f>
        <v>2023-09-12</v>
      </c>
      <c r="B4622" t="str">
        <f>"142.9471"</f>
        <v>142.9471</v>
      </c>
      <c r="C4622">
        <v>4620</v>
      </c>
      <c r="D4622" s="7">
        <v>142.94710000000001</v>
      </c>
      <c r="E4622" s="7">
        <f t="shared" si="144"/>
        <v>660415.60200000007</v>
      </c>
      <c r="F4622" s="7">
        <f t="shared" si="145"/>
        <v>21344400</v>
      </c>
      <c r="G4622" s="7"/>
    </row>
    <row r="4623" spans="1:7" x14ac:dyDescent="0.35">
      <c r="A4623" t="str">
        <f>"2023-09-13"</f>
        <v>2023-09-13</v>
      </c>
      <c r="B4623" t="str">
        <f>"140.2311"</f>
        <v>140.2311</v>
      </c>
      <c r="C4623">
        <v>4621</v>
      </c>
      <c r="D4623" s="7">
        <v>140.2311</v>
      </c>
      <c r="E4623" s="7">
        <f t="shared" si="144"/>
        <v>648007.91310000001</v>
      </c>
      <c r="F4623" s="7">
        <f t="shared" si="145"/>
        <v>21353641</v>
      </c>
      <c r="G4623" s="7"/>
    </row>
    <row r="4624" spans="1:7" x14ac:dyDescent="0.35">
      <c r="A4624" t="str">
        <f>"2023-09-14"</f>
        <v>2023-09-14</v>
      </c>
      <c r="B4624" t="str">
        <f>"144.4595"</f>
        <v>144.4595</v>
      </c>
      <c r="C4624">
        <v>4622</v>
      </c>
      <c r="D4624" s="7">
        <v>144.45949999999999</v>
      </c>
      <c r="E4624" s="7">
        <f t="shared" si="144"/>
        <v>667691.80900000001</v>
      </c>
      <c r="F4624" s="7">
        <f t="shared" si="145"/>
        <v>21362884</v>
      </c>
      <c r="G4624" s="7"/>
    </row>
    <row r="4625" spans="1:7" x14ac:dyDescent="0.35">
      <c r="A4625" t="str">
        <f>"2023-09-15"</f>
        <v>2023-09-15</v>
      </c>
      <c r="B4625" t="str">
        <f>"136.2764"</f>
        <v>136.2764</v>
      </c>
      <c r="C4625">
        <v>4623</v>
      </c>
      <c r="D4625" s="7">
        <v>136.2764</v>
      </c>
      <c r="E4625" s="7">
        <f t="shared" si="144"/>
        <v>630005.79720000003</v>
      </c>
      <c r="F4625" s="7">
        <f t="shared" si="145"/>
        <v>21372129</v>
      </c>
      <c r="G4625" s="7"/>
    </row>
    <row r="4626" spans="1:7" x14ac:dyDescent="0.35">
      <c r="A4626" t="str">
        <f>"2023-09-18"</f>
        <v>2023-09-18</v>
      </c>
      <c r="B4626" t="str">
        <f>"131.1179"</f>
        <v>131.1179</v>
      </c>
      <c r="C4626">
        <v>4624</v>
      </c>
      <c r="D4626" s="7">
        <v>131.11789999999999</v>
      </c>
      <c r="E4626" s="7">
        <f t="shared" si="144"/>
        <v>606289.16959999991</v>
      </c>
      <c r="F4626" s="7">
        <f t="shared" si="145"/>
        <v>21381376</v>
      </c>
      <c r="G4626" s="7"/>
    </row>
    <row r="4627" spans="1:7" x14ac:dyDescent="0.35">
      <c r="A4627" t="str">
        <f>"2023-09-19"</f>
        <v>2023-09-19</v>
      </c>
      <c r="B4627" t="str">
        <f>"130.4036"</f>
        <v>130.4036</v>
      </c>
      <c r="C4627">
        <v>4625</v>
      </c>
      <c r="D4627" s="7">
        <v>130.40360000000001</v>
      </c>
      <c r="E4627" s="7">
        <f t="shared" si="144"/>
        <v>603116.65</v>
      </c>
      <c r="F4627" s="7">
        <f t="shared" si="145"/>
        <v>21390625</v>
      </c>
      <c r="G4627" s="7"/>
    </row>
    <row r="4628" spans="1:7" x14ac:dyDescent="0.35">
      <c r="A4628" t="str">
        <f>"2023-09-20"</f>
        <v>2023-09-20</v>
      </c>
      <c r="B4628" t="str">
        <f>"132.1254"</f>
        <v>132.1254</v>
      </c>
      <c r="C4628">
        <v>4626</v>
      </c>
      <c r="D4628" s="7">
        <v>132.12540000000001</v>
      </c>
      <c r="E4628" s="7">
        <f t="shared" si="144"/>
        <v>611212.10040000011</v>
      </c>
      <c r="F4628" s="7">
        <f t="shared" si="145"/>
        <v>21399876</v>
      </c>
      <c r="G4628" s="7"/>
    </row>
    <row r="4629" spans="1:7" x14ac:dyDescent="0.35">
      <c r="A4629" t="str">
        <f>"2023-09-21"</f>
        <v>2023-09-21</v>
      </c>
      <c r="B4629" t="str">
        <f>"139.4981"</f>
        <v>139.4981</v>
      </c>
      <c r="C4629">
        <v>4627</v>
      </c>
      <c r="D4629" s="7">
        <v>139.49809999999999</v>
      </c>
      <c r="E4629" s="7">
        <f t="shared" si="144"/>
        <v>645457.70869999996</v>
      </c>
      <c r="F4629" s="7">
        <f t="shared" si="145"/>
        <v>21409129</v>
      </c>
      <c r="G4629" s="7"/>
    </row>
    <row r="4630" spans="1:7" x14ac:dyDescent="0.35">
      <c r="A4630" t="str">
        <f>"2023-09-22"</f>
        <v>2023-09-22</v>
      </c>
      <c r="B4630" t="str">
        <f>"134.7544"</f>
        <v>134.7544</v>
      </c>
      <c r="C4630">
        <v>4628</v>
      </c>
      <c r="D4630" s="7">
        <v>134.7544</v>
      </c>
      <c r="E4630" s="7">
        <f t="shared" si="144"/>
        <v>623643.36320000002</v>
      </c>
      <c r="F4630" s="7">
        <f t="shared" si="145"/>
        <v>21418384</v>
      </c>
      <c r="G4630" s="7"/>
    </row>
    <row r="4631" spans="1:7" x14ac:dyDescent="0.35">
      <c r="A4631" t="str">
        <f>"2023-09-25"</f>
        <v>2023-09-25</v>
      </c>
      <c r="B4631" t="str">
        <f>"138.8295"</f>
        <v>138.8295</v>
      </c>
      <c r="C4631">
        <v>4629</v>
      </c>
      <c r="D4631" s="7">
        <v>138.8295</v>
      </c>
      <c r="E4631" s="7">
        <f t="shared" si="144"/>
        <v>642641.75549999997</v>
      </c>
      <c r="F4631" s="7">
        <f t="shared" si="145"/>
        <v>21427641</v>
      </c>
      <c r="G4631" s="7"/>
    </row>
    <row r="4632" spans="1:7" x14ac:dyDescent="0.35">
      <c r="A4632" t="str">
        <f>"2023-09-26"</f>
        <v>2023-09-26</v>
      </c>
      <c r="B4632" t="str">
        <f>"136.8544"</f>
        <v>136.8544</v>
      </c>
      <c r="C4632">
        <v>4630</v>
      </c>
      <c r="D4632" s="7">
        <v>136.8544</v>
      </c>
      <c r="E4632" s="7">
        <f t="shared" si="144"/>
        <v>633635.87199999997</v>
      </c>
      <c r="F4632" s="7">
        <f t="shared" si="145"/>
        <v>21436900</v>
      </c>
      <c r="G4632" s="7"/>
    </row>
    <row r="4633" spans="1:7" x14ac:dyDescent="0.35">
      <c r="A4633" t="str">
        <f>"2023-09-27"</f>
        <v>2023-09-27</v>
      </c>
      <c r="B4633" t="str">
        <f>"140.0347"</f>
        <v>140.0347</v>
      </c>
      <c r="C4633">
        <v>4631</v>
      </c>
      <c r="D4633" s="7">
        <v>140.03469999999999</v>
      </c>
      <c r="E4633" s="7">
        <f t="shared" si="144"/>
        <v>648500.69569999992</v>
      </c>
      <c r="F4633" s="7">
        <f t="shared" si="145"/>
        <v>21446161</v>
      </c>
      <c r="G4633" s="7"/>
    </row>
    <row r="4634" spans="1:7" x14ac:dyDescent="0.35">
      <c r="A4634" t="str">
        <f>"2023-09-28"</f>
        <v>2023-09-28</v>
      </c>
      <c r="B4634" t="str">
        <f>"148.7587"</f>
        <v>148.7587</v>
      </c>
      <c r="C4634">
        <v>4632</v>
      </c>
      <c r="D4634" s="7">
        <v>148.7587</v>
      </c>
      <c r="E4634" s="7">
        <f t="shared" si="144"/>
        <v>689050.29839999997</v>
      </c>
      <c r="F4634" s="7">
        <f t="shared" si="145"/>
        <v>21455424</v>
      </c>
      <c r="G4634" s="7"/>
    </row>
    <row r="4635" spans="1:7" x14ac:dyDescent="0.35">
      <c r="A4635" t="str">
        <f>"2023-09-29"</f>
        <v>2023-09-29</v>
      </c>
      <c r="B4635" t="str">
        <f>"148.632"</f>
        <v>148.632</v>
      </c>
      <c r="C4635">
        <v>4633</v>
      </c>
      <c r="D4635" s="7">
        <v>148.63200000000001</v>
      </c>
      <c r="E4635" s="7">
        <f t="shared" si="144"/>
        <v>688612.05599999998</v>
      </c>
      <c r="F4635" s="7">
        <f t="shared" si="145"/>
        <v>21464689</v>
      </c>
      <c r="G4635" s="7"/>
    </row>
    <row r="4636" spans="1:7" x14ac:dyDescent="0.35">
      <c r="A4636" t="str">
        <f>"2023-10-02"</f>
        <v>2023-10-02</v>
      </c>
      <c r="B4636" t="str">
        <f>"156.7223"</f>
        <v>156.7223</v>
      </c>
      <c r="C4636">
        <v>4634</v>
      </c>
      <c r="D4636" s="7">
        <v>156.72229999999999</v>
      </c>
      <c r="E4636" s="7">
        <f t="shared" si="144"/>
        <v>726251.13819999993</v>
      </c>
      <c r="F4636" s="7">
        <f t="shared" si="145"/>
        <v>21473956</v>
      </c>
      <c r="G4636" s="7"/>
    </row>
    <row r="4637" spans="1:7" x14ac:dyDescent="0.35">
      <c r="A4637" t="str">
        <f>"2023-10-03"</f>
        <v>2023-10-03</v>
      </c>
      <c r="B4637" t="str">
        <f>"153.7572"</f>
        <v>153.7572</v>
      </c>
      <c r="C4637">
        <v>4635</v>
      </c>
      <c r="D4637" s="7">
        <v>153.75720000000001</v>
      </c>
      <c r="E4637" s="7">
        <f t="shared" si="144"/>
        <v>712664.62200000009</v>
      </c>
      <c r="F4637" s="7">
        <f t="shared" si="145"/>
        <v>21483225</v>
      </c>
      <c r="G4637" s="7"/>
    </row>
    <row r="4638" spans="1:7" x14ac:dyDescent="0.35">
      <c r="A4638" t="str">
        <f>"2023-10-04"</f>
        <v>2023-10-04</v>
      </c>
      <c r="B4638" t="str">
        <f>"148.189"</f>
        <v>148.189</v>
      </c>
      <c r="C4638">
        <v>4636</v>
      </c>
      <c r="D4638" s="7">
        <v>148.18899999999999</v>
      </c>
      <c r="E4638" s="7">
        <f t="shared" si="144"/>
        <v>687004.20399999991</v>
      </c>
      <c r="F4638" s="7">
        <f t="shared" si="145"/>
        <v>21492496</v>
      </c>
      <c r="G4638" s="7"/>
    </row>
    <row r="4639" spans="1:7" x14ac:dyDescent="0.35">
      <c r="A4639" t="str">
        <f>"2023-10-05"</f>
        <v>2023-10-05</v>
      </c>
      <c r="B4639" t="str">
        <f>"150.0628"</f>
        <v>150.0628</v>
      </c>
      <c r="C4639">
        <v>4637</v>
      </c>
      <c r="D4639" s="7">
        <v>150.06280000000001</v>
      </c>
      <c r="E4639" s="7">
        <f t="shared" si="144"/>
        <v>695841.20360000001</v>
      </c>
      <c r="F4639" s="7">
        <f t="shared" si="145"/>
        <v>21501769</v>
      </c>
      <c r="G4639" s="7"/>
    </row>
    <row r="4640" spans="1:7" x14ac:dyDescent="0.35">
      <c r="A4640" t="str">
        <f>"2023-10-06"</f>
        <v>2023-10-06</v>
      </c>
      <c r="B4640" t="str">
        <f>"146.8865"</f>
        <v>146.8865</v>
      </c>
      <c r="C4640">
        <v>4638</v>
      </c>
      <c r="D4640" s="7">
        <v>146.88650000000001</v>
      </c>
      <c r="E4640" s="7">
        <f t="shared" si="144"/>
        <v>681259.58700000006</v>
      </c>
      <c r="F4640" s="7">
        <f t="shared" si="145"/>
        <v>21511044</v>
      </c>
      <c r="G4640" s="7"/>
    </row>
    <row r="4641" spans="1:7" x14ac:dyDescent="0.35">
      <c r="A4641" t="str">
        <f>"2023-10-09"</f>
        <v>2023-10-09</v>
      </c>
      <c r="B4641" t="str">
        <f>"137.8746"</f>
        <v>137.8746</v>
      </c>
      <c r="C4641">
        <v>4639</v>
      </c>
      <c r="D4641" s="7">
        <v>137.87459999999999</v>
      </c>
      <c r="E4641" s="7">
        <f t="shared" si="144"/>
        <v>639600.26939999999</v>
      </c>
      <c r="F4641" s="7">
        <f t="shared" si="145"/>
        <v>21520321</v>
      </c>
      <c r="G4641" s="7"/>
    </row>
    <row r="4642" spans="1:7" x14ac:dyDescent="0.35">
      <c r="A4642" t="str">
        <f>"2023-10-10"</f>
        <v>2023-10-10</v>
      </c>
      <c r="B4642" t="str">
        <f>"143.5601"</f>
        <v>143.5601</v>
      </c>
      <c r="C4642">
        <v>4640</v>
      </c>
      <c r="D4642" s="7">
        <v>143.56010000000001</v>
      </c>
      <c r="E4642" s="7">
        <f t="shared" si="144"/>
        <v>666118.86400000006</v>
      </c>
      <c r="F4642" s="7">
        <f t="shared" si="145"/>
        <v>21529600</v>
      </c>
      <c r="G4642" s="7"/>
    </row>
    <row r="4643" spans="1:7" x14ac:dyDescent="0.35">
      <c r="A4643" t="str">
        <f>"2023-10-11"</f>
        <v>2023-10-11</v>
      </c>
      <c r="B4643" t="str">
        <f>"137.8237"</f>
        <v>137.8237</v>
      </c>
      <c r="C4643">
        <v>4641</v>
      </c>
      <c r="D4643" s="7">
        <v>137.8237</v>
      </c>
      <c r="E4643" s="7">
        <f t="shared" si="144"/>
        <v>639639.79170000006</v>
      </c>
      <c r="F4643" s="7">
        <f t="shared" si="145"/>
        <v>21538881</v>
      </c>
      <c r="G4643" s="7"/>
    </row>
    <row r="4644" spans="1:7" x14ac:dyDescent="0.35">
      <c r="A4644" t="str">
        <f>"2023-10-12"</f>
        <v>2023-10-12</v>
      </c>
      <c r="B4644" t="str">
        <f>"135.1236"</f>
        <v>135.1236</v>
      </c>
      <c r="C4644">
        <v>4642</v>
      </c>
      <c r="D4644" s="7">
        <v>135.12360000000001</v>
      </c>
      <c r="E4644" s="7">
        <f t="shared" si="144"/>
        <v>627243.75120000006</v>
      </c>
      <c r="F4644" s="7">
        <f t="shared" si="145"/>
        <v>21548164</v>
      </c>
      <c r="G4644" s="7"/>
    </row>
    <row r="4645" spans="1:7" x14ac:dyDescent="0.35">
      <c r="A4645" t="str">
        <f>"2023-10-13"</f>
        <v>2023-10-13</v>
      </c>
      <c r="B4645" t="str">
        <f>"128.7883"</f>
        <v>128.7883</v>
      </c>
      <c r="C4645">
        <v>4643</v>
      </c>
      <c r="D4645" s="7">
        <v>128.78829999999999</v>
      </c>
      <c r="E4645" s="7">
        <f t="shared" si="144"/>
        <v>597964.07689999999</v>
      </c>
      <c r="F4645" s="7">
        <f t="shared" si="145"/>
        <v>21557449</v>
      </c>
      <c r="G4645" s="7"/>
    </row>
    <row r="4646" spans="1:7" x14ac:dyDescent="0.35">
      <c r="A4646" t="str">
        <f>"2023-10-16"</f>
        <v>2023-10-16</v>
      </c>
      <c r="B4646" t="str">
        <f>"130.3124"</f>
        <v>130.3124</v>
      </c>
      <c r="C4646">
        <v>4644</v>
      </c>
      <c r="D4646" s="7">
        <v>130.3124</v>
      </c>
      <c r="E4646" s="7">
        <f t="shared" si="144"/>
        <v>605170.78559999994</v>
      </c>
      <c r="F4646" s="7">
        <f t="shared" si="145"/>
        <v>21566736</v>
      </c>
      <c r="G4646" s="7"/>
    </row>
    <row r="4647" spans="1:7" x14ac:dyDescent="0.35">
      <c r="A4647" t="str">
        <f>"2023-10-17"</f>
        <v>2023-10-17</v>
      </c>
      <c r="B4647" t="str">
        <f>"130.6571"</f>
        <v>130.6571</v>
      </c>
      <c r="C4647">
        <v>4645</v>
      </c>
      <c r="D4647" s="7">
        <v>130.65710000000001</v>
      </c>
      <c r="E4647" s="7">
        <f t="shared" si="144"/>
        <v>606902.22950000002</v>
      </c>
      <c r="F4647" s="7">
        <f t="shared" si="145"/>
        <v>21576025</v>
      </c>
      <c r="G4647" s="7"/>
    </row>
    <row r="4648" spans="1:7" x14ac:dyDescent="0.35">
      <c r="A4648" t="str">
        <f>"2023-10-18"</f>
        <v>2023-10-18</v>
      </c>
      <c r="B4648" t="str">
        <f>"123.1671"</f>
        <v>123.1671</v>
      </c>
      <c r="C4648">
        <v>4646</v>
      </c>
      <c r="D4648" s="7">
        <v>123.1671</v>
      </c>
      <c r="E4648" s="7">
        <f t="shared" si="144"/>
        <v>572234.34660000005</v>
      </c>
      <c r="F4648" s="7">
        <f t="shared" si="145"/>
        <v>21585316</v>
      </c>
      <c r="G4648" s="7"/>
    </row>
    <row r="4649" spans="1:7" x14ac:dyDescent="0.35">
      <c r="A4649" t="str">
        <f>"2023-10-19"</f>
        <v>2023-10-19</v>
      </c>
      <c r="B4649" t="str">
        <f>"120.4581"</f>
        <v>120.4581</v>
      </c>
      <c r="C4649">
        <v>4647</v>
      </c>
      <c r="D4649" s="7">
        <v>120.4581</v>
      </c>
      <c r="E4649" s="7">
        <f t="shared" si="144"/>
        <v>559768.79070000001</v>
      </c>
      <c r="F4649" s="7">
        <f t="shared" si="145"/>
        <v>21594609</v>
      </c>
      <c r="G4649" s="7"/>
    </row>
    <row r="4650" spans="1:7" x14ac:dyDescent="0.35">
      <c r="A4650" t="str">
        <f>"2023-10-20"</f>
        <v>2023-10-20</v>
      </c>
      <c r="B4650" t="str">
        <f>"115.9422"</f>
        <v>115.9422</v>
      </c>
      <c r="C4650">
        <v>4648</v>
      </c>
      <c r="D4650" s="7">
        <v>115.9422</v>
      </c>
      <c r="E4650" s="7">
        <f t="shared" si="144"/>
        <v>538899.3456</v>
      </c>
      <c r="F4650" s="7">
        <f t="shared" si="145"/>
        <v>21603904</v>
      </c>
      <c r="G4650" s="7"/>
    </row>
    <row r="4651" spans="1:7" x14ac:dyDescent="0.35">
      <c r="A4651" t="str">
        <f>"2023-10-23"</f>
        <v>2023-10-23</v>
      </c>
      <c r="B4651" t="str">
        <f>"119.9029"</f>
        <v>119.9029</v>
      </c>
      <c r="C4651">
        <v>4649</v>
      </c>
      <c r="D4651" s="7">
        <v>119.9029</v>
      </c>
      <c r="E4651" s="7">
        <f t="shared" si="144"/>
        <v>557428.5821</v>
      </c>
      <c r="F4651" s="7">
        <f t="shared" si="145"/>
        <v>21613201</v>
      </c>
      <c r="G4651" s="7"/>
    </row>
    <row r="4652" spans="1:7" x14ac:dyDescent="0.35">
      <c r="A4652" t="str">
        <f>"2023-10-24"</f>
        <v>2023-10-24</v>
      </c>
      <c r="B4652" t="str">
        <f>"122.2574"</f>
        <v>122.2574</v>
      </c>
      <c r="C4652">
        <v>4650</v>
      </c>
      <c r="D4652" s="7">
        <v>122.2574</v>
      </c>
      <c r="E4652" s="7">
        <f t="shared" si="144"/>
        <v>568496.91</v>
      </c>
      <c r="F4652" s="7">
        <f t="shared" si="145"/>
        <v>21622500</v>
      </c>
      <c r="G4652" s="7"/>
    </row>
    <row r="4653" spans="1:7" x14ac:dyDescent="0.35">
      <c r="A4653" t="str">
        <f>"2023-10-25"</f>
        <v>2023-10-25</v>
      </c>
      <c r="B4653" t="str">
        <f>"113.1587"</f>
        <v>113.1587</v>
      </c>
      <c r="C4653">
        <v>4651</v>
      </c>
      <c r="D4653" s="7">
        <v>113.1587</v>
      </c>
      <c r="E4653" s="7">
        <f t="shared" si="144"/>
        <v>526301.11369999999</v>
      </c>
      <c r="F4653" s="7">
        <f t="shared" si="145"/>
        <v>21631801</v>
      </c>
      <c r="G4653" s="7"/>
    </row>
    <row r="4654" spans="1:7" x14ac:dyDescent="0.35">
      <c r="A4654" t="str">
        <f>"2023-10-26"</f>
        <v>2023-10-26</v>
      </c>
      <c r="B4654" t="str">
        <f>"119.1068"</f>
        <v>119.1068</v>
      </c>
      <c r="C4654">
        <v>4652</v>
      </c>
      <c r="D4654" s="7">
        <v>119.10680000000001</v>
      </c>
      <c r="E4654" s="7">
        <f t="shared" si="144"/>
        <v>554084.83360000001</v>
      </c>
      <c r="F4654" s="7">
        <f t="shared" si="145"/>
        <v>21641104</v>
      </c>
      <c r="G4654" s="7"/>
    </row>
    <row r="4655" spans="1:7" x14ac:dyDescent="0.35">
      <c r="A4655" t="str">
        <f>"2023-10-27"</f>
        <v>2023-10-27</v>
      </c>
      <c r="B4655" t="str">
        <f>"120.6107"</f>
        <v>120.6107</v>
      </c>
      <c r="C4655">
        <v>4653</v>
      </c>
      <c r="D4655" s="7">
        <v>120.61069999999999</v>
      </c>
      <c r="E4655" s="7">
        <f t="shared" si="144"/>
        <v>561201.5871</v>
      </c>
      <c r="F4655" s="7">
        <f t="shared" si="145"/>
        <v>21650409</v>
      </c>
      <c r="G4655" s="7"/>
    </row>
    <row r="4656" spans="1:7" x14ac:dyDescent="0.35">
      <c r="A4656" t="str">
        <f>"2023-10-30"</f>
        <v>2023-10-30</v>
      </c>
      <c r="B4656" t="str">
        <f>"120.9367"</f>
        <v>120.9367</v>
      </c>
      <c r="C4656">
        <v>4654</v>
      </c>
      <c r="D4656" s="7">
        <v>120.9367</v>
      </c>
      <c r="E4656" s="7">
        <f t="shared" si="144"/>
        <v>562839.40179999999</v>
      </c>
      <c r="F4656" s="7">
        <f t="shared" si="145"/>
        <v>21659716</v>
      </c>
      <c r="G4656" s="7"/>
    </row>
    <row r="4657" spans="1:7" x14ac:dyDescent="0.35">
      <c r="A4657" t="str">
        <f>"2023-10-31"</f>
        <v>2023-10-31</v>
      </c>
      <c r="B4657" t="str">
        <f>"120.485"</f>
        <v>120.485</v>
      </c>
      <c r="C4657">
        <v>4655</v>
      </c>
      <c r="D4657" s="7">
        <v>120.485</v>
      </c>
      <c r="E4657" s="7">
        <f t="shared" si="144"/>
        <v>560857.67500000005</v>
      </c>
      <c r="F4657" s="7">
        <f t="shared" si="145"/>
        <v>21669025</v>
      </c>
      <c r="G4657" s="7"/>
    </row>
    <row r="4658" spans="1:7" x14ac:dyDescent="0.35">
      <c r="A4658" t="str">
        <f>"2023-11-01"</f>
        <v>2023-11-01</v>
      </c>
      <c r="B4658" t="str">
        <f>"121.1267"</f>
        <v>121.1267</v>
      </c>
      <c r="C4658">
        <v>4656</v>
      </c>
      <c r="D4658" s="7">
        <v>121.1267</v>
      </c>
      <c r="E4658" s="7">
        <f t="shared" si="144"/>
        <v>563965.91520000005</v>
      </c>
      <c r="F4658" s="7">
        <f t="shared" si="145"/>
        <v>21678336</v>
      </c>
      <c r="G4658" s="7"/>
    </row>
    <row r="4659" spans="1:7" x14ac:dyDescent="0.35">
      <c r="A4659" t="str">
        <f>"2023-11-02"</f>
        <v>2023-11-02</v>
      </c>
      <c r="B4659" t="str">
        <f>"123.3337"</f>
        <v>123.3337</v>
      </c>
      <c r="C4659">
        <v>4657</v>
      </c>
      <c r="D4659" s="7">
        <v>123.33369999999999</v>
      </c>
      <c r="E4659" s="7">
        <f t="shared" si="144"/>
        <v>574365.04090000002</v>
      </c>
      <c r="F4659" s="7">
        <f t="shared" si="145"/>
        <v>21687649</v>
      </c>
      <c r="G4659" s="7"/>
    </row>
    <row r="4660" spans="1:7" x14ac:dyDescent="0.35">
      <c r="A4660" t="str">
        <f>"2023-11-03"</f>
        <v>2023-11-03</v>
      </c>
      <c r="B4660" t="str">
        <f>"124.3"</f>
        <v>124.3</v>
      </c>
      <c r="C4660">
        <v>4658</v>
      </c>
      <c r="D4660" s="7">
        <v>124.3</v>
      </c>
      <c r="E4660" s="7">
        <f t="shared" si="144"/>
        <v>578989.4</v>
      </c>
      <c r="F4660" s="7">
        <f t="shared" si="145"/>
        <v>21696964</v>
      </c>
      <c r="G4660" s="7"/>
    </row>
    <row r="4661" spans="1:7" x14ac:dyDescent="0.35">
      <c r="A4661" t="str">
        <f>"2023-11-06"</f>
        <v>2023-11-06</v>
      </c>
      <c r="B4661" t="str">
        <f>"125.0908"</f>
        <v>125.0908</v>
      </c>
      <c r="C4661">
        <v>4659</v>
      </c>
      <c r="D4661" s="7">
        <v>125.0908</v>
      </c>
      <c r="E4661" s="7">
        <f t="shared" si="144"/>
        <v>582798.03720000002</v>
      </c>
      <c r="F4661" s="7">
        <f t="shared" si="145"/>
        <v>21706281</v>
      </c>
      <c r="G4661" s="7"/>
    </row>
    <row r="4662" spans="1:7" x14ac:dyDescent="0.35">
      <c r="A4662" t="str">
        <f>"2023-11-07"</f>
        <v>2023-11-07</v>
      </c>
      <c r="B4662" t="str">
        <f>"125.6354"</f>
        <v>125.6354</v>
      </c>
      <c r="C4662">
        <v>4660</v>
      </c>
      <c r="D4662" s="7">
        <v>125.6354</v>
      </c>
      <c r="E4662" s="7">
        <f t="shared" si="144"/>
        <v>585460.96400000004</v>
      </c>
      <c r="F4662" s="7">
        <f t="shared" si="145"/>
        <v>21715600</v>
      </c>
      <c r="G4662" s="7"/>
    </row>
    <row r="4663" spans="1:7" x14ac:dyDescent="0.35">
      <c r="A4663" t="str">
        <f>"2023-11-08"</f>
        <v>2023-11-08</v>
      </c>
      <c r="B4663" t="str">
        <f>"127.8631"</f>
        <v>127.8631</v>
      </c>
      <c r="C4663">
        <v>4661</v>
      </c>
      <c r="D4663" s="7">
        <v>127.8631</v>
      </c>
      <c r="E4663" s="7">
        <f t="shared" si="144"/>
        <v>595969.90910000005</v>
      </c>
      <c r="F4663" s="7">
        <f t="shared" si="145"/>
        <v>21724921</v>
      </c>
      <c r="G4663" s="7"/>
    </row>
    <row r="4664" spans="1:7" x14ac:dyDescent="0.35">
      <c r="A4664" t="str">
        <f>"2023-11-09"</f>
        <v>2023-11-09</v>
      </c>
      <c r="B4664" t="str">
        <f>"127.8263"</f>
        <v>127.8263</v>
      </c>
      <c r="C4664">
        <v>4662</v>
      </c>
      <c r="D4664" s="7">
        <v>127.8263</v>
      </c>
      <c r="E4664" s="7">
        <f t="shared" si="144"/>
        <v>595926.21059999999</v>
      </c>
      <c r="F4664" s="7">
        <f t="shared" si="145"/>
        <v>21734244</v>
      </c>
      <c r="G4664" s="7"/>
    </row>
    <row r="4665" spans="1:7" x14ac:dyDescent="0.35">
      <c r="A4665" t="str">
        <f>"2023-11-10"</f>
        <v>2023-11-10</v>
      </c>
      <c r="B4665" t="str">
        <f>"129.2571"</f>
        <v>129.2571</v>
      </c>
      <c r="C4665">
        <v>4663</v>
      </c>
      <c r="D4665" s="7">
        <v>129.25710000000001</v>
      </c>
      <c r="E4665" s="7">
        <f t="shared" si="144"/>
        <v>602725.85730000003</v>
      </c>
      <c r="F4665" s="7">
        <f t="shared" si="145"/>
        <v>21743569</v>
      </c>
      <c r="G4665" s="7"/>
    </row>
    <row r="4666" spans="1:7" x14ac:dyDescent="0.35">
      <c r="A4666" t="str">
        <f>"2023-11-13"</f>
        <v>2023-11-13</v>
      </c>
      <c r="B4666" t="str">
        <f>"130.1929"</f>
        <v>130.1929</v>
      </c>
      <c r="C4666">
        <v>4664</v>
      </c>
      <c r="D4666" s="7">
        <v>130.19290000000001</v>
      </c>
      <c r="E4666" s="7">
        <f t="shared" si="144"/>
        <v>607219.68560000008</v>
      </c>
      <c r="F4666" s="7">
        <f t="shared" si="145"/>
        <v>21752896</v>
      </c>
      <c r="G4666" s="7"/>
    </row>
    <row r="4667" spans="1:7" x14ac:dyDescent="0.35">
      <c r="A4667" t="str">
        <f>"2023-11-14"</f>
        <v>2023-11-14</v>
      </c>
      <c r="B4667" t="str">
        <f>"131.4097"</f>
        <v>131.4097</v>
      </c>
      <c r="C4667">
        <v>4665</v>
      </c>
      <c r="D4667" s="7">
        <v>131.40969999999999</v>
      </c>
      <c r="E4667" s="7">
        <f t="shared" si="144"/>
        <v>613026.25049999997</v>
      </c>
      <c r="F4667" s="7">
        <f t="shared" si="145"/>
        <v>21762225</v>
      </c>
      <c r="G4667" s="7"/>
    </row>
    <row r="4668" spans="1:7" x14ac:dyDescent="0.35">
      <c r="A4668" t="str">
        <f>"2023-11-15"</f>
        <v>2023-11-15</v>
      </c>
      <c r="B4668" t="str">
        <f>"130.5314"</f>
        <v>130.5314</v>
      </c>
      <c r="C4668">
        <v>4666</v>
      </c>
      <c r="D4668" s="7">
        <v>130.53139999999999</v>
      </c>
      <c r="E4668" s="7">
        <f t="shared" si="144"/>
        <v>609059.51240000001</v>
      </c>
      <c r="F4668" s="7">
        <f t="shared" si="145"/>
        <v>21771556</v>
      </c>
      <c r="G4668" s="7"/>
    </row>
    <row r="4669" spans="1:7" x14ac:dyDescent="0.35">
      <c r="A4669" t="str">
        <f>"2023-11-16"</f>
        <v>2023-11-16</v>
      </c>
      <c r="B4669" t="str">
        <f>"133.5483"</f>
        <v>133.5483</v>
      </c>
      <c r="C4669">
        <v>4667</v>
      </c>
      <c r="D4669" s="7">
        <v>133.54830000000001</v>
      </c>
      <c r="E4669" s="7">
        <f t="shared" si="144"/>
        <v>623269.91610000003</v>
      </c>
      <c r="F4669" s="7">
        <f t="shared" si="145"/>
        <v>21780889</v>
      </c>
      <c r="G4669" s="7"/>
    </row>
    <row r="4670" spans="1:7" x14ac:dyDescent="0.35">
      <c r="A4670" t="str">
        <f>"2023-11-17"</f>
        <v>2023-11-17</v>
      </c>
      <c r="B4670" t="str">
        <f>"139.0412"</f>
        <v>139.0412</v>
      </c>
      <c r="C4670">
        <v>4668</v>
      </c>
      <c r="D4670" s="7">
        <v>139.0412</v>
      </c>
      <c r="E4670" s="7">
        <f t="shared" si="144"/>
        <v>649044.32160000002</v>
      </c>
      <c r="F4670" s="7">
        <f t="shared" si="145"/>
        <v>21790224</v>
      </c>
      <c r="G4670" s="7"/>
    </row>
    <row r="4671" spans="1:7" x14ac:dyDescent="0.35">
      <c r="A4671" t="str">
        <f>"2023-11-20"</f>
        <v>2023-11-20</v>
      </c>
      <c r="B4671" t="str">
        <f>"139.8529"</f>
        <v>139.8529</v>
      </c>
      <c r="C4671">
        <v>4669</v>
      </c>
      <c r="D4671" s="7">
        <v>139.85290000000001</v>
      </c>
      <c r="E4671" s="7">
        <f t="shared" si="144"/>
        <v>652973.19010000001</v>
      </c>
      <c r="F4671" s="7">
        <f t="shared" si="145"/>
        <v>21799561</v>
      </c>
      <c r="G4671" s="7"/>
    </row>
    <row r="4672" spans="1:7" x14ac:dyDescent="0.35">
      <c r="A4672" t="str">
        <f>"2023-11-21"</f>
        <v>2023-11-21</v>
      </c>
      <c r="B4672" t="str">
        <f>"145.1502"</f>
        <v>145.1502</v>
      </c>
      <c r="C4672">
        <v>4670</v>
      </c>
      <c r="D4672" s="7">
        <v>145.15020000000001</v>
      </c>
      <c r="E4672" s="7">
        <f t="shared" si="144"/>
        <v>677851.43400000001</v>
      </c>
      <c r="F4672" s="7">
        <f t="shared" si="145"/>
        <v>21808900</v>
      </c>
      <c r="G4672" s="7"/>
    </row>
    <row r="4673" spans="1:7" x14ac:dyDescent="0.35">
      <c r="A4673" t="str">
        <f>"2023-11-22"</f>
        <v>2023-11-22</v>
      </c>
      <c r="B4673" t="str">
        <f>"142.1184"</f>
        <v>142.1184</v>
      </c>
      <c r="C4673">
        <v>4671</v>
      </c>
      <c r="D4673" s="7">
        <v>142.11840000000001</v>
      </c>
      <c r="E4673" s="7">
        <f t="shared" si="144"/>
        <v>663835.04639999999</v>
      </c>
      <c r="F4673" s="7">
        <f t="shared" si="145"/>
        <v>21818241</v>
      </c>
      <c r="G4673" s="7"/>
    </row>
    <row r="4674" spans="1:7" x14ac:dyDescent="0.35">
      <c r="A4674" t="str">
        <f>"2023-11-24"</f>
        <v>2023-11-24</v>
      </c>
      <c r="B4674" t="str">
        <f>"139.9109"</f>
        <v>139.9109</v>
      </c>
      <c r="C4674">
        <v>4672</v>
      </c>
      <c r="D4674" s="7">
        <v>139.9109</v>
      </c>
      <c r="E4674" s="7">
        <f t="shared" si="144"/>
        <v>653663.72479999997</v>
      </c>
      <c r="F4674" s="7">
        <f t="shared" si="145"/>
        <v>21827584</v>
      </c>
      <c r="G4674" s="7"/>
    </row>
    <row r="4675" spans="1:7" x14ac:dyDescent="0.35">
      <c r="A4675" t="str">
        <f>"2023-11-27"</f>
        <v>2023-11-27</v>
      </c>
      <c r="B4675" t="str">
        <f>"139.6363"</f>
        <v>139.6363</v>
      </c>
      <c r="C4675">
        <v>4673</v>
      </c>
      <c r="D4675" s="7">
        <v>139.63630000000001</v>
      </c>
      <c r="E4675" s="7">
        <f t="shared" si="144"/>
        <v>652520.42989999999</v>
      </c>
      <c r="F4675" s="7">
        <f t="shared" si="145"/>
        <v>21836929</v>
      </c>
      <c r="G4675" s="7"/>
    </row>
    <row r="4676" spans="1:7" x14ac:dyDescent="0.35">
      <c r="A4676" t="str">
        <f>"2023-11-28"</f>
        <v>2023-11-28</v>
      </c>
      <c r="B4676" t="str">
        <f>"137.6716"</f>
        <v>137.6716</v>
      </c>
      <c r="C4676">
        <v>4674</v>
      </c>
      <c r="D4676" s="7">
        <v>137.67160000000001</v>
      </c>
      <c r="E4676" s="7">
        <f t="shared" ref="E4676:E4739" si="146">C4676*D4676</f>
        <v>643477.0584000001</v>
      </c>
      <c r="F4676" s="7">
        <f t="shared" ref="F4676:F4739" si="147">C4676*C4676</f>
        <v>21846276</v>
      </c>
      <c r="G4676" s="7"/>
    </row>
    <row r="4677" spans="1:7" x14ac:dyDescent="0.35">
      <c r="A4677" t="str">
        <f>"2023-11-29"</f>
        <v>2023-11-29</v>
      </c>
      <c r="B4677" t="str">
        <f>"133.9779"</f>
        <v>133.9779</v>
      </c>
      <c r="C4677">
        <v>4675</v>
      </c>
      <c r="D4677" s="7">
        <v>133.97790000000001</v>
      </c>
      <c r="E4677" s="7">
        <f t="shared" si="146"/>
        <v>626346.6825</v>
      </c>
      <c r="F4677" s="7">
        <f t="shared" si="147"/>
        <v>21855625</v>
      </c>
      <c r="G4677" s="7"/>
    </row>
    <row r="4678" spans="1:7" x14ac:dyDescent="0.35">
      <c r="A4678" t="str">
        <f>"2023-11-30"</f>
        <v>2023-11-30</v>
      </c>
      <c r="B4678" t="str">
        <f>"132.3565"</f>
        <v>132.3565</v>
      </c>
      <c r="C4678">
        <v>4676</v>
      </c>
      <c r="D4678" s="7">
        <v>132.35650000000001</v>
      </c>
      <c r="E4678" s="7">
        <f t="shared" si="146"/>
        <v>618898.99400000006</v>
      </c>
      <c r="F4678" s="7">
        <f t="shared" si="147"/>
        <v>21864976</v>
      </c>
      <c r="G4678" s="7"/>
    </row>
    <row r="4679" spans="1:7" x14ac:dyDescent="0.35">
      <c r="A4679" t="str">
        <f>"2023-12-01"</f>
        <v>2023-12-01</v>
      </c>
      <c r="B4679" t="str">
        <f>"135.5689"</f>
        <v>135.5689</v>
      </c>
      <c r="C4679">
        <v>4677</v>
      </c>
      <c r="D4679" s="7">
        <v>135.56890000000001</v>
      </c>
      <c r="E4679" s="7">
        <f t="shared" si="146"/>
        <v>634055.74530000007</v>
      </c>
      <c r="F4679" s="7">
        <f t="shared" si="147"/>
        <v>21874329</v>
      </c>
      <c r="G4679" s="7"/>
    </row>
    <row r="4680" spans="1:7" x14ac:dyDescent="0.35">
      <c r="A4680" t="str">
        <f>"2023-12-04"</f>
        <v>2023-12-04</v>
      </c>
      <c r="B4680" t="str">
        <f>"139.3278"</f>
        <v>139.3278</v>
      </c>
      <c r="C4680">
        <v>4678</v>
      </c>
      <c r="D4680" s="7">
        <v>139.3278</v>
      </c>
      <c r="E4680" s="7">
        <f t="shared" si="146"/>
        <v>651775.44839999999</v>
      </c>
      <c r="F4680" s="7">
        <f t="shared" si="147"/>
        <v>21883684</v>
      </c>
      <c r="G4680" s="7"/>
    </row>
    <row r="4681" spans="1:7" x14ac:dyDescent="0.35">
      <c r="A4681" t="str">
        <f>"2023-12-05"</f>
        <v>2023-12-05</v>
      </c>
      <c r="B4681" t="str">
        <f>"138.0114"</f>
        <v>138.0114</v>
      </c>
      <c r="C4681">
        <v>4679</v>
      </c>
      <c r="D4681" s="7">
        <v>138.01140000000001</v>
      </c>
      <c r="E4681" s="7">
        <f t="shared" si="146"/>
        <v>645755.3406</v>
      </c>
      <c r="F4681" s="7">
        <f t="shared" si="147"/>
        <v>21893041</v>
      </c>
      <c r="G4681" s="7"/>
    </row>
    <row r="4682" spans="1:7" x14ac:dyDescent="0.35">
      <c r="A4682" t="str">
        <f>"2023-12-06"</f>
        <v>2023-12-06</v>
      </c>
      <c r="B4682" t="str">
        <f>"133.1048"</f>
        <v>133.1048</v>
      </c>
      <c r="C4682">
        <v>4680</v>
      </c>
      <c r="D4682" s="7">
        <v>133.10480000000001</v>
      </c>
      <c r="E4682" s="7">
        <f t="shared" si="146"/>
        <v>622930.46400000004</v>
      </c>
      <c r="F4682" s="7">
        <f t="shared" si="147"/>
        <v>21902400</v>
      </c>
      <c r="G4682" s="7"/>
    </row>
    <row r="4683" spans="1:7" x14ac:dyDescent="0.35">
      <c r="A4683" t="str">
        <f>"2023-12-07"</f>
        <v>2023-12-07</v>
      </c>
      <c r="B4683" t="str">
        <f>"137.6475"</f>
        <v>137.6475</v>
      </c>
      <c r="C4683">
        <v>4681</v>
      </c>
      <c r="D4683" s="7">
        <v>137.64750000000001</v>
      </c>
      <c r="E4683" s="7">
        <f t="shared" si="146"/>
        <v>644327.94750000001</v>
      </c>
      <c r="F4683" s="7">
        <f t="shared" si="147"/>
        <v>21911761</v>
      </c>
      <c r="G4683" s="7"/>
    </row>
    <row r="4684" spans="1:7" x14ac:dyDescent="0.35">
      <c r="A4684" t="str">
        <f>"2023-12-08"</f>
        <v>2023-12-08</v>
      </c>
      <c r="B4684" t="str">
        <f>"136.7488"</f>
        <v>136.7488</v>
      </c>
      <c r="C4684">
        <v>4682</v>
      </c>
      <c r="D4684" s="7">
        <v>136.74879999999999</v>
      </c>
      <c r="E4684" s="7">
        <f t="shared" si="146"/>
        <v>640257.88159999996</v>
      </c>
      <c r="F4684" s="7">
        <f t="shared" si="147"/>
        <v>21921124</v>
      </c>
      <c r="G4684" s="7"/>
    </row>
    <row r="4685" spans="1:7" x14ac:dyDescent="0.35">
      <c r="A4685" t="str">
        <f>"2023-12-11"</f>
        <v>2023-12-11</v>
      </c>
      <c r="B4685" t="str">
        <f>"134.1247"</f>
        <v>134.1247</v>
      </c>
      <c r="C4685">
        <v>4683</v>
      </c>
      <c r="D4685" s="7">
        <v>134.12469999999999</v>
      </c>
      <c r="E4685" s="7">
        <f t="shared" si="146"/>
        <v>628105.97009999992</v>
      </c>
      <c r="F4685" s="7">
        <f t="shared" si="147"/>
        <v>21930489</v>
      </c>
      <c r="G4685" s="7"/>
    </row>
    <row r="4686" spans="1:7" x14ac:dyDescent="0.35">
      <c r="A4686" t="str">
        <f>"2023-12-12"</f>
        <v>2023-12-12</v>
      </c>
      <c r="B4686" t="str">
        <f>"135.2107"</f>
        <v>135.2107</v>
      </c>
      <c r="C4686">
        <v>4684</v>
      </c>
      <c r="D4686" s="7">
        <v>135.2107</v>
      </c>
      <c r="E4686" s="7">
        <f t="shared" si="146"/>
        <v>633326.91879999998</v>
      </c>
      <c r="F4686" s="7">
        <f t="shared" si="147"/>
        <v>21939856</v>
      </c>
      <c r="G4686" s="7"/>
    </row>
    <row r="4687" spans="1:7" x14ac:dyDescent="0.35">
      <c r="A4687" t="str">
        <f>"2023-12-13"</f>
        <v>2023-12-13</v>
      </c>
      <c r="B4687" t="str">
        <f>"130.4348"</f>
        <v>130.4348</v>
      </c>
      <c r="C4687">
        <v>4685</v>
      </c>
      <c r="D4687" s="7">
        <v>130.4348</v>
      </c>
      <c r="E4687" s="7">
        <f t="shared" si="146"/>
        <v>611087.03799999994</v>
      </c>
      <c r="F4687" s="7">
        <f t="shared" si="147"/>
        <v>21949225</v>
      </c>
      <c r="G4687" s="7"/>
    </row>
    <row r="4688" spans="1:7" x14ac:dyDescent="0.35">
      <c r="A4688" t="str">
        <f>"2023-12-14"</f>
        <v>2023-12-14</v>
      </c>
      <c r="B4688" t="str">
        <f>"133.2989"</f>
        <v>133.2989</v>
      </c>
      <c r="C4688">
        <v>4686</v>
      </c>
      <c r="D4688" s="7">
        <v>133.2989</v>
      </c>
      <c r="E4688" s="7">
        <f t="shared" si="146"/>
        <v>624638.64540000004</v>
      </c>
      <c r="F4688" s="7">
        <f t="shared" si="147"/>
        <v>21958596</v>
      </c>
      <c r="G4688" s="7"/>
    </row>
    <row r="4689" spans="1:7" x14ac:dyDescent="0.35">
      <c r="A4689" t="str">
        <f>"2023-12-15"</f>
        <v>2023-12-15</v>
      </c>
      <c r="B4689" t="str">
        <f>"134.5004"</f>
        <v>134.5004</v>
      </c>
      <c r="C4689">
        <v>4687</v>
      </c>
      <c r="D4689" s="7">
        <v>134.50040000000001</v>
      </c>
      <c r="E4689" s="7">
        <f t="shared" si="146"/>
        <v>630403.37480000011</v>
      </c>
      <c r="F4689" s="7">
        <f t="shared" si="147"/>
        <v>21967969</v>
      </c>
      <c r="G4689" s="7"/>
    </row>
    <row r="4690" spans="1:7" x14ac:dyDescent="0.35">
      <c r="A4690" t="str">
        <f>"2023-12-18"</f>
        <v>2023-12-18</v>
      </c>
      <c r="B4690" t="str">
        <f>"130.7703"</f>
        <v>130.7703</v>
      </c>
      <c r="C4690">
        <v>4688</v>
      </c>
      <c r="D4690" s="7">
        <v>130.77029999999999</v>
      </c>
      <c r="E4690" s="7">
        <f t="shared" si="146"/>
        <v>613051.16639999999</v>
      </c>
      <c r="F4690" s="7">
        <f t="shared" si="147"/>
        <v>21977344</v>
      </c>
      <c r="G4690" s="7"/>
    </row>
    <row r="4691" spans="1:7" x14ac:dyDescent="0.35">
      <c r="A4691" t="str">
        <f>"2023-12-19"</f>
        <v>2023-12-19</v>
      </c>
      <c r="B4691" t="str">
        <f>"128.8963"</f>
        <v>128.8963</v>
      </c>
      <c r="C4691">
        <v>4689</v>
      </c>
      <c r="D4691" s="7">
        <v>128.8963</v>
      </c>
      <c r="E4691" s="7">
        <f t="shared" si="146"/>
        <v>604394.75069999998</v>
      </c>
      <c r="F4691" s="7">
        <f t="shared" si="147"/>
        <v>21986721</v>
      </c>
      <c r="G4691" s="7"/>
    </row>
    <row r="4692" spans="1:7" x14ac:dyDescent="0.35">
      <c r="A4692" t="str">
        <f>"2023-12-20"</f>
        <v>2023-12-20</v>
      </c>
      <c r="B4692" t="str">
        <f>"127.1343"</f>
        <v>127.1343</v>
      </c>
      <c r="C4692">
        <v>4690</v>
      </c>
      <c r="D4692" s="7">
        <v>127.1343</v>
      </c>
      <c r="E4692" s="7">
        <f t="shared" si="146"/>
        <v>596259.86699999997</v>
      </c>
      <c r="F4692" s="7">
        <f t="shared" si="147"/>
        <v>21996100</v>
      </c>
      <c r="G4692" s="7"/>
    </row>
    <row r="4693" spans="1:7" x14ac:dyDescent="0.35">
      <c r="A4693" t="str">
        <f>"2023-12-21"</f>
        <v>2023-12-21</v>
      </c>
      <c r="B4693" t="str">
        <f>"128.3109"</f>
        <v>128.3109</v>
      </c>
      <c r="C4693">
        <v>4691</v>
      </c>
      <c r="D4693" s="7">
        <v>128.3109</v>
      </c>
      <c r="E4693" s="7">
        <f t="shared" si="146"/>
        <v>601906.43189999997</v>
      </c>
      <c r="F4693" s="7">
        <f t="shared" si="147"/>
        <v>22005481</v>
      </c>
      <c r="G4693" s="7"/>
    </row>
    <row r="4694" spans="1:7" x14ac:dyDescent="0.35">
      <c r="A4694" t="str">
        <f>"2023-12-22"</f>
        <v>2023-12-22</v>
      </c>
      <c r="B4694" t="str">
        <f>"121.0497"</f>
        <v>121.0497</v>
      </c>
      <c r="C4694">
        <v>4692</v>
      </c>
      <c r="D4694" s="7">
        <v>121.0497</v>
      </c>
      <c r="E4694" s="7">
        <f t="shared" si="146"/>
        <v>567965.19240000006</v>
      </c>
      <c r="F4694" s="7">
        <f t="shared" si="147"/>
        <v>22014864</v>
      </c>
      <c r="G4694" s="7"/>
    </row>
    <row r="4695" spans="1:7" x14ac:dyDescent="0.35">
      <c r="A4695" t="str">
        <f>"2023-12-26"</f>
        <v>2023-12-26</v>
      </c>
      <c r="B4695" t="str">
        <f>"117.3946"</f>
        <v>117.3946</v>
      </c>
      <c r="C4695">
        <v>4693</v>
      </c>
      <c r="D4695" s="7">
        <v>117.3946</v>
      </c>
      <c r="E4695" s="7">
        <f t="shared" si="146"/>
        <v>550932.8578</v>
      </c>
      <c r="F4695" s="7">
        <f t="shared" si="147"/>
        <v>22024249</v>
      </c>
      <c r="G4695" s="7"/>
    </row>
    <row r="4696" spans="1:7" x14ac:dyDescent="0.35">
      <c r="A4696" t="str">
        <f>"2023-12-27"</f>
        <v>2023-12-27</v>
      </c>
      <c r="B4696" t="str">
        <f>"113.2761"</f>
        <v>113.2761</v>
      </c>
      <c r="C4696">
        <v>4694</v>
      </c>
      <c r="D4696" s="7">
        <v>113.2761</v>
      </c>
      <c r="E4696" s="7">
        <f t="shared" si="146"/>
        <v>531718.01340000005</v>
      </c>
      <c r="F4696" s="7">
        <f t="shared" si="147"/>
        <v>22033636</v>
      </c>
      <c r="G4696" s="7"/>
    </row>
    <row r="4697" spans="1:7" x14ac:dyDescent="0.35">
      <c r="A4697" t="str">
        <f>"2023-12-28"</f>
        <v>2023-12-28</v>
      </c>
      <c r="B4697" t="str">
        <f>"116.8661"</f>
        <v>116.8661</v>
      </c>
      <c r="C4697">
        <v>4695</v>
      </c>
      <c r="D4697" s="7">
        <v>116.8661</v>
      </c>
      <c r="E4697" s="7">
        <f t="shared" si="146"/>
        <v>548686.3395</v>
      </c>
      <c r="F4697" s="7">
        <f t="shared" si="147"/>
        <v>22043025</v>
      </c>
      <c r="G4697" s="7"/>
    </row>
    <row r="4698" spans="1:7" x14ac:dyDescent="0.35">
      <c r="A4698" t="str">
        <f>"2023-12-29"</f>
        <v>2023-12-29</v>
      </c>
      <c r="B4698" t="str">
        <f>"116.7883"</f>
        <v>116.7883</v>
      </c>
      <c r="C4698">
        <v>4696</v>
      </c>
      <c r="D4698" s="7">
        <v>116.78830000000001</v>
      </c>
      <c r="E4698" s="7">
        <f t="shared" si="146"/>
        <v>548437.85680000007</v>
      </c>
      <c r="F4698" s="7">
        <f t="shared" si="147"/>
        <v>22052416</v>
      </c>
      <c r="G4698" s="7"/>
    </row>
    <row r="4699" spans="1:7" x14ac:dyDescent="0.35">
      <c r="A4699" t="str">
        <f>"2024-01-02"</f>
        <v>2024-01-02</v>
      </c>
      <c r="B4699" t="str">
        <f>"121.0317"</f>
        <v>121.0317</v>
      </c>
      <c r="C4699">
        <v>4697</v>
      </c>
      <c r="D4699" s="7">
        <v>121.0317</v>
      </c>
      <c r="E4699" s="7">
        <f t="shared" si="146"/>
        <v>568485.89489999996</v>
      </c>
      <c r="F4699" s="7">
        <f t="shared" si="147"/>
        <v>22061809</v>
      </c>
      <c r="G4699" s="7"/>
    </row>
    <row r="4700" spans="1:7" x14ac:dyDescent="0.35">
      <c r="A4700" t="str">
        <f>"2024-01-03"</f>
        <v>2024-01-03</v>
      </c>
      <c r="B4700" t="str">
        <f>"118.2825"</f>
        <v>118.2825</v>
      </c>
      <c r="C4700">
        <v>4698</v>
      </c>
      <c r="D4700" s="7">
        <v>118.2825</v>
      </c>
      <c r="E4700" s="7">
        <f t="shared" si="146"/>
        <v>555691.18499999994</v>
      </c>
      <c r="F4700" s="7">
        <f t="shared" si="147"/>
        <v>22071204</v>
      </c>
      <c r="G4700" s="7"/>
    </row>
    <row r="4701" spans="1:7" x14ac:dyDescent="0.35">
      <c r="A4701" t="str">
        <f>"2024-01-04"</f>
        <v>2024-01-04</v>
      </c>
      <c r="B4701" t="str">
        <f>"119.3145"</f>
        <v>119.3145</v>
      </c>
      <c r="C4701">
        <v>4699</v>
      </c>
      <c r="D4701" s="7">
        <v>119.3145</v>
      </c>
      <c r="E4701" s="7">
        <f t="shared" si="146"/>
        <v>560658.83549999993</v>
      </c>
      <c r="F4701" s="7">
        <f t="shared" si="147"/>
        <v>22080601</v>
      </c>
      <c r="G4701" s="7"/>
    </row>
    <row r="4702" spans="1:7" x14ac:dyDescent="0.35">
      <c r="A4702" t="str">
        <f>"2024-01-05"</f>
        <v>2024-01-05</v>
      </c>
      <c r="B4702" t="str">
        <f>"122.0725"</f>
        <v>122.0725</v>
      </c>
      <c r="C4702">
        <v>4700</v>
      </c>
      <c r="D4702" s="7">
        <v>122.07250000000001</v>
      </c>
      <c r="E4702" s="7">
        <f t="shared" si="146"/>
        <v>573740.75</v>
      </c>
      <c r="F4702" s="7">
        <f t="shared" si="147"/>
        <v>22090000</v>
      </c>
      <c r="G4702" s="7"/>
    </row>
    <row r="4703" spans="1:7" x14ac:dyDescent="0.35">
      <c r="A4703" t="str">
        <f>"2024-01-08"</f>
        <v>2024-01-08</v>
      </c>
      <c r="B4703" t="str">
        <f>"125.01"</f>
        <v>125.01</v>
      </c>
      <c r="C4703">
        <v>4701</v>
      </c>
      <c r="D4703" s="7">
        <v>125.01</v>
      </c>
      <c r="E4703" s="7">
        <f t="shared" si="146"/>
        <v>587672.01</v>
      </c>
      <c r="F4703" s="7">
        <f t="shared" si="147"/>
        <v>22099401</v>
      </c>
      <c r="G4703" s="7"/>
    </row>
    <row r="4704" spans="1:7" x14ac:dyDescent="0.35">
      <c r="A4704" t="str">
        <f>"2024-01-09"</f>
        <v>2024-01-09</v>
      </c>
      <c r="B4704" t="str">
        <f>"124.6346"</f>
        <v>124.6346</v>
      </c>
      <c r="C4704">
        <v>4702</v>
      </c>
      <c r="D4704" s="7">
        <v>124.63460000000001</v>
      </c>
      <c r="E4704" s="7">
        <f t="shared" si="146"/>
        <v>586031.88919999998</v>
      </c>
      <c r="F4704" s="7">
        <f t="shared" si="147"/>
        <v>22108804</v>
      </c>
      <c r="G4704" s="7"/>
    </row>
    <row r="4705" spans="1:7" x14ac:dyDescent="0.35">
      <c r="A4705" t="str">
        <f>"2024-01-10"</f>
        <v>2024-01-10</v>
      </c>
      <c r="B4705" t="str">
        <f>"128.319"</f>
        <v>128.319</v>
      </c>
      <c r="C4705">
        <v>4703</v>
      </c>
      <c r="D4705" s="7">
        <v>128.31899999999999</v>
      </c>
      <c r="E4705" s="7">
        <f t="shared" si="146"/>
        <v>603484.25699999998</v>
      </c>
      <c r="F4705" s="7">
        <f t="shared" si="147"/>
        <v>22118209</v>
      </c>
      <c r="G4705" s="7"/>
    </row>
    <row r="4706" spans="1:7" x14ac:dyDescent="0.35">
      <c r="A4706" t="str">
        <f>"2024-01-11"</f>
        <v>2024-01-11</v>
      </c>
      <c r="B4706" t="str">
        <f>"127.5994"</f>
        <v>127.5994</v>
      </c>
      <c r="C4706">
        <v>4704</v>
      </c>
      <c r="D4706" s="7">
        <v>127.5994</v>
      </c>
      <c r="E4706" s="7">
        <f t="shared" si="146"/>
        <v>600227.57759999996</v>
      </c>
      <c r="F4706" s="7">
        <f t="shared" si="147"/>
        <v>22127616</v>
      </c>
      <c r="G4706" s="7"/>
    </row>
    <row r="4707" spans="1:7" x14ac:dyDescent="0.35">
      <c r="A4707" t="str">
        <f>"2024-01-12"</f>
        <v>2024-01-12</v>
      </c>
      <c r="B4707" t="str">
        <f>"126.8898"</f>
        <v>126.8898</v>
      </c>
      <c r="C4707">
        <v>4705</v>
      </c>
      <c r="D4707" s="7">
        <v>126.88979999999999</v>
      </c>
      <c r="E4707" s="7">
        <f t="shared" si="146"/>
        <v>597016.50899999996</v>
      </c>
      <c r="F4707" s="7">
        <f t="shared" si="147"/>
        <v>22137025</v>
      </c>
      <c r="G4707" s="7"/>
    </row>
    <row r="4708" spans="1:7" x14ac:dyDescent="0.35">
      <c r="A4708" t="str">
        <f>"2024-01-16"</f>
        <v>2024-01-16</v>
      </c>
      <c r="B4708" t="str">
        <f>"127.5228"</f>
        <v>127.5228</v>
      </c>
      <c r="C4708">
        <v>4706</v>
      </c>
      <c r="D4708" s="7">
        <v>127.5228</v>
      </c>
      <c r="E4708" s="7">
        <f t="shared" si="146"/>
        <v>600122.29680000001</v>
      </c>
      <c r="F4708" s="7">
        <f t="shared" si="147"/>
        <v>22146436</v>
      </c>
      <c r="G4708" s="7"/>
    </row>
    <row r="4709" spans="1:7" x14ac:dyDescent="0.35">
      <c r="A4709" t="str">
        <f>"2024-01-17"</f>
        <v>2024-01-17</v>
      </c>
      <c r="B4709" t="str">
        <f>"130.2114"</f>
        <v>130.2114</v>
      </c>
      <c r="C4709">
        <v>4707</v>
      </c>
      <c r="D4709" s="7">
        <v>130.2114</v>
      </c>
      <c r="E4709" s="7">
        <f t="shared" si="146"/>
        <v>612905.05980000005</v>
      </c>
      <c r="F4709" s="7">
        <f t="shared" si="147"/>
        <v>22155849</v>
      </c>
      <c r="G4709" s="7"/>
    </row>
    <row r="4710" spans="1:7" x14ac:dyDescent="0.35">
      <c r="A4710" t="str">
        <f>"2024-01-18"</f>
        <v>2024-01-18</v>
      </c>
      <c r="B4710" t="str">
        <f>"128.2"</f>
        <v>128.2</v>
      </c>
      <c r="C4710">
        <v>4708</v>
      </c>
      <c r="D4710" s="7">
        <v>128.19999999999999</v>
      </c>
      <c r="E4710" s="7">
        <f t="shared" si="146"/>
        <v>603565.6</v>
      </c>
      <c r="F4710" s="7">
        <f t="shared" si="147"/>
        <v>22165264</v>
      </c>
      <c r="G4710" s="7"/>
    </row>
    <row r="4711" spans="1:7" x14ac:dyDescent="0.35">
      <c r="A4711" t="str">
        <f>"2024-01-19"</f>
        <v>2024-01-19</v>
      </c>
      <c r="B4711" t="str">
        <f>"127.3789"</f>
        <v>127.3789</v>
      </c>
      <c r="C4711">
        <v>4709</v>
      </c>
      <c r="D4711" s="7">
        <v>127.3789</v>
      </c>
      <c r="E4711" s="7">
        <f t="shared" si="146"/>
        <v>599827.24010000005</v>
      </c>
      <c r="F4711" s="7">
        <f t="shared" si="147"/>
        <v>22174681</v>
      </c>
      <c r="G4711" s="7"/>
    </row>
    <row r="4712" spans="1:7" x14ac:dyDescent="0.35">
      <c r="A4712" t="str">
        <f>"2024-01-22"</f>
        <v>2024-01-22</v>
      </c>
      <c r="B4712" t="str">
        <f>"127.6416"</f>
        <v>127.6416</v>
      </c>
      <c r="C4712">
        <v>4710</v>
      </c>
      <c r="D4712" s="7">
        <v>127.6416</v>
      </c>
      <c r="E4712" s="7">
        <f t="shared" si="146"/>
        <v>601191.93599999999</v>
      </c>
      <c r="F4712" s="7">
        <f t="shared" si="147"/>
        <v>22184100</v>
      </c>
      <c r="G4712" s="7"/>
    </row>
    <row r="4713" spans="1:7" x14ac:dyDescent="0.35">
      <c r="A4713" t="str">
        <f>"2024-01-23"</f>
        <v>2024-01-23</v>
      </c>
      <c r="B4713" t="str">
        <f>"126.3752"</f>
        <v>126.3752</v>
      </c>
      <c r="C4713">
        <v>4711</v>
      </c>
      <c r="D4713" s="7">
        <v>126.37520000000001</v>
      </c>
      <c r="E4713" s="7">
        <f t="shared" si="146"/>
        <v>595353.56720000005</v>
      </c>
      <c r="F4713" s="7">
        <f t="shared" si="147"/>
        <v>22193521</v>
      </c>
      <c r="G4713" s="7"/>
    </row>
    <row r="4714" spans="1:7" x14ac:dyDescent="0.35">
      <c r="A4714" t="str">
        <f>"2024-01-24"</f>
        <v>2024-01-24</v>
      </c>
      <c r="B4714" t="str">
        <f>"128.0255"</f>
        <v>128.0255</v>
      </c>
      <c r="C4714">
        <v>4712</v>
      </c>
      <c r="D4714" s="7">
        <v>128.02549999999999</v>
      </c>
      <c r="E4714" s="7">
        <f t="shared" si="146"/>
        <v>603256.15599999996</v>
      </c>
      <c r="F4714" s="7">
        <f t="shared" si="147"/>
        <v>22202944</v>
      </c>
      <c r="G4714" s="7"/>
    </row>
    <row r="4715" spans="1:7" x14ac:dyDescent="0.35">
      <c r="A4715" t="str">
        <f>"2024-01-25"</f>
        <v>2024-01-25</v>
      </c>
      <c r="B4715" t="str">
        <f>"128.6055"</f>
        <v>128.6055</v>
      </c>
      <c r="C4715">
        <v>4713</v>
      </c>
      <c r="D4715" s="7">
        <v>128.60550000000001</v>
      </c>
      <c r="E4715" s="7">
        <f t="shared" si="146"/>
        <v>606117.72149999999</v>
      </c>
      <c r="F4715" s="7">
        <f t="shared" si="147"/>
        <v>22212369</v>
      </c>
      <c r="G4715" s="7"/>
    </row>
    <row r="4716" spans="1:7" x14ac:dyDescent="0.35">
      <c r="A4716" t="str">
        <f>"2024-01-26"</f>
        <v>2024-01-26</v>
      </c>
      <c r="B4716" t="str">
        <f>"132.3475"</f>
        <v>132.3475</v>
      </c>
      <c r="C4716">
        <v>4714</v>
      </c>
      <c r="D4716" s="7">
        <v>132.3475</v>
      </c>
      <c r="E4716" s="7">
        <f t="shared" si="146"/>
        <v>623886.11499999999</v>
      </c>
      <c r="F4716" s="7">
        <f t="shared" si="147"/>
        <v>22221796</v>
      </c>
      <c r="G4716" s="7"/>
    </row>
    <row r="4717" spans="1:7" x14ac:dyDescent="0.35">
      <c r="A4717" t="str">
        <f>"2024-01-29"</f>
        <v>2024-01-29</v>
      </c>
      <c r="B4717" t="str">
        <f>"138.7701"</f>
        <v>138.7701</v>
      </c>
      <c r="C4717">
        <v>4715</v>
      </c>
      <c r="D4717" s="7">
        <v>138.77010000000001</v>
      </c>
      <c r="E4717" s="7">
        <f t="shared" si="146"/>
        <v>654301.02150000003</v>
      </c>
      <c r="F4717" s="7">
        <f t="shared" si="147"/>
        <v>22231225</v>
      </c>
      <c r="G4717" s="7"/>
    </row>
    <row r="4718" spans="1:7" x14ac:dyDescent="0.35">
      <c r="A4718" t="str">
        <f>"2024-01-30"</f>
        <v>2024-01-30</v>
      </c>
      <c r="B4718" t="str">
        <f>"137.2379"</f>
        <v>137.2379</v>
      </c>
      <c r="C4718">
        <v>4716</v>
      </c>
      <c r="D4718" s="7">
        <v>137.2379</v>
      </c>
      <c r="E4718" s="7">
        <f t="shared" si="146"/>
        <v>647213.93640000001</v>
      </c>
      <c r="F4718" s="7">
        <f t="shared" si="147"/>
        <v>22240656</v>
      </c>
      <c r="G4718" s="7"/>
    </row>
    <row r="4719" spans="1:7" x14ac:dyDescent="0.35">
      <c r="A4719" t="str">
        <f>"2024-01-31"</f>
        <v>2024-01-31</v>
      </c>
      <c r="B4719" t="str">
        <f>"136.4207"</f>
        <v>136.4207</v>
      </c>
      <c r="C4719">
        <v>4717</v>
      </c>
      <c r="D4719" s="7">
        <v>136.42070000000001</v>
      </c>
      <c r="E4719" s="7">
        <f t="shared" si="146"/>
        <v>643496.44190000009</v>
      </c>
      <c r="F4719" s="7">
        <f t="shared" si="147"/>
        <v>22250089</v>
      </c>
      <c r="G4719" s="7"/>
    </row>
    <row r="4720" spans="1:7" x14ac:dyDescent="0.35">
      <c r="A4720" t="str">
        <f>"2024-02-01"</f>
        <v>2024-02-01</v>
      </c>
      <c r="B4720" t="str">
        <f>"136.9821"</f>
        <v>136.9821</v>
      </c>
      <c r="C4720">
        <v>4718</v>
      </c>
      <c r="D4720" s="7">
        <v>136.9821</v>
      </c>
      <c r="E4720" s="7">
        <f t="shared" si="146"/>
        <v>646281.54780000006</v>
      </c>
      <c r="F4720" s="7">
        <f t="shared" si="147"/>
        <v>22259524</v>
      </c>
      <c r="G4720" s="7"/>
    </row>
    <row r="4721" spans="1:7" x14ac:dyDescent="0.35">
      <c r="A4721" t="str">
        <f>"2024-02-02"</f>
        <v>2024-02-02</v>
      </c>
      <c r="B4721" t="str">
        <f>"141.2541"</f>
        <v>141.2541</v>
      </c>
      <c r="C4721">
        <v>4719</v>
      </c>
      <c r="D4721" s="7">
        <v>141.25409999999999</v>
      </c>
      <c r="E4721" s="7">
        <f t="shared" si="146"/>
        <v>666578.09789999994</v>
      </c>
      <c r="F4721" s="7">
        <f t="shared" si="147"/>
        <v>22268961</v>
      </c>
      <c r="G4721" s="7"/>
    </row>
    <row r="4722" spans="1:7" x14ac:dyDescent="0.35">
      <c r="A4722" t="str">
        <f>"2024-02-05"</f>
        <v>2024-02-05</v>
      </c>
      <c r="B4722" t="str">
        <f>"146.5722"</f>
        <v>146.5722</v>
      </c>
      <c r="C4722">
        <v>4720</v>
      </c>
      <c r="D4722" s="7">
        <v>146.57220000000001</v>
      </c>
      <c r="E4722" s="7">
        <f t="shared" si="146"/>
        <v>691820.7840000001</v>
      </c>
      <c r="F4722" s="7">
        <f t="shared" si="147"/>
        <v>22278400</v>
      </c>
      <c r="G4722" s="7"/>
    </row>
    <row r="4723" spans="1:7" x14ac:dyDescent="0.35">
      <c r="A4723" t="str">
        <f>"2024-02-06"</f>
        <v>2024-02-06</v>
      </c>
      <c r="B4723" t="str">
        <f>"145.6871"</f>
        <v>145.6871</v>
      </c>
      <c r="C4723">
        <v>4721</v>
      </c>
      <c r="D4723" s="7">
        <v>145.68709999999999</v>
      </c>
      <c r="E4723" s="7">
        <f t="shared" si="146"/>
        <v>687788.79909999995</v>
      </c>
      <c r="F4723" s="7">
        <f t="shared" si="147"/>
        <v>22287841</v>
      </c>
      <c r="G4723" s="7"/>
    </row>
    <row r="4724" spans="1:7" x14ac:dyDescent="0.35">
      <c r="A4724" t="str">
        <f>"2024-02-07"</f>
        <v>2024-02-07</v>
      </c>
      <c r="B4724" t="str">
        <f>"143.1144"</f>
        <v>143.1144</v>
      </c>
      <c r="C4724">
        <v>4722</v>
      </c>
      <c r="D4724" s="7">
        <v>143.11439999999999</v>
      </c>
      <c r="E4724" s="7">
        <f t="shared" si="146"/>
        <v>675786.19679999992</v>
      </c>
      <c r="F4724" s="7">
        <f t="shared" si="147"/>
        <v>22297284</v>
      </c>
      <c r="G4724" s="7"/>
    </row>
    <row r="4725" spans="1:7" x14ac:dyDescent="0.35">
      <c r="A4725" t="str">
        <f>"2024-02-08"</f>
        <v>2024-02-08</v>
      </c>
      <c r="B4725" t="str">
        <f>"143.4648"</f>
        <v>143.4648</v>
      </c>
      <c r="C4725">
        <v>4723</v>
      </c>
      <c r="D4725" s="7">
        <v>143.4648</v>
      </c>
      <c r="E4725" s="7">
        <f t="shared" si="146"/>
        <v>677584.25040000002</v>
      </c>
      <c r="F4725" s="7">
        <f t="shared" si="147"/>
        <v>22306729</v>
      </c>
      <c r="G4725" s="7"/>
    </row>
    <row r="4726" spans="1:7" x14ac:dyDescent="0.35">
      <c r="A4726" t="str">
        <f>"2024-02-09"</f>
        <v>2024-02-09</v>
      </c>
      <c r="B4726" t="str">
        <f>"147.7446"</f>
        <v>147.7446</v>
      </c>
      <c r="C4726">
        <v>4724</v>
      </c>
      <c r="D4726" s="7">
        <v>147.74459999999999</v>
      </c>
      <c r="E4726" s="7">
        <f t="shared" si="146"/>
        <v>697945.49040000001</v>
      </c>
      <c r="F4726" s="7">
        <f t="shared" si="147"/>
        <v>22316176</v>
      </c>
      <c r="G4726" s="7"/>
    </row>
    <row r="4727" spans="1:7" x14ac:dyDescent="0.35">
      <c r="A4727" t="str">
        <f>"2024-02-12"</f>
        <v>2024-02-12</v>
      </c>
      <c r="B4727" t="str">
        <f>"145.9519"</f>
        <v>145.9519</v>
      </c>
      <c r="C4727">
        <v>4725</v>
      </c>
      <c r="D4727" s="7">
        <v>145.95189999999999</v>
      </c>
      <c r="E4727" s="7">
        <f t="shared" si="146"/>
        <v>689622.72749999992</v>
      </c>
      <c r="F4727" s="7">
        <f t="shared" si="147"/>
        <v>22325625</v>
      </c>
      <c r="G4727" s="7"/>
    </row>
    <row r="4728" spans="1:7" x14ac:dyDescent="0.35">
      <c r="A4728" t="str">
        <f>"2024-02-13"</f>
        <v>2024-02-13</v>
      </c>
      <c r="B4728" t="str">
        <f>"142.9208"</f>
        <v>142.9208</v>
      </c>
      <c r="C4728">
        <v>4726</v>
      </c>
      <c r="D4728" s="7">
        <v>142.92080000000001</v>
      </c>
      <c r="E4728" s="7">
        <f t="shared" si="146"/>
        <v>675443.70080000011</v>
      </c>
      <c r="F4728" s="7">
        <f t="shared" si="147"/>
        <v>22335076</v>
      </c>
      <c r="G4728" s="7"/>
    </row>
    <row r="4729" spans="1:7" x14ac:dyDescent="0.35">
      <c r="A4729" t="str">
        <f>"2024-02-14"</f>
        <v>2024-02-14</v>
      </c>
      <c r="B4729" t="str">
        <f>"143.6968"</f>
        <v>143.6968</v>
      </c>
      <c r="C4729">
        <v>4727</v>
      </c>
      <c r="D4729" s="7">
        <v>143.6968</v>
      </c>
      <c r="E4729" s="7">
        <f t="shared" si="146"/>
        <v>679254.77359999996</v>
      </c>
      <c r="F4729" s="7">
        <f t="shared" si="147"/>
        <v>22344529</v>
      </c>
      <c r="G4729" s="7"/>
    </row>
    <row r="4730" spans="1:7" x14ac:dyDescent="0.35">
      <c r="A4730" t="str">
        <f>"2024-02-15"</f>
        <v>2024-02-15</v>
      </c>
      <c r="B4730" t="str">
        <f>"143.4813"</f>
        <v>143.4813</v>
      </c>
      <c r="C4730">
        <v>4728</v>
      </c>
      <c r="D4730" s="7">
        <v>143.4813</v>
      </c>
      <c r="E4730" s="7">
        <f t="shared" si="146"/>
        <v>678379.58640000003</v>
      </c>
      <c r="F4730" s="7">
        <f t="shared" si="147"/>
        <v>22353984</v>
      </c>
      <c r="G4730" s="7"/>
    </row>
    <row r="4731" spans="1:7" x14ac:dyDescent="0.35">
      <c r="A4731" t="str">
        <f>"2024-02-16"</f>
        <v>2024-02-16</v>
      </c>
      <c r="B4731" t="str">
        <f>"141.7573"</f>
        <v>141.7573</v>
      </c>
      <c r="C4731">
        <v>4729</v>
      </c>
      <c r="D4731" s="7">
        <v>141.75729999999999</v>
      </c>
      <c r="E4731" s="7">
        <f t="shared" si="146"/>
        <v>670370.27169999992</v>
      </c>
      <c r="F4731" s="7">
        <f t="shared" si="147"/>
        <v>22363441</v>
      </c>
      <c r="G4731" s="7"/>
    </row>
    <row r="4732" spans="1:7" x14ac:dyDescent="0.35">
      <c r="A4732" t="str">
        <f>"2024-02-20"</f>
        <v>2024-02-20</v>
      </c>
      <c r="B4732" t="str">
        <f>"139.7764"</f>
        <v>139.7764</v>
      </c>
      <c r="C4732">
        <v>4730</v>
      </c>
      <c r="D4732" s="7">
        <v>139.7764</v>
      </c>
      <c r="E4732" s="7">
        <f t="shared" si="146"/>
        <v>661142.37199999997</v>
      </c>
      <c r="F4732" s="7">
        <f t="shared" si="147"/>
        <v>22372900</v>
      </c>
      <c r="G4732" s="7"/>
    </row>
    <row r="4733" spans="1:7" x14ac:dyDescent="0.35">
      <c r="A4733" t="str">
        <f>"2024-02-21"</f>
        <v>2024-02-21</v>
      </c>
      <c r="B4733" t="str">
        <f>"138.9727"</f>
        <v>138.9727</v>
      </c>
      <c r="C4733">
        <v>4731</v>
      </c>
      <c r="D4733" s="7">
        <v>138.9727</v>
      </c>
      <c r="E4733" s="7">
        <f t="shared" si="146"/>
        <v>657479.84369999997</v>
      </c>
      <c r="F4733" s="7">
        <f t="shared" si="147"/>
        <v>22382361</v>
      </c>
      <c r="G4733" s="7"/>
    </row>
    <row r="4734" spans="1:7" x14ac:dyDescent="0.35">
      <c r="A4734" t="str">
        <f>"2024-02-22"</f>
        <v>2024-02-22</v>
      </c>
      <c r="B4734" t="str">
        <f>"141.5059"</f>
        <v>141.5059</v>
      </c>
      <c r="C4734">
        <v>4732</v>
      </c>
      <c r="D4734" s="7">
        <v>141.5059</v>
      </c>
      <c r="E4734" s="7">
        <f t="shared" si="146"/>
        <v>669605.91879999998</v>
      </c>
      <c r="F4734" s="7">
        <f t="shared" si="147"/>
        <v>22391824</v>
      </c>
      <c r="G4734" s="7"/>
    </row>
    <row r="4735" spans="1:7" x14ac:dyDescent="0.35">
      <c r="A4735" t="str">
        <f>"2024-02-23"</f>
        <v>2024-02-23</v>
      </c>
      <c r="B4735" t="str">
        <f>"140.6733"</f>
        <v>140.6733</v>
      </c>
      <c r="C4735">
        <v>4733</v>
      </c>
      <c r="D4735" s="7">
        <v>140.67330000000001</v>
      </c>
      <c r="E4735" s="7">
        <f t="shared" si="146"/>
        <v>665806.7289000001</v>
      </c>
      <c r="F4735" s="7">
        <f t="shared" si="147"/>
        <v>22401289</v>
      </c>
      <c r="G4735" s="7"/>
    </row>
    <row r="4736" spans="1:7" x14ac:dyDescent="0.35">
      <c r="A4736" t="str">
        <f>"2024-02-26"</f>
        <v>2024-02-26</v>
      </c>
      <c r="B4736" t="str">
        <f>"140.7914"</f>
        <v>140.7914</v>
      </c>
      <c r="C4736">
        <v>4734</v>
      </c>
      <c r="D4736" s="7">
        <v>140.79140000000001</v>
      </c>
      <c r="E4736" s="7">
        <f t="shared" si="146"/>
        <v>666506.48759999999</v>
      </c>
      <c r="F4736" s="7">
        <f t="shared" si="147"/>
        <v>22410756</v>
      </c>
      <c r="G4736" s="7"/>
    </row>
    <row r="4737" spans="1:7" x14ac:dyDescent="0.35">
      <c r="A4737" t="str">
        <f>"2024-02-27"</f>
        <v>2024-02-27</v>
      </c>
      <c r="B4737" t="str">
        <f>"137.7295"</f>
        <v>137.7295</v>
      </c>
      <c r="C4737">
        <v>4735</v>
      </c>
      <c r="D4737" s="7">
        <v>137.7295</v>
      </c>
      <c r="E4737" s="7">
        <f t="shared" si="146"/>
        <v>652149.1825</v>
      </c>
      <c r="F4737" s="7">
        <f t="shared" si="147"/>
        <v>22420225</v>
      </c>
      <c r="G4737" s="7"/>
    </row>
    <row r="4738" spans="1:7" x14ac:dyDescent="0.35">
      <c r="A4738" t="str">
        <f>"2024-02-28"</f>
        <v>2024-02-28</v>
      </c>
      <c r="B4738" t="str">
        <f>"135.5756"</f>
        <v>135.5756</v>
      </c>
      <c r="C4738">
        <v>4736</v>
      </c>
      <c r="D4738" s="7">
        <v>135.57560000000001</v>
      </c>
      <c r="E4738" s="7">
        <f t="shared" si="146"/>
        <v>642086.0416</v>
      </c>
      <c r="F4738" s="7">
        <f t="shared" si="147"/>
        <v>22429696</v>
      </c>
      <c r="G4738" s="7"/>
    </row>
    <row r="4739" spans="1:7" x14ac:dyDescent="0.35">
      <c r="A4739" t="str">
        <f>"2024-02-29"</f>
        <v>2024-02-29</v>
      </c>
      <c r="B4739" t="str">
        <f>"137.263"</f>
        <v>137.263</v>
      </c>
      <c r="C4739">
        <v>4737</v>
      </c>
      <c r="D4739" s="7">
        <v>137.26300000000001</v>
      </c>
      <c r="E4739" s="7">
        <f t="shared" si="146"/>
        <v>650214.83100000001</v>
      </c>
      <c r="F4739" s="7">
        <f t="shared" si="147"/>
        <v>22439169</v>
      </c>
      <c r="G4739" s="7"/>
    </row>
    <row r="4740" spans="1:7" x14ac:dyDescent="0.35">
      <c r="A4740" t="str">
        <f>"2024-03-01"</f>
        <v>2024-03-01</v>
      </c>
      <c r="B4740" t="str">
        <f>"132.3437"</f>
        <v>132.3437</v>
      </c>
      <c r="C4740">
        <v>4738</v>
      </c>
      <c r="D4740" s="7">
        <v>132.34370000000001</v>
      </c>
      <c r="E4740" s="7">
        <f t="shared" ref="E4740:E4803" si="148">C4740*D4740</f>
        <v>627044.4506000001</v>
      </c>
      <c r="F4740" s="7">
        <f t="shared" ref="F4740:F4803" si="149">C4740*C4740</f>
        <v>22448644</v>
      </c>
      <c r="G4740" s="7"/>
    </row>
    <row r="4741" spans="1:7" x14ac:dyDescent="0.35">
      <c r="A4741" t="str">
        <f>"2024-03-04"</f>
        <v>2024-03-04</v>
      </c>
      <c r="B4741" t="str">
        <f>"126.5656"</f>
        <v>126.5656</v>
      </c>
      <c r="C4741">
        <v>4739</v>
      </c>
      <c r="D4741" s="7">
        <v>126.5656</v>
      </c>
      <c r="E4741" s="7">
        <f t="shared" si="148"/>
        <v>599794.37840000005</v>
      </c>
      <c r="F4741" s="7">
        <f t="shared" si="149"/>
        <v>22458121</v>
      </c>
      <c r="G4741" s="7"/>
    </row>
    <row r="4742" spans="1:7" x14ac:dyDescent="0.35">
      <c r="A4742" t="str">
        <f>"2024-03-05"</f>
        <v>2024-03-05</v>
      </c>
      <c r="B4742" t="str">
        <f>"122.484"</f>
        <v>122.484</v>
      </c>
      <c r="C4742">
        <v>4740</v>
      </c>
      <c r="D4742" s="7">
        <v>122.48399999999999</v>
      </c>
      <c r="E4742" s="7">
        <f t="shared" si="148"/>
        <v>580574.16</v>
      </c>
      <c r="F4742" s="7">
        <f t="shared" si="149"/>
        <v>22467600</v>
      </c>
      <c r="G4742" s="7"/>
    </row>
    <row r="4743" spans="1:7" x14ac:dyDescent="0.35">
      <c r="A4743" t="str">
        <f>"2024-03-06"</f>
        <v>2024-03-06</v>
      </c>
      <c r="B4743" t="str">
        <f>"119.1391"</f>
        <v>119.1391</v>
      </c>
      <c r="C4743">
        <v>4741</v>
      </c>
      <c r="D4743" s="7">
        <v>119.1391</v>
      </c>
      <c r="E4743" s="7">
        <f t="shared" si="148"/>
        <v>564838.47309999994</v>
      </c>
      <c r="F4743" s="7">
        <f t="shared" si="149"/>
        <v>22477081</v>
      </c>
      <c r="G4743" s="7"/>
    </row>
    <row r="4744" spans="1:7" x14ac:dyDescent="0.35">
      <c r="A4744" t="str">
        <f>"2024-03-07"</f>
        <v>2024-03-07</v>
      </c>
      <c r="B4744" t="str">
        <f>"123.6324"</f>
        <v>123.6324</v>
      </c>
      <c r="C4744">
        <v>4742</v>
      </c>
      <c r="D4744" s="7">
        <v>123.6324</v>
      </c>
      <c r="E4744" s="7">
        <f t="shared" si="148"/>
        <v>586264.84080000001</v>
      </c>
      <c r="F4744" s="7">
        <f t="shared" si="149"/>
        <v>22486564</v>
      </c>
      <c r="G4744" s="7"/>
    </row>
    <row r="4745" spans="1:7" x14ac:dyDescent="0.35">
      <c r="A4745" t="str">
        <f>"2024-03-08"</f>
        <v>2024-03-08</v>
      </c>
      <c r="B4745" t="str">
        <f>"124.8483"</f>
        <v>124.8483</v>
      </c>
      <c r="C4745">
        <v>4743</v>
      </c>
      <c r="D4745" s="7">
        <v>124.84829999999999</v>
      </c>
      <c r="E4745" s="7">
        <f t="shared" si="148"/>
        <v>592155.48690000002</v>
      </c>
      <c r="F4745" s="7">
        <f t="shared" si="149"/>
        <v>22496049</v>
      </c>
      <c r="G4745" s="7"/>
    </row>
    <row r="4746" spans="1:7" x14ac:dyDescent="0.35">
      <c r="A4746" t="str">
        <f>"2024-03-11"</f>
        <v>2024-03-11</v>
      </c>
      <c r="B4746" t="str">
        <f>"125.0473"</f>
        <v>125.0473</v>
      </c>
      <c r="C4746">
        <v>4744</v>
      </c>
      <c r="D4746" s="7">
        <v>125.04730000000001</v>
      </c>
      <c r="E4746" s="7">
        <f t="shared" si="148"/>
        <v>593224.39120000007</v>
      </c>
      <c r="F4746" s="7">
        <f t="shared" si="149"/>
        <v>22505536</v>
      </c>
      <c r="G4746" s="7"/>
    </row>
    <row r="4747" spans="1:7" x14ac:dyDescent="0.35">
      <c r="A4747" t="str">
        <f>"2024-03-12"</f>
        <v>2024-03-12</v>
      </c>
      <c r="B4747" t="str">
        <f>"123.8054"</f>
        <v>123.8054</v>
      </c>
      <c r="C4747">
        <v>4745</v>
      </c>
      <c r="D4747" s="7">
        <v>123.80540000000001</v>
      </c>
      <c r="E4747" s="7">
        <f t="shared" si="148"/>
        <v>587456.62300000002</v>
      </c>
      <c r="F4747" s="7">
        <f t="shared" si="149"/>
        <v>22515025</v>
      </c>
      <c r="G4747" s="7"/>
    </row>
    <row r="4748" spans="1:7" x14ac:dyDescent="0.35">
      <c r="A4748" t="str">
        <f>"2024-03-13"</f>
        <v>2024-03-13</v>
      </c>
      <c r="B4748" t="str">
        <f>"121.1764"</f>
        <v>121.1764</v>
      </c>
      <c r="C4748">
        <v>4746</v>
      </c>
      <c r="D4748" s="7">
        <v>121.1764</v>
      </c>
      <c r="E4748" s="7">
        <f t="shared" si="148"/>
        <v>575103.19440000004</v>
      </c>
      <c r="F4748" s="7">
        <f t="shared" si="149"/>
        <v>22524516</v>
      </c>
      <c r="G4748" s="7"/>
    </row>
    <row r="4749" spans="1:7" x14ac:dyDescent="0.35">
      <c r="A4749" t="str">
        <f>"2024-03-14"</f>
        <v>2024-03-14</v>
      </c>
      <c r="B4749" t="str">
        <f>"121.6653"</f>
        <v>121.6653</v>
      </c>
      <c r="C4749">
        <v>4747</v>
      </c>
      <c r="D4749" s="7">
        <v>121.6653</v>
      </c>
      <c r="E4749" s="7">
        <f t="shared" si="148"/>
        <v>577545.17910000007</v>
      </c>
      <c r="F4749" s="7">
        <f t="shared" si="149"/>
        <v>22534009</v>
      </c>
      <c r="G4749" s="7"/>
    </row>
    <row r="4750" spans="1:7" x14ac:dyDescent="0.35">
      <c r="A4750" t="str">
        <f>"2024-03-15"</f>
        <v>2024-03-15</v>
      </c>
      <c r="B4750" t="str">
        <f>"121.0325"</f>
        <v>121.0325</v>
      </c>
      <c r="C4750">
        <v>4748</v>
      </c>
      <c r="D4750" s="7">
        <v>121.0325</v>
      </c>
      <c r="E4750" s="7">
        <f t="shared" si="148"/>
        <v>574662.30999999994</v>
      </c>
      <c r="F4750" s="7">
        <f t="shared" si="149"/>
        <v>22543504</v>
      </c>
      <c r="G4750" s="7"/>
    </row>
    <row r="4751" spans="1:7" x14ac:dyDescent="0.35">
      <c r="A4751" t="str">
        <f>"2024-03-18"</f>
        <v>2024-03-18</v>
      </c>
      <c r="B4751" t="str">
        <f>"119.7079"</f>
        <v>119.7079</v>
      </c>
      <c r="C4751">
        <v>4749</v>
      </c>
      <c r="D4751" s="7">
        <v>119.7079</v>
      </c>
      <c r="E4751" s="7">
        <f t="shared" si="148"/>
        <v>568492.81709999999</v>
      </c>
      <c r="F4751" s="7">
        <f t="shared" si="149"/>
        <v>22553001</v>
      </c>
      <c r="G4751" s="7"/>
    </row>
    <row r="4752" spans="1:7" x14ac:dyDescent="0.35">
      <c r="A4752" t="str">
        <f>"2024-03-19"</f>
        <v>2024-03-19</v>
      </c>
      <c r="B4752" t="str">
        <f>"124.1324"</f>
        <v>124.1324</v>
      </c>
      <c r="C4752">
        <v>4750</v>
      </c>
      <c r="D4752" s="7">
        <v>124.1324</v>
      </c>
      <c r="E4752" s="7">
        <f t="shared" si="148"/>
        <v>589628.9</v>
      </c>
      <c r="F4752" s="7">
        <f t="shared" si="149"/>
        <v>22562500</v>
      </c>
      <c r="G4752" s="7"/>
    </row>
    <row r="4753" spans="1:7" x14ac:dyDescent="0.35">
      <c r="A4753" t="str">
        <f>"2024-03-20"</f>
        <v>2024-03-20</v>
      </c>
      <c r="B4753" t="str">
        <f>"123.8869"</f>
        <v>123.8869</v>
      </c>
      <c r="C4753">
        <v>4751</v>
      </c>
      <c r="D4753" s="7">
        <v>123.8869</v>
      </c>
      <c r="E4753" s="7">
        <f t="shared" si="148"/>
        <v>588586.66189999995</v>
      </c>
      <c r="F4753" s="7">
        <f t="shared" si="149"/>
        <v>22572001</v>
      </c>
      <c r="G4753" s="7"/>
    </row>
    <row r="4754" spans="1:7" x14ac:dyDescent="0.35">
      <c r="A4754" t="str">
        <f>"2024-03-21"</f>
        <v>2024-03-21</v>
      </c>
      <c r="B4754" t="str">
        <f>"125.5167"</f>
        <v>125.5167</v>
      </c>
      <c r="C4754">
        <v>4752</v>
      </c>
      <c r="D4754" s="7">
        <v>125.5167</v>
      </c>
      <c r="E4754" s="7">
        <f t="shared" si="148"/>
        <v>596455.35840000003</v>
      </c>
      <c r="F4754" s="7">
        <f t="shared" si="149"/>
        <v>22581504</v>
      </c>
      <c r="G4754" s="7"/>
    </row>
    <row r="4755" spans="1:7" x14ac:dyDescent="0.35">
      <c r="A4755" t="str">
        <f>"2024-03-22"</f>
        <v>2024-03-22</v>
      </c>
      <c r="B4755" t="str">
        <f>"130.5374"</f>
        <v>130.5374</v>
      </c>
      <c r="C4755">
        <v>4753</v>
      </c>
      <c r="D4755" s="7">
        <v>130.53739999999999</v>
      </c>
      <c r="E4755" s="7">
        <f t="shared" si="148"/>
        <v>620444.2622</v>
      </c>
      <c r="F4755" s="7">
        <f t="shared" si="149"/>
        <v>22591009</v>
      </c>
      <c r="G4755" s="7"/>
    </row>
    <row r="4756" spans="1:7" x14ac:dyDescent="0.35">
      <c r="A4756" t="str">
        <f>"2024-03-25"</f>
        <v>2024-03-25</v>
      </c>
      <c r="B4756" t="str">
        <f>"127.3708"</f>
        <v>127.3708</v>
      </c>
      <c r="C4756">
        <v>4754</v>
      </c>
      <c r="D4756" s="7">
        <v>127.3708</v>
      </c>
      <c r="E4756" s="7">
        <f t="shared" si="148"/>
        <v>605520.78320000006</v>
      </c>
      <c r="F4756" s="7">
        <f t="shared" si="149"/>
        <v>22600516</v>
      </c>
      <c r="G4756" s="7"/>
    </row>
    <row r="4757" spans="1:7" x14ac:dyDescent="0.35">
      <c r="A4757" t="str">
        <f>"2024-03-26"</f>
        <v>2024-03-26</v>
      </c>
      <c r="B4757" t="str">
        <f>"126.7752"</f>
        <v>126.7752</v>
      </c>
      <c r="C4757">
        <v>4755</v>
      </c>
      <c r="D4757" s="7">
        <v>126.7752</v>
      </c>
      <c r="E4757" s="7">
        <f t="shared" si="148"/>
        <v>602816.076</v>
      </c>
      <c r="F4757" s="7">
        <f t="shared" si="149"/>
        <v>22610025</v>
      </c>
      <c r="G4757" s="7"/>
    </row>
    <row r="4758" spans="1:7" x14ac:dyDescent="0.35">
      <c r="A4758" t="str">
        <f>"2024-03-27"</f>
        <v>2024-03-27</v>
      </c>
      <c r="B4758" t="str">
        <f>"124.646"</f>
        <v>124.646</v>
      </c>
      <c r="C4758">
        <v>4756</v>
      </c>
      <c r="D4758" s="7">
        <v>124.646</v>
      </c>
      <c r="E4758" s="7">
        <f t="shared" si="148"/>
        <v>592816.37600000005</v>
      </c>
      <c r="F4758" s="7">
        <f t="shared" si="149"/>
        <v>22619536</v>
      </c>
      <c r="G4758" s="7"/>
    </row>
    <row r="4759" spans="1:7" x14ac:dyDescent="0.35">
      <c r="A4759" t="str">
        <f>"2024-03-28"</f>
        <v>2024-03-28</v>
      </c>
      <c r="B4759" t="str">
        <f>"129.3059"</f>
        <v>129.3059</v>
      </c>
      <c r="C4759">
        <v>4757</v>
      </c>
      <c r="D4759" s="7">
        <v>129.30590000000001</v>
      </c>
      <c r="E4759" s="7">
        <f t="shared" si="148"/>
        <v>615108.16630000004</v>
      </c>
      <c r="F4759" s="7">
        <f t="shared" si="149"/>
        <v>22629049</v>
      </c>
      <c r="G4759" s="7"/>
    </row>
    <row r="4760" spans="1:7" x14ac:dyDescent="0.35">
      <c r="A4760" t="str">
        <f>"2024-04-01"</f>
        <v>2024-04-01</v>
      </c>
      <c r="B4760" t="str">
        <f>"130.2861"</f>
        <v>130.2861</v>
      </c>
      <c r="C4760">
        <v>4758</v>
      </c>
      <c r="D4760" s="7">
        <v>130.2861</v>
      </c>
      <c r="E4760" s="7">
        <f t="shared" si="148"/>
        <v>619901.26380000007</v>
      </c>
      <c r="F4760" s="7">
        <f t="shared" si="149"/>
        <v>22638564</v>
      </c>
      <c r="G4760" s="7"/>
    </row>
    <row r="4761" spans="1:7" x14ac:dyDescent="0.35">
      <c r="A4761" t="str">
        <f>"2024-04-02"</f>
        <v>2024-04-02</v>
      </c>
      <c r="B4761" t="str">
        <f>"126.6393"</f>
        <v>126.6393</v>
      </c>
      <c r="C4761">
        <v>4759</v>
      </c>
      <c r="D4761" s="7">
        <v>126.63930000000001</v>
      </c>
      <c r="E4761" s="7">
        <f t="shared" si="148"/>
        <v>602676.42870000005</v>
      </c>
      <c r="F4761" s="7">
        <f t="shared" si="149"/>
        <v>22648081</v>
      </c>
      <c r="G4761" s="7"/>
    </row>
    <row r="4762" spans="1:7" x14ac:dyDescent="0.35">
      <c r="A4762" t="str">
        <f>"2024-04-03"</f>
        <v>2024-04-03</v>
      </c>
      <c r="B4762" t="str">
        <f>"126.8834"</f>
        <v>126.8834</v>
      </c>
      <c r="C4762">
        <v>4760</v>
      </c>
      <c r="D4762" s="7">
        <v>126.88339999999999</v>
      </c>
      <c r="E4762" s="7">
        <f t="shared" si="148"/>
        <v>603964.98399999994</v>
      </c>
      <c r="F4762" s="7">
        <f t="shared" si="149"/>
        <v>22657600</v>
      </c>
      <c r="G4762" s="7"/>
    </row>
    <row r="4763" spans="1:7" x14ac:dyDescent="0.35">
      <c r="A4763" t="str">
        <f>"2024-04-04"</f>
        <v>2024-04-04</v>
      </c>
      <c r="B4763" t="str">
        <f>"123.3651"</f>
        <v>123.3651</v>
      </c>
      <c r="C4763">
        <v>4761</v>
      </c>
      <c r="D4763" s="7">
        <v>123.3651</v>
      </c>
      <c r="E4763" s="7">
        <f t="shared" si="148"/>
        <v>587341.24109999998</v>
      </c>
      <c r="F4763" s="7">
        <f t="shared" si="149"/>
        <v>22667121</v>
      </c>
      <c r="G4763" s="7"/>
    </row>
    <row r="4764" spans="1:7" x14ac:dyDescent="0.35">
      <c r="A4764" t="str">
        <f>"2024-04-05"</f>
        <v>2024-04-05</v>
      </c>
      <c r="B4764" t="str">
        <f>"128.6307"</f>
        <v>128.6307</v>
      </c>
      <c r="C4764">
        <v>4762</v>
      </c>
      <c r="D4764" s="7">
        <v>128.63069999999999</v>
      </c>
      <c r="E4764" s="7">
        <f t="shared" si="148"/>
        <v>612539.39339999994</v>
      </c>
      <c r="F4764" s="7">
        <f t="shared" si="149"/>
        <v>22676644</v>
      </c>
      <c r="G4764" s="7"/>
    </row>
    <row r="4765" spans="1:7" x14ac:dyDescent="0.35">
      <c r="A4765" t="str">
        <f>"2024-04-08"</f>
        <v>2024-04-08</v>
      </c>
      <c r="B4765" t="str">
        <f>"129.1948"</f>
        <v>129.1948</v>
      </c>
      <c r="C4765">
        <v>4763</v>
      </c>
      <c r="D4765" s="7">
        <v>129.19479999999999</v>
      </c>
      <c r="E4765" s="7">
        <f t="shared" si="148"/>
        <v>615354.83239999996</v>
      </c>
      <c r="F4765" s="7">
        <f t="shared" si="149"/>
        <v>22686169</v>
      </c>
      <c r="G4765" s="7"/>
    </row>
    <row r="4766" spans="1:7" x14ac:dyDescent="0.35">
      <c r="A4766" t="str">
        <f>"2024-04-15"</f>
        <v>2024-04-15</v>
      </c>
      <c r="B4766" t="str">
        <f>"121.1357"</f>
        <v>121.1357</v>
      </c>
      <c r="C4766">
        <v>4764</v>
      </c>
      <c r="D4766" s="7">
        <v>121.1357</v>
      </c>
      <c r="E4766" s="7">
        <f t="shared" si="148"/>
        <v>577090.47479999997</v>
      </c>
      <c r="F4766" s="7">
        <f t="shared" si="149"/>
        <v>22695696</v>
      </c>
      <c r="G4766" s="7"/>
    </row>
    <row r="4767" spans="1:7" x14ac:dyDescent="0.35">
      <c r="A4767" t="str">
        <f>"2024-04-16"</f>
        <v>2024-04-16</v>
      </c>
      <c r="B4767" t="str">
        <f>"119.2294"</f>
        <v>119.2294</v>
      </c>
      <c r="C4767">
        <v>4765</v>
      </c>
      <c r="D4767" s="7">
        <v>119.2294</v>
      </c>
      <c r="E4767" s="7">
        <f t="shared" si="148"/>
        <v>568128.09100000001</v>
      </c>
      <c r="F4767" s="7">
        <f t="shared" si="149"/>
        <v>22705225</v>
      </c>
      <c r="G4767" s="7"/>
    </row>
    <row r="4768" spans="1:7" x14ac:dyDescent="0.35">
      <c r="A4768" t="str">
        <f>"2024-04-17"</f>
        <v>2024-04-17</v>
      </c>
      <c r="B4768" t="str">
        <f>"119.0978"</f>
        <v>119.0978</v>
      </c>
      <c r="C4768">
        <v>4766</v>
      </c>
      <c r="D4768" s="7">
        <v>119.09780000000001</v>
      </c>
      <c r="E4768" s="7">
        <f t="shared" si="148"/>
        <v>567620.11479999998</v>
      </c>
      <c r="F4768" s="7">
        <f t="shared" si="149"/>
        <v>22714756</v>
      </c>
      <c r="G4768" s="7"/>
    </row>
    <row r="4769" spans="1:7" x14ac:dyDescent="0.35">
      <c r="A4769" t="str">
        <f>"2024-04-18"</f>
        <v>2024-04-18</v>
      </c>
      <c r="B4769" t="str">
        <f>"119.1167"</f>
        <v>119.1167</v>
      </c>
      <c r="C4769">
        <v>4767</v>
      </c>
      <c r="D4769" s="7">
        <v>119.11669999999999</v>
      </c>
      <c r="E4769" s="7">
        <f t="shared" si="148"/>
        <v>567829.30889999995</v>
      </c>
      <c r="F4769" s="7">
        <f t="shared" si="149"/>
        <v>22724289</v>
      </c>
      <c r="G4769" s="7"/>
    </row>
    <row r="4770" spans="1:7" x14ac:dyDescent="0.35">
      <c r="A4770" t="str">
        <f>"2024-04-19"</f>
        <v>2024-04-19</v>
      </c>
      <c r="B4770" t="str">
        <f>"120.4716"</f>
        <v>120.4716</v>
      </c>
      <c r="C4770">
        <v>4768</v>
      </c>
      <c r="D4770" s="7">
        <v>120.4716</v>
      </c>
      <c r="E4770" s="7">
        <f t="shared" si="148"/>
        <v>574408.58880000003</v>
      </c>
      <c r="F4770" s="7">
        <f t="shared" si="149"/>
        <v>22733824</v>
      </c>
      <c r="G4770" s="7"/>
    </row>
    <row r="4771" spans="1:7" x14ac:dyDescent="0.35">
      <c r="A4771" t="str">
        <f>"2024-04-22"</f>
        <v>2024-04-22</v>
      </c>
      <c r="B4771" t="str">
        <f>"123.8413"</f>
        <v>123.8413</v>
      </c>
      <c r="C4771">
        <v>4769</v>
      </c>
      <c r="D4771" s="7">
        <v>123.8413</v>
      </c>
      <c r="E4771" s="7">
        <f t="shared" si="148"/>
        <v>590599.15970000008</v>
      </c>
      <c r="F4771" s="7">
        <f t="shared" si="149"/>
        <v>22743361</v>
      </c>
      <c r="G4771" s="7"/>
    </row>
    <row r="4772" spans="1:7" x14ac:dyDescent="0.35">
      <c r="A4772" t="str">
        <f>"2024-04-24"</f>
        <v>2024-04-24</v>
      </c>
      <c r="B4772" t="str">
        <f>"127.4874"</f>
        <v>127.4874</v>
      </c>
      <c r="C4772">
        <v>4770</v>
      </c>
      <c r="D4772" s="7">
        <v>127.48739999999999</v>
      </c>
      <c r="E4772" s="7">
        <f t="shared" si="148"/>
        <v>608114.89799999993</v>
      </c>
      <c r="F4772" s="7">
        <f t="shared" si="149"/>
        <v>22752900</v>
      </c>
      <c r="G4772" s="7"/>
    </row>
    <row r="4773" spans="1:7" x14ac:dyDescent="0.35">
      <c r="A4773" t="str">
        <f>"2024-04-25"</f>
        <v>2024-04-25</v>
      </c>
      <c r="B4773" t="str">
        <f>"128.4126"</f>
        <v>128.4126</v>
      </c>
      <c r="C4773">
        <v>4771</v>
      </c>
      <c r="D4773" s="7">
        <v>128.4126</v>
      </c>
      <c r="E4773" s="7">
        <f t="shared" si="148"/>
        <v>612656.51459999999</v>
      </c>
      <c r="F4773" s="7">
        <f t="shared" si="149"/>
        <v>22762441</v>
      </c>
      <c r="G4773" s="7"/>
    </row>
    <row r="4774" spans="1:7" x14ac:dyDescent="0.35">
      <c r="A4774" t="str">
        <f>"2024-04-26"</f>
        <v>2024-04-26</v>
      </c>
      <c r="B4774" t="str">
        <f>"129.7968"</f>
        <v>129.7968</v>
      </c>
      <c r="C4774">
        <v>4772</v>
      </c>
      <c r="D4774" s="7">
        <v>129.79679999999999</v>
      </c>
      <c r="E4774" s="7">
        <f t="shared" si="148"/>
        <v>619390.32959999994</v>
      </c>
      <c r="F4774" s="7">
        <f t="shared" si="149"/>
        <v>22771984</v>
      </c>
      <c r="G4774" s="7"/>
    </row>
    <row r="4775" spans="1:7" x14ac:dyDescent="0.35">
      <c r="A4775" t="str">
        <f>"2024-04-29"</f>
        <v>2024-04-29</v>
      </c>
      <c r="B4775" t="str">
        <f>"132.8954"</f>
        <v>132.8954</v>
      </c>
      <c r="C4775">
        <v>4773</v>
      </c>
      <c r="D4775" s="7">
        <v>132.8954</v>
      </c>
      <c r="E4775" s="7">
        <f t="shared" si="148"/>
        <v>634309.74419999996</v>
      </c>
      <c r="F4775" s="7">
        <f t="shared" si="149"/>
        <v>22781529</v>
      </c>
      <c r="G4775" s="7"/>
    </row>
    <row r="4776" spans="1:7" x14ac:dyDescent="0.35">
      <c r="A4776" t="str">
        <f>"2024-04-30"</f>
        <v>2024-04-30</v>
      </c>
      <c r="B4776" t="str">
        <f>"136.705"</f>
        <v>136.705</v>
      </c>
      <c r="C4776">
        <v>4774</v>
      </c>
      <c r="D4776" s="7">
        <v>136.70500000000001</v>
      </c>
      <c r="E4776" s="7">
        <f t="shared" si="148"/>
        <v>652629.67000000004</v>
      </c>
      <c r="F4776" s="7">
        <f t="shared" si="149"/>
        <v>22791076</v>
      </c>
      <c r="G4776" s="7"/>
    </row>
    <row r="4777" spans="1:7" x14ac:dyDescent="0.35">
      <c r="A4777" t="str">
        <f>"2024-05-02"</f>
        <v>2024-05-02</v>
      </c>
      <c r="B4777" t="str">
        <f>"136.336"</f>
        <v>136.336</v>
      </c>
      <c r="C4777">
        <v>4775</v>
      </c>
      <c r="D4777" s="7">
        <v>136.33600000000001</v>
      </c>
      <c r="E4777" s="7">
        <f t="shared" si="148"/>
        <v>651004.4</v>
      </c>
      <c r="F4777" s="7">
        <f t="shared" si="149"/>
        <v>22800625</v>
      </c>
      <c r="G4777" s="7"/>
    </row>
    <row r="4778" spans="1:7" x14ac:dyDescent="0.35">
      <c r="A4778" t="str">
        <f>"2024-05-03"</f>
        <v>2024-05-03</v>
      </c>
      <c r="B4778" t="str">
        <f>"135.6952"</f>
        <v>135.6952</v>
      </c>
      <c r="C4778">
        <v>4776</v>
      </c>
      <c r="D4778" s="7">
        <v>135.6952</v>
      </c>
      <c r="E4778" s="7">
        <f t="shared" si="148"/>
        <v>648080.27520000003</v>
      </c>
      <c r="F4778" s="7">
        <f t="shared" si="149"/>
        <v>22810176</v>
      </c>
      <c r="G4778" s="7"/>
    </row>
    <row r="4779" spans="1:7" x14ac:dyDescent="0.35">
      <c r="A4779" t="str">
        <f>"2024-05-06"</f>
        <v>2024-05-06</v>
      </c>
      <c r="B4779" t="str">
        <f>"135.2087"</f>
        <v>135.2087</v>
      </c>
      <c r="C4779">
        <v>4777</v>
      </c>
      <c r="D4779" s="7">
        <v>135.20869999999999</v>
      </c>
      <c r="E4779" s="7">
        <f t="shared" si="148"/>
        <v>645891.95990000002</v>
      </c>
      <c r="F4779" s="7">
        <f t="shared" si="149"/>
        <v>22819729</v>
      </c>
      <c r="G4779" s="7"/>
    </row>
    <row r="4780" spans="1:7" x14ac:dyDescent="0.35">
      <c r="A4780" t="str">
        <f>"2024-05-07"</f>
        <v>2024-05-07</v>
      </c>
      <c r="B4780" t="str">
        <f>"137.3302"</f>
        <v>137.3302</v>
      </c>
      <c r="C4780">
        <v>4778</v>
      </c>
      <c r="D4780" s="7">
        <v>137.33019999999999</v>
      </c>
      <c r="E4780" s="7">
        <f t="shared" si="148"/>
        <v>656163.69559999998</v>
      </c>
      <c r="F4780" s="7">
        <f t="shared" si="149"/>
        <v>22829284</v>
      </c>
      <c r="G4780" s="7"/>
    </row>
    <row r="4781" spans="1:7" x14ac:dyDescent="0.35">
      <c r="A4781" t="str">
        <f>"2024-05-08"</f>
        <v>2024-05-08</v>
      </c>
      <c r="B4781" t="str">
        <f>"136.5999"</f>
        <v>136.5999</v>
      </c>
      <c r="C4781">
        <v>4779</v>
      </c>
      <c r="D4781" s="7">
        <v>136.59989999999999</v>
      </c>
      <c r="E4781" s="7">
        <f t="shared" si="148"/>
        <v>652810.92209999997</v>
      </c>
      <c r="F4781" s="7">
        <f t="shared" si="149"/>
        <v>22838841</v>
      </c>
      <c r="G4781" s="7"/>
    </row>
    <row r="4782" spans="1:7" x14ac:dyDescent="0.35">
      <c r="A4782" t="str">
        <f>"2024-05-09"</f>
        <v>2024-05-09</v>
      </c>
      <c r="B4782" t="str">
        <f>"134.0989"</f>
        <v>134.0989</v>
      </c>
      <c r="C4782">
        <v>4780</v>
      </c>
      <c r="D4782" s="7">
        <v>134.09889999999999</v>
      </c>
      <c r="E4782" s="7">
        <f t="shared" si="148"/>
        <v>640992.74199999997</v>
      </c>
      <c r="F4782" s="7">
        <f t="shared" si="149"/>
        <v>22848400</v>
      </c>
      <c r="G4782" s="7"/>
    </row>
    <row r="4783" spans="1:7" x14ac:dyDescent="0.35">
      <c r="A4783" t="str">
        <f>"2024-05-10"</f>
        <v>2024-05-10</v>
      </c>
      <c r="B4783" t="str">
        <f>"129.4219"</f>
        <v>129.4219</v>
      </c>
      <c r="C4783">
        <v>4781</v>
      </c>
      <c r="D4783" s="7">
        <v>129.42189999999999</v>
      </c>
      <c r="E4783" s="7">
        <f t="shared" si="148"/>
        <v>618766.10389999999</v>
      </c>
      <c r="F4783" s="7">
        <f t="shared" si="149"/>
        <v>22857961</v>
      </c>
      <c r="G4783" s="7"/>
    </row>
    <row r="4784" spans="1:7" x14ac:dyDescent="0.35">
      <c r="A4784" t="str">
        <f>"2024-05-13"</f>
        <v>2024-05-13</v>
      </c>
      <c r="B4784" t="str">
        <f>"130.0141"</f>
        <v>130.0141</v>
      </c>
      <c r="C4784">
        <v>4782</v>
      </c>
      <c r="D4784" s="7">
        <v>130.01410000000001</v>
      </c>
      <c r="E4784" s="7">
        <f t="shared" si="148"/>
        <v>621727.4262000001</v>
      </c>
      <c r="F4784" s="7">
        <f t="shared" si="149"/>
        <v>22867524</v>
      </c>
      <c r="G4784" s="7"/>
    </row>
    <row r="4785" spans="1:7" x14ac:dyDescent="0.35">
      <c r="A4785" t="str">
        <f>"2024-05-14"</f>
        <v>2024-05-14</v>
      </c>
      <c r="B4785" t="str">
        <f>"127.1372"</f>
        <v>127.1372</v>
      </c>
      <c r="C4785">
        <v>4783</v>
      </c>
      <c r="D4785" s="7">
        <v>127.13720000000001</v>
      </c>
      <c r="E4785" s="7">
        <f t="shared" si="148"/>
        <v>608097.22759999998</v>
      </c>
      <c r="F4785" s="7">
        <f t="shared" si="149"/>
        <v>22877089</v>
      </c>
      <c r="G4785" s="7"/>
    </row>
    <row r="4786" spans="1:7" x14ac:dyDescent="0.35">
      <c r="A4786" t="str">
        <f>"2024-05-15"</f>
        <v>2024-05-15</v>
      </c>
      <c r="B4786" t="str">
        <f>"123.2279"</f>
        <v>123.2279</v>
      </c>
      <c r="C4786">
        <v>4784</v>
      </c>
      <c r="D4786" s="7">
        <v>123.22790000000001</v>
      </c>
      <c r="E4786" s="7">
        <f t="shared" si="148"/>
        <v>589522.27360000007</v>
      </c>
      <c r="F4786" s="7">
        <f t="shared" si="149"/>
        <v>22886656</v>
      </c>
      <c r="G4786" s="7"/>
    </row>
    <row r="4787" spans="1:7" x14ac:dyDescent="0.35">
      <c r="A4787" t="str">
        <f>"2024-05-16"</f>
        <v>2024-05-16</v>
      </c>
      <c r="B4787" t="str">
        <f>"124.7521"</f>
        <v>124.7521</v>
      </c>
      <c r="C4787">
        <v>4785</v>
      </c>
      <c r="D4787" s="7">
        <v>124.7521</v>
      </c>
      <c r="E4787" s="7">
        <f t="shared" si="148"/>
        <v>596938.79850000003</v>
      </c>
      <c r="F4787" s="7">
        <f t="shared" si="149"/>
        <v>22896225</v>
      </c>
      <c r="G4787" s="7"/>
    </row>
    <row r="4788" spans="1:7" x14ac:dyDescent="0.35">
      <c r="A4788" t="str">
        <f>"2024-05-17"</f>
        <v>2024-05-17</v>
      </c>
      <c r="B4788" t="str">
        <f>"129.2906"</f>
        <v>129.2906</v>
      </c>
      <c r="C4788">
        <v>4786</v>
      </c>
      <c r="D4788" s="7">
        <v>129.29060000000001</v>
      </c>
      <c r="E4788" s="7">
        <f t="shared" si="148"/>
        <v>618784.81160000002</v>
      </c>
      <c r="F4788" s="7">
        <f t="shared" si="149"/>
        <v>22905796</v>
      </c>
      <c r="G4788" s="7"/>
    </row>
    <row r="4789" spans="1:7" x14ac:dyDescent="0.35">
      <c r="A4789" t="str">
        <f>"2024-05-20"</f>
        <v>2024-05-20</v>
      </c>
      <c r="B4789" t="str">
        <f>"128.2583"</f>
        <v>128.2583</v>
      </c>
      <c r="C4789">
        <v>4787</v>
      </c>
      <c r="D4789" s="7">
        <v>128.25829999999999</v>
      </c>
      <c r="E4789" s="7">
        <f t="shared" si="148"/>
        <v>613972.48209999991</v>
      </c>
      <c r="F4789" s="7">
        <f t="shared" si="149"/>
        <v>22915369</v>
      </c>
      <c r="G4789" s="7"/>
    </row>
    <row r="4790" spans="1:7" x14ac:dyDescent="0.35">
      <c r="A4790" t="str">
        <f>"2024-05-21"</f>
        <v>2024-05-21</v>
      </c>
      <c r="B4790" t="str">
        <f>"128.5877"</f>
        <v>128.5877</v>
      </c>
      <c r="C4790">
        <v>4788</v>
      </c>
      <c r="D4790" s="7">
        <v>128.58770000000001</v>
      </c>
      <c r="E4790" s="7">
        <f t="shared" si="148"/>
        <v>615677.90760000004</v>
      </c>
      <c r="F4790" s="7">
        <f t="shared" si="149"/>
        <v>22924944</v>
      </c>
      <c r="G4790" s="7"/>
    </row>
    <row r="4791" spans="1:7" x14ac:dyDescent="0.35">
      <c r="A4791" t="str">
        <f>"2024-05-22"</f>
        <v>2024-05-22</v>
      </c>
      <c r="B4791" t="str">
        <f>"130.0183"</f>
        <v>130.0183</v>
      </c>
      <c r="C4791">
        <v>4789</v>
      </c>
      <c r="D4791" s="7">
        <v>130.01830000000001</v>
      </c>
      <c r="E4791" s="7">
        <f t="shared" si="148"/>
        <v>622657.63870000001</v>
      </c>
      <c r="F4791" s="7">
        <f t="shared" si="149"/>
        <v>22934521</v>
      </c>
      <c r="G4791" s="7"/>
    </row>
    <row r="4792" spans="1:7" x14ac:dyDescent="0.35">
      <c r="A4792" t="str">
        <f>"2024-05-23"</f>
        <v>2024-05-23</v>
      </c>
      <c r="B4792" t="str">
        <f>"131.5444"</f>
        <v>131.5444</v>
      </c>
      <c r="C4792">
        <v>4790</v>
      </c>
      <c r="D4792" s="7">
        <v>131.5444</v>
      </c>
      <c r="E4792" s="7">
        <f t="shared" si="148"/>
        <v>630097.67599999998</v>
      </c>
      <c r="F4792" s="7">
        <f t="shared" si="149"/>
        <v>22944100</v>
      </c>
      <c r="G4792" s="7"/>
    </row>
    <row r="4793" spans="1:7" x14ac:dyDescent="0.35">
      <c r="A4793" t="str">
        <f>"2024-05-24"</f>
        <v>2024-05-24</v>
      </c>
      <c r="B4793" t="str">
        <f>"131.7054"</f>
        <v>131.7054</v>
      </c>
      <c r="C4793">
        <v>4791</v>
      </c>
      <c r="D4793" s="7">
        <v>131.7054</v>
      </c>
      <c r="E4793" s="7">
        <f t="shared" si="148"/>
        <v>631000.57140000002</v>
      </c>
      <c r="F4793" s="7">
        <f t="shared" si="149"/>
        <v>22953681</v>
      </c>
      <c r="G4793" s="7"/>
    </row>
    <row r="4794" spans="1:7" x14ac:dyDescent="0.35">
      <c r="A4794" t="str">
        <f>"2024-05-28"</f>
        <v>2024-05-28</v>
      </c>
      <c r="B4794" t="str">
        <f>"128.3284"</f>
        <v>128.3284</v>
      </c>
      <c r="C4794">
        <v>4792</v>
      </c>
      <c r="D4794" s="7">
        <v>128.32839999999999</v>
      </c>
      <c r="E4794" s="7">
        <f t="shared" si="148"/>
        <v>614949.69279999996</v>
      </c>
      <c r="F4794" s="7">
        <f t="shared" si="149"/>
        <v>22963264</v>
      </c>
      <c r="G4794" s="7"/>
    </row>
    <row r="4795" spans="1:7" x14ac:dyDescent="0.35">
      <c r="A4795" t="str">
        <f>"2024-05-29"</f>
        <v>2024-05-29</v>
      </c>
      <c r="B4795" t="str">
        <f>"126.1398"</f>
        <v>126.1398</v>
      </c>
      <c r="C4795">
        <v>4793</v>
      </c>
      <c r="D4795" s="7">
        <v>126.13979999999999</v>
      </c>
      <c r="E4795" s="7">
        <f t="shared" si="148"/>
        <v>604588.06140000001</v>
      </c>
      <c r="F4795" s="7">
        <f t="shared" si="149"/>
        <v>22972849</v>
      </c>
      <c r="G4795" s="7"/>
    </row>
    <row r="4796" spans="1:7" x14ac:dyDescent="0.35">
      <c r="A4796" t="str">
        <f>"2024-05-30"</f>
        <v>2024-05-30</v>
      </c>
      <c r="B4796" t="str">
        <f>"125.9248"</f>
        <v>125.9248</v>
      </c>
      <c r="C4796">
        <v>4794</v>
      </c>
      <c r="D4796" s="7">
        <v>125.9248</v>
      </c>
      <c r="E4796" s="7">
        <f t="shared" si="148"/>
        <v>603683.49120000005</v>
      </c>
      <c r="F4796" s="7">
        <f t="shared" si="149"/>
        <v>22982436</v>
      </c>
      <c r="G4796" s="7"/>
    </row>
    <row r="4797" spans="1:7" x14ac:dyDescent="0.35">
      <c r="A4797" t="str">
        <f>"2024-05-31"</f>
        <v>2024-05-31</v>
      </c>
      <c r="B4797" t="str">
        <f>"125.7236"</f>
        <v>125.7236</v>
      </c>
      <c r="C4797">
        <v>4795</v>
      </c>
      <c r="D4797" s="7">
        <v>125.7236</v>
      </c>
      <c r="E4797" s="7">
        <f t="shared" si="148"/>
        <v>602844.66200000001</v>
      </c>
      <c r="F4797" s="7">
        <f t="shared" si="149"/>
        <v>22992025</v>
      </c>
      <c r="G4797" s="7"/>
    </row>
    <row r="4798" spans="1:7" x14ac:dyDescent="0.35">
      <c r="A4798" t="str">
        <f>"2024-06-03"</f>
        <v>2024-06-03</v>
      </c>
      <c r="B4798" t="str">
        <f>"128.2881"</f>
        <v>128.2881</v>
      </c>
      <c r="C4798">
        <v>4796</v>
      </c>
      <c r="D4798" s="7">
        <v>128.28809999999999</v>
      </c>
      <c r="E4798" s="7">
        <f t="shared" si="148"/>
        <v>615269.72759999998</v>
      </c>
      <c r="F4798" s="7">
        <f t="shared" si="149"/>
        <v>23001616</v>
      </c>
      <c r="G4798" s="7"/>
    </row>
    <row r="4799" spans="1:7" x14ac:dyDescent="0.35">
      <c r="A4799" t="str">
        <f>"2024-06-04"</f>
        <v>2024-06-04</v>
      </c>
      <c r="B4799" t="str">
        <f>"127.1883"</f>
        <v>127.1883</v>
      </c>
      <c r="C4799">
        <v>4797</v>
      </c>
      <c r="D4799" s="7">
        <v>127.1883</v>
      </c>
      <c r="E4799" s="7">
        <f t="shared" si="148"/>
        <v>610122.27509999997</v>
      </c>
      <c r="F4799" s="7">
        <f t="shared" si="149"/>
        <v>23011209</v>
      </c>
      <c r="G4799" s="7"/>
    </row>
    <row r="4800" spans="1:7" x14ac:dyDescent="0.35">
      <c r="A4800" t="str">
        <f>"2024-06-05"</f>
        <v>2024-06-05</v>
      </c>
      <c r="B4800" t="str">
        <f>"126.421"</f>
        <v>126.421</v>
      </c>
      <c r="C4800">
        <v>4798</v>
      </c>
      <c r="D4800" s="7">
        <v>126.42100000000001</v>
      </c>
      <c r="E4800" s="7">
        <f t="shared" si="148"/>
        <v>606567.95799999998</v>
      </c>
      <c r="F4800" s="7">
        <f t="shared" si="149"/>
        <v>23020804</v>
      </c>
      <c r="G4800" s="7"/>
    </row>
    <row r="4801" spans="1:7" x14ac:dyDescent="0.35">
      <c r="A4801" t="str">
        <f>"2024-06-06"</f>
        <v>2024-06-06</v>
      </c>
      <c r="B4801" t="str">
        <f>"124.2107"</f>
        <v>124.2107</v>
      </c>
      <c r="C4801">
        <v>4799</v>
      </c>
      <c r="D4801" s="7">
        <v>124.2107</v>
      </c>
      <c r="E4801" s="7">
        <f t="shared" si="148"/>
        <v>596087.14930000005</v>
      </c>
      <c r="F4801" s="7">
        <f t="shared" si="149"/>
        <v>23030401</v>
      </c>
      <c r="G4801" s="7"/>
    </row>
    <row r="4802" spans="1:7" x14ac:dyDescent="0.35">
      <c r="A4802" t="str">
        <f>"2024-06-07"</f>
        <v>2024-06-07</v>
      </c>
      <c r="B4802" t="str">
        <f>"126.4079"</f>
        <v>126.4079</v>
      </c>
      <c r="C4802">
        <v>4800</v>
      </c>
      <c r="D4802" s="7">
        <v>126.4079</v>
      </c>
      <c r="E4802" s="7">
        <f t="shared" si="148"/>
        <v>606757.92000000004</v>
      </c>
      <c r="F4802" s="7">
        <f t="shared" si="149"/>
        <v>23040000</v>
      </c>
      <c r="G4802" s="7"/>
    </row>
    <row r="4803" spans="1:7" x14ac:dyDescent="0.35">
      <c r="A4803" t="str">
        <f>"2024-06-10"</f>
        <v>2024-06-10</v>
      </c>
      <c r="B4803" t="str">
        <f>"124.6701"</f>
        <v>124.6701</v>
      </c>
      <c r="C4803">
        <v>4801</v>
      </c>
      <c r="D4803" s="7">
        <v>124.67010000000001</v>
      </c>
      <c r="E4803" s="7">
        <f t="shared" si="148"/>
        <v>598541.15009999997</v>
      </c>
      <c r="F4803" s="7">
        <f t="shared" si="149"/>
        <v>23049601</v>
      </c>
      <c r="G4803" s="7"/>
    </row>
    <row r="4804" spans="1:7" x14ac:dyDescent="0.35">
      <c r="A4804" t="str">
        <f>"2024-06-11"</f>
        <v>2024-06-11</v>
      </c>
      <c r="B4804" t="str">
        <f>"125.9153"</f>
        <v>125.9153</v>
      </c>
      <c r="C4804">
        <v>4802</v>
      </c>
      <c r="D4804" s="7">
        <v>125.9153</v>
      </c>
      <c r="E4804" s="7">
        <f t="shared" ref="E4804:E4867" si="150">C4804*D4804</f>
        <v>604645.27060000005</v>
      </c>
      <c r="F4804" s="7">
        <f t="shared" ref="F4804:F4867" si="151">C4804*C4804</f>
        <v>23059204</v>
      </c>
      <c r="G4804" s="7"/>
    </row>
    <row r="4805" spans="1:7" x14ac:dyDescent="0.35">
      <c r="A4805" t="str">
        <f>"2024-06-12"</f>
        <v>2024-06-12</v>
      </c>
      <c r="B4805" t="str">
        <f>"125.4764"</f>
        <v>125.4764</v>
      </c>
      <c r="C4805">
        <v>4803</v>
      </c>
      <c r="D4805" s="7">
        <v>125.4764</v>
      </c>
      <c r="E4805" s="7">
        <f t="shared" si="150"/>
        <v>602663.14919999999</v>
      </c>
      <c r="F4805" s="7">
        <f t="shared" si="151"/>
        <v>23068809</v>
      </c>
      <c r="G4805" s="7"/>
    </row>
    <row r="4806" spans="1:7" x14ac:dyDescent="0.35">
      <c r="A4806" t="str">
        <f>"2024-06-13"</f>
        <v>2024-06-13</v>
      </c>
      <c r="B4806" t="str">
        <f>"129.4542"</f>
        <v>129.4542</v>
      </c>
      <c r="C4806">
        <v>4804</v>
      </c>
      <c r="D4806" s="7">
        <v>129.45419999999999</v>
      </c>
      <c r="E4806" s="7">
        <f t="shared" si="150"/>
        <v>621897.97679999995</v>
      </c>
      <c r="F4806" s="7">
        <f t="shared" si="151"/>
        <v>23078416</v>
      </c>
      <c r="G4806" s="7"/>
    </row>
    <row r="4807" spans="1:7" x14ac:dyDescent="0.35">
      <c r="A4807" t="str">
        <f>"2024-06-14"</f>
        <v>2024-06-14</v>
      </c>
      <c r="B4807" t="str">
        <f>"128.0112"</f>
        <v>128.0112</v>
      </c>
      <c r="C4807">
        <v>4805</v>
      </c>
      <c r="D4807" s="7">
        <v>128.0112</v>
      </c>
      <c r="E4807" s="7">
        <f t="shared" si="150"/>
        <v>615093.81599999999</v>
      </c>
      <c r="F4807" s="7">
        <f t="shared" si="151"/>
        <v>23088025</v>
      </c>
      <c r="G4807" s="7"/>
    </row>
    <row r="4808" spans="1:7" x14ac:dyDescent="0.35">
      <c r="A4808" t="str">
        <f>"2024-06-20"</f>
        <v>2024-06-20</v>
      </c>
      <c r="B4808" t="str">
        <f>"128.4298"</f>
        <v>128.4298</v>
      </c>
      <c r="C4808">
        <v>4806</v>
      </c>
      <c r="D4808" s="7">
        <v>128.4298</v>
      </c>
      <c r="E4808" s="7">
        <f t="shared" si="150"/>
        <v>617233.61880000005</v>
      </c>
      <c r="F4808" s="7">
        <f t="shared" si="151"/>
        <v>23097636</v>
      </c>
      <c r="G4808" s="7"/>
    </row>
    <row r="4809" spans="1:7" x14ac:dyDescent="0.35">
      <c r="A4809" t="str">
        <f>"2024-06-21"</f>
        <v>2024-06-21</v>
      </c>
      <c r="B4809" t="str">
        <f>"129.2464"</f>
        <v>129.2464</v>
      </c>
      <c r="C4809">
        <v>4807</v>
      </c>
      <c r="D4809" s="7">
        <v>129.24639999999999</v>
      </c>
      <c r="E4809" s="7">
        <f t="shared" si="150"/>
        <v>621287.44479999994</v>
      </c>
      <c r="F4809" s="7">
        <f t="shared" si="151"/>
        <v>23107249</v>
      </c>
      <c r="G4809" s="7"/>
    </row>
    <row r="4810" spans="1:7" x14ac:dyDescent="0.35">
      <c r="A4810" t="str">
        <f>"2024-06-24"</f>
        <v>2024-06-24</v>
      </c>
      <c r="B4810" t="str">
        <f>"126.1662"</f>
        <v>126.1662</v>
      </c>
      <c r="C4810">
        <v>4808</v>
      </c>
      <c r="D4810" s="7">
        <v>126.1662</v>
      </c>
      <c r="E4810" s="7">
        <f t="shared" si="150"/>
        <v>606607.08960000006</v>
      </c>
      <c r="F4810" s="7">
        <f t="shared" si="151"/>
        <v>23116864</v>
      </c>
      <c r="G4810" s="7"/>
    </row>
    <row r="4811" spans="1:7" x14ac:dyDescent="0.35">
      <c r="A4811" t="str">
        <f>"2024-06-25"</f>
        <v>2024-06-25</v>
      </c>
      <c r="B4811" t="str">
        <f>"124.6959"</f>
        <v>124.6959</v>
      </c>
      <c r="C4811">
        <v>4809</v>
      </c>
      <c r="D4811" s="7">
        <v>124.69589999999999</v>
      </c>
      <c r="E4811" s="7">
        <f t="shared" si="150"/>
        <v>599662.58309999993</v>
      </c>
      <c r="F4811" s="7">
        <f t="shared" si="151"/>
        <v>23126481</v>
      </c>
      <c r="G4811" s="7"/>
    </row>
    <row r="4812" spans="1:7" x14ac:dyDescent="0.35">
      <c r="A4812" t="str">
        <f>"2024-06-26"</f>
        <v>2024-06-26</v>
      </c>
      <c r="B4812" t="str">
        <f>"123.599"</f>
        <v>123.599</v>
      </c>
      <c r="C4812">
        <v>4810</v>
      </c>
      <c r="D4812" s="7">
        <v>123.599</v>
      </c>
      <c r="E4812" s="7">
        <f t="shared" si="150"/>
        <v>594511.19000000006</v>
      </c>
      <c r="F4812" s="7">
        <f t="shared" si="151"/>
        <v>23136100</v>
      </c>
      <c r="G4812" s="7"/>
    </row>
    <row r="4813" spans="1:7" x14ac:dyDescent="0.35">
      <c r="A4813" t="str">
        <f>"2024-06-27"</f>
        <v>2024-06-27</v>
      </c>
      <c r="B4813" t="str">
        <f>"124.5842"</f>
        <v>124.5842</v>
      </c>
      <c r="C4813">
        <v>4811</v>
      </c>
      <c r="D4813" s="7">
        <v>124.5842</v>
      </c>
      <c r="E4813" s="7">
        <f t="shared" si="150"/>
        <v>599374.58620000002</v>
      </c>
      <c r="F4813" s="7">
        <f t="shared" si="151"/>
        <v>23145721</v>
      </c>
      <c r="G4813" s="7"/>
    </row>
    <row r="4814" spans="1:7" x14ac:dyDescent="0.35">
      <c r="A4814" t="str">
        <f>"2024-06-28"</f>
        <v>2024-06-28</v>
      </c>
      <c r="B4814" t="str">
        <f>"125.4453"</f>
        <v>125.4453</v>
      </c>
      <c r="C4814">
        <v>4812</v>
      </c>
      <c r="D4814" s="7">
        <v>125.4453</v>
      </c>
      <c r="E4814" s="7">
        <f t="shared" si="150"/>
        <v>603642.78359999997</v>
      </c>
      <c r="F4814" s="7">
        <f t="shared" si="151"/>
        <v>23155344</v>
      </c>
      <c r="G4814" s="7"/>
    </row>
    <row r="4815" spans="1:7" x14ac:dyDescent="0.35">
      <c r="A4815" t="str">
        <f>"2024-07-01"</f>
        <v>2024-07-01</v>
      </c>
      <c r="B4815" t="str">
        <f>"120.5987"</f>
        <v>120.5987</v>
      </c>
      <c r="C4815">
        <v>4813</v>
      </c>
      <c r="D4815" s="7">
        <v>120.59869999999999</v>
      </c>
      <c r="E4815" s="7">
        <f t="shared" si="150"/>
        <v>580441.54310000001</v>
      </c>
      <c r="F4815" s="7">
        <f t="shared" si="151"/>
        <v>23164969</v>
      </c>
      <c r="G4815" s="7"/>
    </row>
    <row r="4816" spans="1:7" x14ac:dyDescent="0.35">
      <c r="A4816" t="str">
        <f>"2024-07-02"</f>
        <v>2024-07-02</v>
      </c>
      <c r="B4816" t="str">
        <f>"122.1104"</f>
        <v>122.1104</v>
      </c>
      <c r="C4816">
        <v>4814</v>
      </c>
      <c r="D4816" s="7">
        <v>122.1104</v>
      </c>
      <c r="E4816" s="7">
        <f t="shared" si="150"/>
        <v>587839.4656</v>
      </c>
      <c r="F4816" s="7">
        <f t="shared" si="151"/>
        <v>23174596</v>
      </c>
      <c r="G4816" s="7"/>
    </row>
    <row r="4817" spans="1:7" x14ac:dyDescent="0.35">
      <c r="A4817" t="str">
        <f>"2024-07-03"</f>
        <v>2024-07-03</v>
      </c>
      <c r="B4817" t="str">
        <f>"122.8201"</f>
        <v>122.8201</v>
      </c>
      <c r="C4817">
        <v>4815</v>
      </c>
      <c r="D4817" s="7">
        <v>122.8201</v>
      </c>
      <c r="E4817" s="7">
        <f t="shared" si="150"/>
        <v>591378.78150000004</v>
      </c>
      <c r="F4817" s="7">
        <f t="shared" si="151"/>
        <v>23184225</v>
      </c>
      <c r="G4817" s="7"/>
    </row>
    <row r="4818" spans="1:7" x14ac:dyDescent="0.35">
      <c r="A4818" t="str">
        <f>"2024-07-05"</f>
        <v>2024-07-05</v>
      </c>
      <c r="B4818" t="str">
        <f>"122.8885"</f>
        <v>122.8885</v>
      </c>
      <c r="C4818">
        <v>4816</v>
      </c>
      <c r="D4818" s="7">
        <v>122.88849999999999</v>
      </c>
      <c r="E4818" s="7">
        <f t="shared" si="150"/>
        <v>591831.01599999995</v>
      </c>
      <c r="F4818" s="7">
        <f t="shared" si="151"/>
        <v>23193856</v>
      </c>
      <c r="G4818" s="7"/>
    </row>
    <row r="4819" spans="1:7" x14ac:dyDescent="0.35">
      <c r="A4819" t="str">
        <f>"2024-07-08"</f>
        <v>2024-07-08</v>
      </c>
      <c r="B4819" t="str">
        <f>"123.6781"</f>
        <v>123.6781</v>
      </c>
      <c r="C4819">
        <v>4817</v>
      </c>
      <c r="D4819" s="7">
        <v>123.6781</v>
      </c>
      <c r="E4819" s="7">
        <f t="shared" si="150"/>
        <v>595757.40769999998</v>
      </c>
      <c r="F4819" s="7">
        <f t="shared" si="151"/>
        <v>23203489</v>
      </c>
      <c r="G4819" s="7"/>
    </row>
    <row r="4820" spans="1:7" x14ac:dyDescent="0.35">
      <c r="A4820" t="str">
        <f>"2024-07-09"</f>
        <v>2024-07-09</v>
      </c>
      <c r="B4820" t="str">
        <f>"125.1735"</f>
        <v>125.1735</v>
      </c>
      <c r="C4820">
        <v>4818</v>
      </c>
      <c r="D4820" s="7">
        <v>125.1735</v>
      </c>
      <c r="E4820" s="7">
        <f t="shared" si="150"/>
        <v>603085.92300000007</v>
      </c>
      <c r="F4820" s="7">
        <f t="shared" si="151"/>
        <v>23213124</v>
      </c>
      <c r="G4820" s="7"/>
    </row>
    <row r="4821" spans="1:7" x14ac:dyDescent="0.35">
      <c r="A4821" t="str">
        <f>"2024-07-10"</f>
        <v>2024-07-10</v>
      </c>
      <c r="B4821" t="str">
        <f>"121.4383"</f>
        <v>121.4383</v>
      </c>
      <c r="C4821">
        <v>4819</v>
      </c>
      <c r="D4821" s="7">
        <v>121.4383</v>
      </c>
      <c r="E4821" s="7">
        <f t="shared" si="150"/>
        <v>585211.16769999999</v>
      </c>
      <c r="F4821" s="7">
        <f t="shared" si="151"/>
        <v>23222761</v>
      </c>
      <c r="G4821" s="7"/>
    </row>
    <row r="4822" spans="1:7" x14ac:dyDescent="0.35">
      <c r="A4822" t="str">
        <f>"2024-07-11"</f>
        <v>2024-07-11</v>
      </c>
      <c r="B4822" t="str">
        <f>"121.4296"</f>
        <v>121.4296</v>
      </c>
      <c r="C4822">
        <v>4820</v>
      </c>
      <c r="D4822" s="7">
        <v>121.42959999999999</v>
      </c>
      <c r="E4822" s="7">
        <f t="shared" si="150"/>
        <v>585290.67200000002</v>
      </c>
      <c r="F4822" s="7">
        <f t="shared" si="151"/>
        <v>23232400</v>
      </c>
      <c r="G4822" s="7"/>
    </row>
    <row r="4823" spans="1:7" x14ac:dyDescent="0.35">
      <c r="A4823" t="str">
        <f>"2024-07-12"</f>
        <v>2024-07-12</v>
      </c>
      <c r="B4823" t="str">
        <f>"120.1493"</f>
        <v>120.1493</v>
      </c>
      <c r="C4823">
        <v>4821</v>
      </c>
      <c r="D4823" s="7">
        <v>120.1493</v>
      </c>
      <c r="E4823" s="7">
        <f t="shared" si="150"/>
        <v>579239.77529999998</v>
      </c>
      <c r="F4823" s="7">
        <f t="shared" si="151"/>
        <v>23242041</v>
      </c>
      <c r="G4823" s="7"/>
    </row>
    <row r="4824" spans="1:7" x14ac:dyDescent="0.35">
      <c r="A4824" t="str">
        <f>"2024-07-16"</f>
        <v>2024-07-16</v>
      </c>
      <c r="B4824" t="str">
        <f>"117.6391"</f>
        <v>117.6391</v>
      </c>
      <c r="C4824">
        <v>4822</v>
      </c>
      <c r="D4824" s="7">
        <v>117.6391</v>
      </c>
      <c r="E4824" s="7">
        <f t="shared" si="150"/>
        <v>567255.7402</v>
      </c>
      <c r="F4824" s="7">
        <f t="shared" si="151"/>
        <v>23251684</v>
      </c>
      <c r="G4824" s="7"/>
    </row>
    <row r="4825" spans="1:7" x14ac:dyDescent="0.35">
      <c r="A4825" t="str">
        <f>"2024-07-17"</f>
        <v>2024-07-17</v>
      </c>
      <c r="B4825" t="str">
        <f>"118.5922"</f>
        <v>118.5922</v>
      </c>
      <c r="C4825">
        <v>4823</v>
      </c>
      <c r="D4825" s="7">
        <v>118.59220000000001</v>
      </c>
      <c r="E4825" s="7">
        <f t="shared" si="150"/>
        <v>571970.18060000008</v>
      </c>
      <c r="F4825" s="7">
        <f t="shared" si="151"/>
        <v>23261329</v>
      </c>
      <c r="G4825" s="7"/>
    </row>
    <row r="4826" spans="1:7" x14ac:dyDescent="0.35">
      <c r="A4826" t="str">
        <f>"2024-07-18"</f>
        <v>2024-07-18</v>
      </c>
      <c r="B4826" t="str">
        <f>"121.3775"</f>
        <v>121.3775</v>
      </c>
      <c r="C4826">
        <v>4824</v>
      </c>
      <c r="D4826" s="7">
        <v>121.3775</v>
      </c>
      <c r="E4826" s="7">
        <f t="shared" si="150"/>
        <v>585525.05999999994</v>
      </c>
      <c r="F4826" s="7">
        <f t="shared" si="151"/>
        <v>23270976</v>
      </c>
      <c r="G4826" s="7"/>
    </row>
    <row r="4827" spans="1:7" x14ac:dyDescent="0.35">
      <c r="A4827" t="str">
        <f>"2024-07-19"</f>
        <v>2024-07-19</v>
      </c>
      <c r="B4827" t="str">
        <f>"123.8056"</f>
        <v>123.8056</v>
      </c>
      <c r="C4827">
        <v>4825</v>
      </c>
      <c r="D4827" s="7">
        <v>123.8056</v>
      </c>
      <c r="E4827" s="7">
        <f t="shared" si="150"/>
        <v>597362.02</v>
      </c>
      <c r="F4827" s="7">
        <f t="shared" si="151"/>
        <v>23280625</v>
      </c>
      <c r="G4827" s="7"/>
    </row>
    <row r="4828" spans="1:7" x14ac:dyDescent="0.35">
      <c r="A4828" t="str">
        <f>"2024-07-22"</f>
        <v>2024-07-22</v>
      </c>
      <c r="B4828" t="str">
        <f>"122.0601"</f>
        <v>122.0601</v>
      </c>
      <c r="C4828">
        <v>4826</v>
      </c>
      <c r="D4828" s="7">
        <v>122.06010000000001</v>
      </c>
      <c r="E4828" s="7">
        <f t="shared" si="150"/>
        <v>589062.04260000004</v>
      </c>
      <c r="F4828" s="7">
        <f t="shared" si="151"/>
        <v>23290276</v>
      </c>
      <c r="G4828" s="7"/>
    </row>
    <row r="4829" spans="1:7" x14ac:dyDescent="0.35">
      <c r="A4829" t="str">
        <f>"2024-07-23"</f>
        <v>2024-07-23</v>
      </c>
      <c r="B4829" t="str">
        <f>"120.2116"</f>
        <v>120.2116</v>
      </c>
      <c r="C4829">
        <v>4827</v>
      </c>
      <c r="D4829" s="7">
        <v>120.2116</v>
      </c>
      <c r="E4829" s="7">
        <f t="shared" si="150"/>
        <v>580261.39320000005</v>
      </c>
      <c r="F4829" s="7">
        <f t="shared" si="151"/>
        <v>23299929</v>
      </c>
      <c r="G4829" s="7"/>
    </row>
    <row r="4830" spans="1:7" x14ac:dyDescent="0.35">
      <c r="A4830" t="str">
        <f>"2024-07-24"</f>
        <v>2024-07-24</v>
      </c>
      <c r="B4830" t="str">
        <f>"119.6969"</f>
        <v>119.6969</v>
      </c>
      <c r="C4830">
        <v>4828</v>
      </c>
      <c r="D4830" s="7">
        <v>119.6969</v>
      </c>
      <c r="E4830" s="7">
        <f t="shared" si="150"/>
        <v>577896.63320000004</v>
      </c>
      <c r="F4830" s="7">
        <f t="shared" si="151"/>
        <v>23309584</v>
      </c>
      <c r="G4830" s="7"/>
    </row>
    <row r="4831" spans="1:7" x14ac:dyDescent="0.35">
      <c r="A4831" t="str">
        <f>"2024-07-25"</f>
        <v>2024-07-25</v>
      </c>
      <c r="B4831" t="str">
        <f>"120.8523"</f>
        <v>120.8523</v>
      </c>
      <c r="C4831">
        <v>4829</v>
      </c>
      <c r="D4831" s="7">
        <v>120.8523</v>
      </c>
      <c r="E4831" s="7">
        <f t="shared" si="150"/>
        <v>583595.75670000003</v>
      </c>
      <c r="F4831" s="7">
        <f t="shared" si="151"/>
        <v>23319241</v>
      </c>
      <c r="G4831" s="7"/>
    </row>
    <row r="4832" spans="1:7" x14ac:dyDescent="0.35">
      <c r="A4832" t="str">
        <f>"2024-07-26"</f>
        <v>2024-07-26</v>
      </c>
      <c r="B4832" t="str">
        <f>"118.9803"</f>
        <v>118.9803</v>
      </c>
      <c r="C4832">
        <v>4830</v>
      </c>
      <c r="D4832" s="7">
        <v>118.9803</v>
      </c>
      <c r="E4832" s="7">
        <f t="shared" si="150"/>
        <v>574674.84900000005</v>
      </c>
      <c r="F4832" s="7">
        <f t="shared" si="151"/>
        <v>23328900</v>
      </c>
      <c r="G4832" s="7"/>
    </row>
    <row r="4833" spans="1:7" x14ac:dyDescent="0.35">
      <c r="A4833" t="str">
        <f>"2024-07-29"</f>
        <v>2024-07-29</v>
      </c>
      <c r="B4833" t="str">
        <f>"116.4777"</f>
        <v>116.4777</v>
      </c>
      <c r="C4833">
        <v>4831</v>
      </c>
      <c r="D4833" s="7">
        <v>116.4777</v>
      </c>
      <c r="E4833" s="7">
        <f t="shared" si="150"/>
        <v>562703.76870000002</v>
      </c>
      <c r="F4833" s="7">
        <f t="shared" si="151"/>
        <v>23338561</v>
      </c>
      <c r="G4833" s="7"/>
    </row>
    <row r="4834" spans="1:7" x14ac:dyDescent="0.35">
      <c r="A4834" t="str">
        <f>"2024-07-30"</f>
        <v>2024-07-30</v>
      </c>
      <c r="B4834" t="str">
        <f>"114.8308"</f>
        <v>114.8308</v>
      </c>
      <c r="C4834">
        <v>4832</v>
      </c>
      <c r="D4834" s="7">
        <v>114.8308</v>
      </c>
      <c r="E4834" s="7">
        <f t="shared" si="150"/>
        <v>554862.42559999996</v>
      </c>
      <c r="F4834" s="7">
        <f t="shared" si="151"/>
        <v>23348224</v>
      </c>
      <c r="G4834" s="7"/>
    </row>
    <row r="4835" spans="1:7" x14ac:dyDescent="0.35">
      <c r="A4835" t="str">
        <f>"2024-07-31"</f>
        <v>2024-07-31</v>
      </c>
      <c r="B4835" t="str">
        <f>"112.0196"</f>
        <v>112.0196</v>
      </c>
      <c r="C4835">
        <v>4833</v>
      </c>
      <c r="D4835" s="7">
        <v>112.0196</v>
      </c>
      <c r="E4835" s="7">
        <f t="shared" si="150"/>
        <v>541390.72679999995</v>
      </c>
      <c r="F4835" s="7">
        <f t="shared" si="151"/>
        <v>23357889</v>
      </c>
      <c r="G4835" s="7"/>
    </row>
    <row r="4836" spans="1:7" x14ac:dyDescent="0.35">
      <c r="A4836" t="str">
        <f>"2024-08-01"</f>
        <v>2024-08-01</v>
      </c>
      <c r="B4836" t="str">
        <f>"114.5442"</f>
        <v>114.5442</v>
      </c>
      <c r="C4836">
        <v>4834</v>
      </c>
      <c r="D4836" s="7">
        <v>114.5442</v>
      </c>
      <c r="E4836" s="7">
        <f t="shared" si="150"/>
        <v>553706.66280000005</v>
      </c>
      <c r="F4836" s="7">
        <f t="shared" si="151"/>
        <v>23367556</v>
      </c>
      <c r="G4836" s="7"/>
    </row>
    <row r="4837" spans="1:7" x14ac:dyDescent="0.35">
      <c r="A4837" t="str">
        <f>"2024-08-02"</f>
        <v>2024-08-02</v>
      </c>
      <c r="B4837" t="str">
        <f>"112.7211"</f>
        <v>112.7211</v>
      </c>
      <c r="C4837">
        <v>4835</v>
      </c>
      <c r="D4837" s="7">
        <v>112.72110000000001</v>
      </c>
      <c r="E4837" s="7">
        <f t="shared" si="150"/>
        <v>545006.51850000001</v>
      </c>
      <c r="F4837" s="7">
        <f t="shared" si="151"/>
        <v>23377225</v>
      </c>
      <c r="G4837" s="7"/>
    </row>
    <row r="4838" spans="1:7" x14ac:dyDescent="0.35">
      <c r="A4838" t="str">
        <f>"2024-08-05"</f>
        <v>2024-08-05</v>
      </c>
      <c r="B4838" t="str">
        <f>"107.9053"</f>
        <v>107.9053</v>
      </c>
      <c r="C4838">
        <v>4836</v>
      </c>
      <c r="D4838" s="7">
        <v>107.9053</v>
      </c>
      <c r="E4838" s="7">
        <f t="shared" si="150"/>
        <v>521830.03080000001</v>
      </c>
      <c r="F4838" s="7">
        <f t="shared" si="151"/>
        <v>23386896</v>
      </c>
      <c r="G4838" s="7"/>
    </row>
    <row r="4839" spans="1:7" x14ac:dyDescent="0.35">
      <c r="A4839" t="str">
        <f>"2024-08-06"</f>
        <v>2024-08-06</v>
      </c>
      <c r="B4839" t="str">
        <f>"108.9647"</f>
        <v>108.9647</v>
      </c>
      <c r="C4839">
        <v>4837</v>
      </c>
      <c r="D4839" s="7">
        <v>108.96469999999999</v>
      </c>
      <c r="E4839" s="7">
        <f t="shared" si="150"/>
        <v>527062.25390000001</v>
      </c>
      <c r="F4839" s="7">
        <f t="shared" si="151"/>
        <v>23396569</v>
      </c>
      <c r="G4839" s="7"/>
    </row>
    <row r="4840" spans="1:7" x14ac:dyDescent="0.35">
      <c r="A4840" t="str">
        <f>"2024-08-07"</f>
        <v>2024-08-07</v>
      </c>
      <c r="B4840" t="str">
        <f>"115.3319"</f>
        <v>115.3319</v>
      </c>
      <c r="C4840">
        <v>4838</v>
      </c>
      <c r="D4840" s="7">
        <v>115.3319</v>
      </c>
      <c r="E4840" s="7">
        <f t="shared" si="150"/>
        <v>557975.73219999997</v>
      </c>
      <c r="F4840" s="7">
        <f t="shared" si="151"/>
        <v>23406244</v>
      </c>
      <c r="G4840" s="7"/>
    </row>
    <row r="4841" spans="1:7" x14ac:dyDescent="0.35">
      <c r="A4841" t="str">
        <f>"2024-08-08"</f>
        <v>2024-08-08</v>
      </c>
      <c r="B4841" t="str">
        <f>"115.7182"</f>
        <v>115.7182</v>
      </c>
      <c r="C4841">
        <v>4839</v>
      </c>
      <c r="D4841" s="7">
        <v>115.7182</v>
      </c>
      <c r="E4841" s="7">
        <f t="shared" si="150"/>
        <v>559960.36979999999</v>
      </c>
      <c r="F4841" s="7">
        <f t="shared" si="151"/>
        <v>23415921</v>
      </c>
      <c r="G4841" s="7"/>
    </row>
    <row r="4842" spans="1:7" x14ac:dyDescent="0.35">
      <c r="A4842" t="str">
        <f>"2024-08-09"</f>
        <v>2024-08-09</v>
      </c>
      <c r="B4842" t="str">
        <f>"115.082"</f>
        <v>115.082</v>
      </c>
      <c r="C4842">
        <v>4840</v>
      </c>
      <c r="D4842" s="7">
        <v>115.08199999999999</v>
      </c>
      <c r="E4842" s="7">
        <f t="shared" si="150"/>
        <v>556996.88</v>
      </c>
      <c r="F4842" s="7">
        <f t="shared" si="151"/>
        <v>23425600</v>
      </c>
      <c r="G4842" s="7"/>
    </row>
    <row r="4843" spans="1:7" x14ac:dyDescent="0.35">
      <c r="A4843" t="str">
        <f>"2024-08-12"</f>
        <v>2024-08-12</v>
      </c>
      <c r="B4843" t="str">
        <f>"113.1331"</f>
        <v>113.1331</v>
      </c>
      <c r="C4843">
        <v>4841</v>
      </c>
      <c r="D4843" s="7">
        <v>113.1331</v>
      </c>
      <c r="E4843" s="7">
        <f t="shared" si="150"/>
        <v>547677.3371</v>
      </c>
      <c r="F4843" s="7">
        <f t="shared" si="151"/>
        <v>23435281</v>
      </c>
      <c r="G4843" s="7"/>
    </row>
    <row r="4844" spans="1:7" x14ac:dyDescent="0.35">
      <c r="A4844" t="str">
        <f>"2024-08-13"</f>
        <v>2024-08-13</v>
      </c>
      <c r="B4844" t="str">
        <f>"112.2274"</f>
        <v>112.2274</v>
      </c>
      <c r="C4844">
        <v>4842</v>
      </c>
      <c r="D4844" s="7">
        <v>112.2274</v>
      </c>
      <c r="E4844" s="7">
        <f t="shared" si="150"/>
        <v>543405.07079999999</v>
      </c>
      <c r="F4844" s="7">
        <f t="shared" si="151"/>
        <v>23444964</v>
      </c>
      <c r="G4844" s="7"/>
    </row>
    <row r="4845" spans="1:7" x14ac:dyDescent="0.35">
      <c r="A4845" t="str">
        <f>"2024-08-14"</f>
        <v>2024-08-14</v>
      </c>
      <c r="B4845" t="str">
        <f>"111.0118"</f>
        <v>111.0118</v>
      </c>
      <c r="C4845">
        <v>4843</v>
      </c>
      <c r="D4845" s="7">
        <v>111.01179999999999</v>
      </c>
      <c r="E4845" s="7">
        <f t="shared" si="150"/>
        <v>537630.14740000002</v>
      </c>
      <c r="F4845" s="7">
        <f t="shared" si="151"/>
        <v>23454649</v>
      </c>
      <c r="G4845" s="7"/>
    </row>
    <row r="4846" spans="1:7" x14ac:dyDescent="0.35">
      <c r="A4846" t="str">
        <f>"2024-08-15"</f>
        <v>2024-08-15</v>
      </c>
      <c r="B4846" t="str">
        <f>"108.8935"</f>
        <v>108.8935</v>
      </c>
      <c r="C4846">
        <v>4844</v>
      </c>
      <c r="D4846" s="7">
        <v>108.8935</v>
      </c>
      <c r="E4846" s="7">
        <f t="shared" si="150"/>
        <v>527480.11400000006</v>
      </c>
      <c r="F4846" s="7">
        <f t="shared" si="151"/>
        <v>23464336</v>
      </c>
      <c r="G4846" s="7"/>
    </row>
    <row r="4847" spans="1:7" x14ac:dyDescent="0.35">
      <c r="A4847" t="str">
        <f>"2024-08-16"</f>
        <v>2024-08-16</v>
      </c>
      <c r="B4847" t="str">
        <f>"108.6146"</f>
        <v>108.6146</v>
      </c>
      <c r="C4847">
        <v>4845</v>
      </c>
      <c r="D4847" s="7">
        <v>108.6146</v>
      </c>
      <c r="E4847" s="7">
        <f t="shared" si="150"/>
        <v>526237.73699999996</v>
      </c>
      <c r="F4847" s="7">
        <f t="shared" si="151"/>
        <v>23474025</v>
      </c>
      <c r="G4847" s="7"/>
    </row>
    <row r="4848" spans="1:7" x14ac:dyDescent="0.35">
      <c r="A4848" t="str">
        <f>"2024-08-19"</f>
        <v>2024-08-19</v>
      </c>
      <c r="B4848" t="str">
        <f>"109.6066"</f>
        <v>109.6066</v>
      </c>
      <c r="C4848">
        <v>4846</v>
      </c>
      <c r="D4848" s="7">
        <v>109.6066</v>
      </c>
      <c r="E4848" s="7">
        <f t="shared" si="150"/>
        <v>531153.58360000001</v>
      </c>
      <c r="F4848" s="7">
        <f t="shared" si="151"/>
        <v>23483716</v>
      </c>
      <c r="G4848" s="7"/>
    </row>
    <row r="4849" spans="1:7" x14ac:dyDescent="0.35">
      <c r="A4849" t="str">
        <f>"2024-08-20"</f>
        <v>2024-08-20</v>
      </c>
      <c r="B4849" t="str">
        <f>"109.9722"</f>
        <v>109.9722</v>
      </c>
      <c r="C4849">
        <v>4847</v>
      </c>
      <c r="D4849" s="7">
        <v>109.9722</v>
      </c>
      <c r="E4849" s="7">
        <f t="shared" si="150"/>
        <v>533035.25340000005</v>
      </c>
      <c r="F4849" s="7">
        <f t="shared" si="151"/>
        <v>23493409</v>
      </c>
      <c r="G4849" s="7"/>
    </row>
    <row r="4850" spans="1:7" x14ac:dyDescent="0.35">
      <c r="A4850" t="str">
        <f>"2024-08-21"</f>
        <v>2024-08-21</v>
      </c>
      <c r="B4850" t="str">
        <f>"108.9138"</f>
        <v>108.9138</v>
      </c>
      <c r="C4850">
        <v>4848</v>
      </c>
      <c r="D4850" s="7">
        <v>108.91379999999999</v>
      </c>
      <c r="E4850" s="7">
        <f t="shared" si="150"/>
        <v>528014.10239999997</v>
      </c>
      <c r="F4850" s="7">
        <f t="shared" si="151"/>
        <v>23503104</v>
      </c>
      <c r="G4850" s="7"/>
    </row>
    <row r="4851" spans="1:7" x14ac:dyDescent="0.35">
      <c r="A4851" t="str">
        <f>"2024-08-22"</f>
        <v>2024-08-22</v>
      </c>
      <c r="B4851" t="str">
        <f>"108.922"</f>
        <v>108.922</v>
      </c>
      <c r="C4851">
        <v>4849</v>
      </c>
      <c r="D4851" s="7">
        <v>108.922</v>
      </c>
      <c r="E4851" s="7">
        <f t="shared" si="150"/>
        <v>528162.77799999993</v>
      </c>
      <c r="F4851" s="7">
        <f t="shared" si="151"/>
        <v>23512801</v>
      </c>
      <c r="G4851" s="7"/>
    </row>
    <row r="4852" spans="1:7" x14ac:dyDescent="0.35">
      <c r="A4852" t="str">
        <f>"2024-08-23"</f>
        <v>2024-08-23</v>
      </c>
      <c r="B4852" t="str">
        <f>"107.7206"</f>
        <v>107.7206</v>
      </c>
      <c r="C4852">
        <v>4850</v>
      </c>
      <c r="D4852" s="7">
        <v>107.7206</v>
      </c>
      <c r="E4852" s="7">
        <f t="shared" si="150"/>
        <v>522444.91000000003</v>
      </c>
      <c r="F4852" s="7">
        <f t="shared" si="151"/>
        <v>23522500</v>
      </c>
      <c r="G4852" s="7"/>
    </row>
    <row r="4853" spans="1:7" x14ac:dyDescent="0.35">
      <c r="A4853" t="str">
        <f>"2024-08-26"</f>
        <v>2024-08-26</v>
      </c>
      <c r="B4853" t="str">
        <f>"104.8485"</f>
        <v>104.8485</v>
      </c>
      <c r="C4853">
        <v>4851</v>
      </c>
      <c r="D4853" s="7">
        <v>104.8485</v>
      </c>
      <c r="E4853" s="7">
        <f t="shared" si="150"/>
        <v>508620.0735</v>
      </c>
      <c r="F4853" s="7">
        <f t="shared" si="151"/>
        <v>23532201</v>
      </c>
      <c r="G4853" s="7"/>
    </row>
    <row r="4854" spans="1:7" x14ac:dyDescent="0.35">
      <c r="A4854" t="str">
        <f>"2024-08-27"</f>
        <v>2024-08-27</v>
      </c>
      <c r="B4854" t="str">
        <f>"108.1804"</f>
        <v>108.1804</v>
      </c>
      <c r="C4854">
        <v>4852</v>
      </c>
      <c r="D4854" s="7">
        <v>108.18040000000001</v>
      </c>
      <c r="E4854" s="7">
        <f t="shared" si="150"/>
        <v>524891.30080000008</v>
      </c>
      <c r="F4854" s="7">
        <f t="shared" si="151"/>
        <v>23541904</v>
      </c>
      <c r="G4854" s="7"/>
    </row>
    <row r="4855" spans="1:7" x14ac:dyDescent="0.35">
      <c r="A4855" t="str">
        <f>"2024-08-28"</f>
        <v>2024-08-28</v>
      </c>
      <c r="B4855" t="str">
        <f>"110.5002"</f>
        <v>110.5002</v>
      </c>
      <c r="C4855">
        <v>4853</v>
      </c>
      <c r="D4855" s="7">
        <v>110.50020000000001</v>
      </c>
      <c r="E4855" s="7">
        <f t="shared" si="150"/>
        <v>536257.4706</v>
      </c>
      <c r="F4855" s="7">
        <f t="shared" si="151"/>
        <v>23551609</v>
      </c>
      <c r="G4855" s="7"/>
    </row>
    <row r="4856" spans="1:7" x14ac:dyDescent="0.35">
      <c r="A4856" t="str">
        <f>"2024-08-29"</f>
        <v>2024-08-29</v>
      </c>
      <c r="B4856" t="str">
        <f>"108.3967"</f>
        <v>108.3967</v>
      </c>
      <c r="C4856">
        <v>4854</v>
      </c>
      <c r="D4856" s="7">
        <v>108.3967</v>
      </c>
      <c r="E4856" s="7">
        <f t="shared" si="150"/>
        <v>526157.58179999993</v>
      </c>
      <c r="F4856" s="7">
        <f t="shared" si="151"/>
        <v>23561316</v>
      </c>
      <c r="G4856" s="7"/>
    </row>
    <row r="4857" spans="1:7" x14ac:dyDescent="0.35">
      <c r="A4857" t="str">
        <f>"2024-09-03"</f>
        <v>2024-09-03</v>
      </c>
      <c r="B4857" t="str">
        <f>"111.5168"</f>
        <v>111.5168</v>
      </c>
      <c r="C4857">
        <v>4855</v>
      </c>
      <c r="D4857" s="7">
        <v>111.5168</v>
      </c>
      <c r="E4857" s="7">
        <f t="shared" si="150"/>
        <v>541414.06400000001</v>
      </c>
      <c r="F4857" s="7">
        <f t="shared" si="151"/>
        <v>23571025</v>
      </c>
      <c r="G4857" s="7"/>
    </row>
    <row r="4858" spans="1:7" x14ac:dyDescent="0.35">
      <c r="A4858" t="str">
        <f>"2024-09-04"</f>
        <v>2024-09-04</v>
      </c>
      <c r="B4858" t="str">
        <f>"110.4423"</f>
        <v>110.4423</v>
      </c>
      <c r="C4858">
        <v>4856</v>
      </c>
      <c r="D4858" s="7">
        <v>110.4423</v>
      </c>
      <c r="E4858" s="7">
        <f t="shared" si="150"/>
        <v>536307.8088</v>
      </c>
      <c r="F4858" s="7">
        <f t="shared" si="151"/>
        <v>23580736</v>
      </c>
      <c r="G4858" s="7"/>
    </row>
    <row r="4859" spans="1:7" x14ac:dyDescent="0.35">
      <c r="A4859" t="str">
        <f>"2024-09-05"</f>
        <v>2024-09-05</v>
      </c>
      <c r="B4859" t="str">
        <f>"107.9783"</f>
        <v>107.9783</v>
      </c>
      <c r="C4859">
        <v>4857</v>
      </c>
      <c r="D4859" s="7">
        <v>107.9783</v>
      </c>
      <c r="E4859" s="7">
        <f t="shared" si="150"/>
        <v>524450.60310000007</v>
      </c>
      <c r="F4859" s="7">
        <f t="shared" si="151"/>
        <v>23590449</v>
      </c>
      <c r="G4859" s="7"/>
    </row>
    <row r="4860" spans="1:7" x14ac:dyDescent="0.35">
      <c r="A4860" t="str">
        <f>"2024-09-06"</f>
        <v>2024-09-06</v>
      </c>
      <c r="B4860" t="str">
        <f>"108.0013"</f>
        <v>108.0013</v>
      </c>
      <c r="C4860">
        <v>4858</v>
      </c>
      <c r="D4860" s="7">
        <v>108.0013</v>
      </c>
      <c r="E4860" s="7">
        <f t="shared" si="150"/>
        <v>524670.31539999996</v>
      </c>
      <c r="F4860" s="7">
        <f t="shared" si="151"/>
        <v>23600164</v>
      </c>
      <c r="G4860" s="7"/>
    </row>
    <row r="4861" spans="1:7" x14ac:dyDescent="0.35">
      <c r="A4861" t="str">
        <f>"2024-09-09"</f>
        <v>2024-09-09</v>
      </c>
      <c r="B4861" t="str">
        <f>"105.6866"</f>
        <v>105.6866</v>
      </c>
      <c r="C4861">
        <v>4859</v>
      </c>
      <c r="D4861" s="7">
        <v>105.6866</v>
      </c>
      <c r="E4861" s="7">
        <f t="shared" si="150"/>
        <v>513531.18939999997</v>
      </c>
      <c r="F4861" s="7">
        <f t="shared" si="151"/>
        <v>23609881</v>
      </c>
      <c r="G4861" s="7"/>
    </row>
    <row r="4862" spans="1:7" x14ac:dyDescent="0.35">
      <c r="A4862" t="str">
        <f>"2024-09-10"</f>
        <v>2024-09-10</v>
      </c>
      <c r="B4862" t="str">
        <f>"103.1232"</f>
        <v>103.1232</v>
      </c>
      <c r="C4862">
        <v>4860</v>
      </c>
      <c r="D4862" s="7">
        <v>103.1232</v>
      </c>
      <c r="E4862" s="7">
        <f t="shared" si="150"/>
        <v>501178.75199999998</v>
      </c>
      <c r="F4862" s="7">
        <f t="shared" si="151"/>
        <v>23619600</v>
      </c>
      <c r="G4862" s="7"/>
    </row>
    <row r="4863" spans="1:7" x14ac:dyDescent="0.35">
      <c r="A4863" t="str">
        <f>"2024-09-11"</f>
        <v>2024-09-11</v>
      </c>
      <c r="B4863" t="str">
        <f>"101.8321"</f>
        <v>101.8321</v>
      </c>
      <c r="C4863">
        <v>4861</v>
      </c>
      <c r="D4863" s="7">
        <v>101.8321</v>
      </c>
      <c r="E4863" s="7">
        <f t="shared" si="150"/>
        <v>495005.83809999999</v>
      </c>
      <c r="F4863" s="7">
        <f t="shared" si="151"/>
        <v>23629321</v>
      </c>
      <c r="G4863" s="7"/>
    </row>
    <row r="4864" spans="1:7" x14ac:dyDescent="0.35">
      <c r="A4864" t="str">
        <f>"2024-09-12"</f>
        <v>2024-09-12</v>
      </c>
      <c r="B4864" t="str">
        <f>"102.6459"</f>
        <v>102.6459</v>
      </c>
      <c r="C4864">
        <v>4862</v>
      </c>
      <c r="D4864" s="7">
        <v>102.6459</v>
      </c>
      <c r="E4864" s="7">
        <f t="shared" si="150"/>
        <v>499064.36579999997</v>
      </c>
      <c r="F4864" s="7">
        <f t="shared" si="151"/>
        <v>23639044</v>
      </c>
      <c r="G4864" s="7"/>
    </row>
    <row r="4865" spans="1:7" x14ac:dyDescent="0.35">
      <c r="A4865" t="str">
        <f>"2024-09-13"</f>
        <v>2024-09-13</v>
      </c>
      <c r="B4865" t="str">
        <f>"103.6504"</f>
        <v>103.6504</v>
      </c>
      <c r="C4865">
        <v>4863</v>
      </c>
      <c r="D4865" s="7">
        <v>103.6504</v>
      </c>
      <c r="E4865" s="7">
        <f t="shared" si="150"/>
        <v>504051.89520000003</v>
      </c>
      <c r="F4865" s="7">
        <f t="shared" si="151"/>
        <v>23648769</v>
      </c>
      <c r="G4865" s="7"/>
    </row>
    <row r="4866" spans="1:7" x14ac:dyDescent="0.35">
      <c r="A4866" t="str">
        <f>"2024-09-16"</f>
        <v>2024-09-16</v>
      </c>
      <c r="B4866" t="str">
        <f>"101.616"</f>
        <v>101.616</v>
      </c>
      <c r="C4866">
        <v>4864</v>
      </c>
      <c r="D4866" s="7">
        <v>101.616</v>
      </c>
      <c r="E4866" s="7">
        <f t="shared" si="150"/>
        <v>494260.22399999999</v>
      </c>
      <c r="F4866" s="7">
        <f t="shared" si="151"/>
        <v>23658496</v>
      </c>
      <c r="G4866" s="7"/>
    </row>
    <row r="4867" spans="1:7" x14ac:dyDescent="0.35">
      <c r="A4867" t="str">
        <f>"2024-09-17"</f>
        <v>2024-09-17</v>
      </c>
      <c r="B4867" t="str">
        <f>"103.6979"</f>
        <v>103.6979</v>
      </c>
      <c r="C4867">
        <v>4865</v>
      </c>
      <c r="D4867" s="7">
        <v>103.6979</v>
      </c>
      <c r="E4867" s="7">
        <f t="shared" si="150"/>
        <v>504490.28350000002</v>
      </c>
      <c r="F4867" s="7">
        <f t="shared" si="151"/>
        <v>23668225</v>
      </c>
      <c r="G4867" s="7"/>
    </row>
    <row r="4868" spans="1:7" x14ac:dyDescent="0.35">
      <c r="A4868" t="str">
        <f>"2024-09-18"</f>
        <v>2024-09-18</v>
      </c>
      <c r="B4868" t="str">
        <f>"103.5227"</f>
        <v>103.5227</v>
      </c>
      <c r="C4868">
        <v>4866</v>
      </c>
      <c r="D4868" s="7">
        <v>103.5227</v>
      </c>
      <c r="E4868" s="7">
        <f t="shared" ref="E4868:E4931" si="152">C4868*D4868</f>
        <v>503741.45819999999</v>
      </c>
      <c r="F4868" s="7">
        <f t="shared" ref="F4868:F4931" si="153">C4868*C4868</f>
        <v>23677956</v>
      </c>
      <c r="G4868" s="7"/>
    </row>
    <row r="4869" spans="1:7" x14ac:dyDescent="0.35">
      <c r="A4869" t="str">
        <f>"2024-09-19"</f>
        <v>2024-09-19</v>
      </c>
      <c r="B4869" t="str">
        <f>"106.1767"</f>
        <v>106.1767</v>
      </c>
      <c r="C4869">
        <v>4867</v>
      </c>
      <c r="D4869" s="7">
        <v>106.1767</v>
      </c>
      <c r="E4869" s="7">
        <f t="shared" si="152"/>
        <v>516761.99890000001</v>
      </c>
      <c r="F4869" s="7">
        <f t="shared" si="153"/>
        <v>23687689</v>
      </c>
      <c r="G4869" s="7"/>
    </row>
    <row r="4870" spans="1:7" x14ac:dyDescent="0.35">
      <c r="A4870" t="str">
        <f>"2024-09-20"</f>
        <v>2024-09-20</v>
      </c>
      <c r="B4870" t="str">
        <f>"104.333"</f>
        <v>104.333</v>
      </c>
      <c r="C4870">
        <v>4868</v>
      </c>
      <c r="D4870" s="7">
        <v>104.333</v>
      </c>
      <c r="E4870" s="7">
        <f t="shared" si="152"/>
        <v>507893.04399999999</v>
      </c>
      <c r="F4870" s="7">
        <f t="shared" si="153"/>
        <v>23697424</v>
      </c>
      <c r="G4870" s="7"/>
    </row>
    <row r="4871" spans="1:7" x14ac:dyDescent="0.35">
      <c r="A4871" t="str">
        <f>"2024-09-23"</f>
        <v>2024-09-23</v>
      </c>
      <c r="B4871" t="str">
        <f>"102.9279"</f>
        <v>102.9279</v>
      </c>
      <c r="C4871">
        <v>4869</v>
      </c>
      <c r="D4871" s="7">
        <v>102.92789999999999</v>
      </c>
      <c r="E4871" s="7">
        <f t="shared" si="152"/>
        <v>501155.94509999995</v>
      </c>
      <c r="F4871" s="7">
        <f t="shared" si="153"/>
        <v>23707161</v>
      </c>
      <c r="G4871" s="7"/>
    </row>
    <row r="4872" spans="1:7" x14ac:dyDescent="0.35">
      <c r="A4872" t="str">
        <f>"2024-09-24"</f>
        <v>2024-09-24</v>
      </c>
      <c r="B4872" t="str">
        <f>"101.7743"</f>
        <v>101.7743</v>
      </c>
      <c r="C4872">
        <v>4870</v>
      </c>
      <c r="D4872" s="7">
        <v>101.7743</v>
      </c>
      <c r="E4872" s="7">
        <f t="shared" si="152"/>
        <v>495640.84099999996</v>
      </c>
      <c r="F4872" s="7">
        <f t="shared" si="153"/>
        <v>23716900</v>
      </c>
      <c r="G4872" s="7"/>
    </row>
    <row r="4873" spans="1:7" x14ac:dyDescent="0.35">
      <c r="A4873" t="str">
        <f>"2024-09-25"</f>
        <v>2024-09-25</v>
      </c>
      <c r="B4873" t="str">
        <f>"99.865"</f>
        <v>99.865</v>
      </c>
      <c r="C4873">
        <v>4871</v>
      </c>
      <c r="D4873" s="7">
        <v>99.864999999999995</v>
      </c>
      <c r="E4873" s="7">
        <f t="shared" si="152"/>
        <v>486442.41499999998</v>
      </c>
      <c r="F4873" s="7">
        <f t="shared" si="153"/>
        <v>23726641</v>
      </c>
      <c r="G4873" s="7"/>
    </row>
    <row r="4874" spans="1:7" x14ac:dyDescent="0.35">
      <c r="A4874" t="str">
        <f>"2024-09-26"</f>
        <v>2024-09-26</v>
      </c>
      <c r="B4874" t="str">
        <f>"99.3238"</f>
        <v>99.3238</v>
      </c>
      <c r="C4874">
        <v>4872</v>
      </c>
      <c r="D4874" s="7">
        <v>99.323800000000006</v>
      </c>
      <c r="E4874" s="7">
        <f t="shared" si="152"/>
        <v>483905.55360000004</v>
      </c>
      <c r="F4874" s="7">
        <f t="shared" si="153"/>
        <v>23736384</v>
      </c>
      <c r="G4874" s="7"/>
    </row>
    <row r="4875" spans="1:7" x14ac:dyDescent="0.35">
      <c r="A4875" t="str">
        <f>"2024-09-27"</f>
        <v>2024-09-27</v>
      </c>
      <c r="B4875" t="str">
        <f>"100.5864"</f>
        <v>100.5864</v>
      </c>
      <c r="C4875">
        <v>4873</v>
      </c>
      <c r="D4875" s="7">
        <v>100.5864</v>
      </c>
      <c r="E4875" s="7">
        <f t="shared" si="152"/>
        <v>490157.52720000001</v>
      </c>
      <c r="F4875" s="7">
        <f t="shared" si="153"/>
        <v>23746129</v>
      </c>
      <c r="G4875" s="7"/>
    </row>
    <row r="4876" spans="1:7" x14ac:dyDescent="0.35">
      <c r="A4876" t="str">
        <f>"2024-09-30"</f>
        <v>2024-09-30</v>
      </c>
      <c r="B4876" t="str">
        <f>"98.4722"</f>
        <v>98.4722</v>
      </c>
      <c r="C4876">
        <v>4874</v>
      </c>
      <c r="D4876" s="7">
        <v>98.472200000000001</v>
      </c>
      <c r="E4876" s="7">
        <f t="shared" si="152"/>
        <v>479953.50280000002</v>
      </c>
      <c r="F4876" s="7">
        <f t="shared" si="153"/>
        <v>23755876</v>
      </c>
      <c r="G4876" s="7"/>
    </row>
    <row r="4877" spans="1:7" x14ac:dyDescent="0.35">
      <c r="A4877" t="str">
        <f>"2024-10-01"</f>
        <v>2024-10-01</v>
      </c>
      <c r="B4877" t="str">
        <f>"94.6923"</f>
        <v>94.6923</v>
      </c>
      <c r="C4877">
        <v>4875</v>
      </c>
      <c r="D4877" s="7">
        <v>94.692300000000003</v>
      </c>
      <c r="E4877" s="7">
        <f t="shared" si="152"/>
        <v>461624.96250000002</v>
      </c>
      <c r="F4877" s="7">
        <f t="shared" si="153"/>
        <v>23765625</v>
      </c>
      <c r="G4877" s="7"/>
    </row>
    <row r="4878" spans="1:7" x14ac:dyDescent="0.35">
      <c r="A4878" t="str">
        <f>"2024-10-02"</f>
        <v>2024-10-02</v>
      </c>
      <c r="B4878" t="str">
        <f>"93.3164"</f>
        <v>93.3164</v>
      </c>
      <c r="C4878">
        <v>4876</v>
      </c>
      <c r="D4878" s="7">
        <v>93.316400000000002</v>
      </c>
      <c r="E4878" s="7">
        <f t="shared" si="152"/>
        <v>455010.76640000002</v>
      </c>
      <c r="F4878" s="7">
        <f t="shared" si="153"/>
        <v>23775376</v>
      </c>
      <c r="G4878" s="7"/>
    </row>
    <row r="4879" spans="1:7" x14ac:dyDescent="0.35">
      <c r="A4879" t="str">
        <f>"2024-10-03"</f>
        <v>2024-10-03</v>
      </c>
      <c r="B4879" t="str">
        <f>"91.9042"</f>
        <v>91.9042</v>
      </c>
      <c r="C4879">
        <v>4877</v>
      </c>
      <c r="D4879" s="7">
        <v>91.904200000000003</v>
      </c>
      <c r="E4879" s="7">
        <f t="shared" si="152"/>
        <v>448216.78340000001</v>
      </c>
      <c r="F4879" s="7">
        <f t="shared" si="153"/>
        <v>23785129</v>
      </c>
      <c r="G4879" s="7"/>
    </row>
    <row r="4880" spans="1:7" x14ac:dyDescent="0.35">
      <c r="A4880" t="str">
        <f>"2024-10-04"</f>
        <v>2024-10-04</v>
      </c>
      <c r="B4880" t="str">
        <f>"94.0243"</f>
        <v>94.0243</v>
      </c>
      <c r="C4880">
        <v>4878</v>
      </c>
      <c r="D4880" s="7">
        <v>94.024299999999997</v>
      </c>
      <c r="E4880" s="7">
        <f t="shared" si="152"/>
        <v>458650.53539999999</v>
      </c>
      <c r="F4880" s="7">
        <f t="shared" si="153"/>
        <v>23794884</v>
      </c>
      <c r="G4880" s="7"/>
    </row>
    <row r="4881" spans="1:7" x14ac:dyDescent="0.35">
      <c r="A4881" t="str">
        <f>"2024-10-07"</f>
        <v>2024-10-07</v>
      </c>
      <c r="B4881" t="str">
        <f>"92.9446"</f>
        <v>92.9446</v>
      </c>
      <c r="C4881">
        <v>4879</v>
      </c>
      <c r="D4881" s="7">
        <v>92.944599999999994</v>
      </c>
      <c r="E4881" s="7">
        <f t="shared" si="152"/>
        <v>453476.7034</v>
      </c>
      <c r="F4881" s="7">
        <f t="shared" si="153"/>
        <v>23804641</v>
      </c>
      <c r="G4881" s="7"/>
    </row>
    <row r="4882" spans="1:7" x14ac:dyDescent="0.35">
      <c r="A4882" t="str">
        <f>"2024-10-08"</f>
        <v>2024-10-08</v>
      </c>
      <c r="B4882" t="str">
        <f>"94.0372"</f>
        <v>94.0372</v>
      </c>
      <c r="C4882">
        <v>4880</v>
      </c>
      <c r="D4882" s="7">
        <v>94.037199999999999</v>
      </c>
      <c r="E4882" s="7">
        <f t="shared" si="152"/>
        <v>458901.53600000002</v>
      </c>
      <c r="F4882" s="7">
        <f t="shared" si="153"/>
        <v>23814400</v>
      </c>
      <c r="G4882" s="7"/>
    </row>
    <row r="4883" spans="1:7" x14ac:dyDescent="0.35">
      <c r="A4883" t="str">
        <f>"2024-10-09"</f>
        <v>2024-10-09</v>
      </c>
      <c r="B4883" t="str">
        <f>"94.1388"</f>
        <v>94.1388</v>
      </c>
      <c r="C4883">
        <v>4881</v>
      </c>
      <c r="D4883" s="7">
        <v>94.138800000000003</v>
      </c>
      <c r="E4883" s="7">
        <f t="shared" si="152"/>
        <v>459491.4828</v>
      </c>
      <c r="F4883" s="7">
        <f t="shared" si="153"/>
        <v>23824161</v>
      </c>
      <c r="G4883" s="7"/>
    </row>
    <row r="4884" spans="1:7" x14ac:dyDescent="0.35">
      <c r="A4884" t="str">
        <f>"2024-10-10"</f>
        <v>2024-10-10</v>
      </c>
      <c r="B4884" t="str">
        <f>"92.335"</f>
        <v>92.335</v>
      </c>
      <c r="C4884">
        <v>4882</v>
      </c>
      <c r="D4884" s="7">
        <v>92.334999999999994</v>
      </c>
      <c r="E4884" s="7">
        <f t="shared" si="152"/>
        <v>450779.47</v>
      </c>
      <c r="F4884" s="7">
        <f t="shared" si="153"/>
        <v>23833924</v>
      </c>
      <c r="G4884" s="7"/>
    </row>
    <row r="4885" spans="1:7" x14ac:dyDescent="0.35">
      <c r="A4885" t="str">
        <f>"2024-10-11"</f>
        <v>2024-10-11</v>
      </c>
      <c r="B4885" t="str">
        <f>"90.4618"</f>
        <v>90.4618</v>
      </c>
      <c r="C4885">
        <v>4883</v>
      </c>
      <c r="D4885" s="7">
        <v>90.461799999999997</v>
      </c>
      <c r="E4885" s="7">
        <f t="shared" si="152"/>
        <v>441724.9694</v>
      </c>
      <c r="F4885" s="7">
        <f t="shared" si="153"/>
        <v>23843689</v>
      </c>
      <c r="G4885" s="7"/>
    </row>
    <row r="4886" spans="1:7" x14ac:dyDescent="0.35">
      <c r="A4886" t="str">
        <f>"2024-10-14"</f>
        <v>2024-10-14</v>
      </c>
      <c r="B4886" t="str">
        <f>"88.3344"</f>
        <v>88.3344</v>
      </c>
      <c r="C4886">
        <v>4884</v>
      </c>
      <c r="D4886" s="7">
        <v>88.334400000000002</v>
      </c>
      <c r="E4886" s="7">
        <f t="shared" si="152"/>
        <v>431425.2096</v>
      </c>
      <c r="F4886" s="7">
        <f t="shared" si="153"/>
        <v>23853456</v>
      </c>
      <c r="G4886" s="7"/>
    </row>
    <row r="4887" spans="1:7" x14ac:dyDescent="0.35">
      <c r="A4887" t="str">
        <f>"2024-10-15"</f>
        <v>2024-10-15</v>
      </c>
      <c r="B4887" t="str">
        <f>"91.4421"</f>
        <v>91.4421</v>
      </c>
      <c r="C4887">
        <v>4885</v>
      </c>
      <c r="D4887" s="7">
        <v>91.442099999999996</v>
      </c>
      <c r="E4887" s="7">
        <f t="shared" si="152"/>
        <v>446694.65849999996</v>
      </c>
      <c r="F4887" s="7">
        <f t="shared" si="153"/>
        <v>23863225</v>
      </c>
      <c r="G4887" s="7"/>
    </row>
    <row r="4888" spans="1:7" x14ac:dyDescent="0.35">
      <c r="A4888" t="str">
        <f>"2024-10-16"</f>
        <v>2024-10-16</v>
      </c>
      <c r="B4888" t="str">
        <f>"91.5891"</f>
        <v>91.5891</v>
      </c>
      <c r="C4888">
        <v>4886</v>
      </c>
      <c r="D4888" s="7">
        <v>91.589100000000002</v>
      </c>
      <c r="E4888" s="7">
        <f t="shared" si="152"/>
        <v>447504.34260000003</v>
      </c>
      <c r="F4888" s="7">
        <f t="shared" si="153"/>
        <v>23872996</v>
      </c>
      <c r="G4888" s="7"/>
    </row>
    <row r="4889" spans="1:7" x14ac:dyDescent="0.35">
      <c r="A4889" t="str">
        <f>"2024-10-17"</f>
        <v>2024-10-17</v>
      </c>
      <c r="B4889" t="str">
        <f>"92.5287"</f>
        <v>92.5287</v>
      </c>
      <c r="C4889">
        <v>4887</v>
      </c>
      <c r="D4889" s="7">
        <v>92.528700000000001</v>
      </c>
      <c r="E4889" s="7">
        <f t="shared" si="152"/>
        <v>452187.75689999998</v>
      </c>
      <c r="F4889" s="7">
        <f t="shared" si="153"/>
        <v>23882769</v>
      </c>
      <c r="G4889" s="7"/>
    </row>
    <row r="4890" spans="1:7" x14ac:dyDescent="0.35">
      <c r="A4890" t="str">
        <f>"2024-10-18"</f>
        <v>2024-10-18</v>
      </c>
      <c r="B4890" t="str">
        <f>"89.837"</f>
        <v>89.837</v>
      </c>
      <c r="C4890">
        <v>4888</v>
      </c>
      <c r="D4890" s="7">
        <v>89.837000000000003</v>
      </c>
      <c r="E4890" s="7">
        <f t="shared" si="152"/>
        <v>439123.25599999999</v>
      </c>
      <c r="F4890" s="7">
        <f t="shared" si="153"/>
        <v>23892544</v>
      </c>
      <c r="G4890" s="7"/>
    </row>
    <row r="4891" spans="1:7" x14ac:dyDescent="0.35">
      <c r="A4891" t="str">
        <f>"2024-10-21"</f>
        <v>2024-10-21</v>
      </c>
      <c r="B4891" t="str">
        <f>"89.8076"</f>
        <v>89.8076</v>
      </c>
      <c r="C4891">
        <v>4889</v>
      </c>
      <c r="D4891" s="7">
        <v>89.807599999999994</v>
      </c>
      <c r="E4891" s="7">
        <f t="shared" si="152"/>
        <v>439069.35639999999</v>
      </c>
      <c r="F4891" s="7">
        <f t="shared" si="153"/>
        <v>23902321</v>
      </c>
      <c r="G4891" s="7"/>
    </row>
    <row r="4892" spans="1:7" x14ac:dyDescent="0.35">
      <c r="A4892" t="str">
        <f>"2024-10-22"</f>
        <v>2024-10-22</v>
      </c>
      <c r="B4892" t="str">
        <f>"90.9338"</f>
        <v>90.9338</v>
      </c>
      <c r="C4892">
        <v>4890</v>
      </c>
      <c r="D4892" s="7">
        <v>90.933800000000005</v>
      </c>
      <c r="E4892" s="7">
        <f t="shared" si="152"/>
        <v>444666.28200000001</v>
      </c>
      <c r="F4892" s="7">
        <f t="shared" si="153"/>
        <v>23912100</v>
      </c>
      <c r="G4892" s="7"/>
    </row>
    <row r="4893" spans="1:7" x14ac:dyDescent="0.35">
      <c r="A4893" t="str">
        <f>"2024-10-23"</f>
        <v>2024-10-23</v>
      </c>
      <c r="B4893" t="str">
        <f>"89.5705"</f>
        <v>89.5705</v>
      </c>
      <c r="C4893">
        <v>4891</v>
      </c>
      <c r="D4893" s="7">
        <v>89.570499999999996</v>
      </c>
      <c r="E4893" s="7">
        <f t="shared" si="152"/>
        <v>438089.31549999997</v>
      </c>
      <c r="F4893" s="7">
        <f t="shared" si="153"/>
        <v>23921881</v>
      </c>
      <c r="G4893" s="7"/>
    </row>
    <row r="4894" spans="1:7" x14ac:dyDescent="0.35">
      <c r="A4894" t="str">
        <f>"2024-10-24"</f>
        <v>2024-10-24</v>
      </c>
      <c r="B4894" t="str">
        <f>"90.8507"</f>
        <v>90.8507</v>
      </c>
      <c r="C4894">
        <v>4892</v>
      </c>
      <c r="D4894" s="7">
        <v>90.850700000000003</v>
      </c>
      <c r="E4894" s="7">
        <f t="shared" si="152"/>
        <v>444441.62440000003</v>
      </c>
      <c r="F4894" s="7">
        <f t="shared" si="153"/>
        <v>23931664</v>
      </c>
      <c r="G4894" s="7"/>
    </row>
    <row r="4895" spans="1:7" x14ac:dyDescent="0.35">
      <c r="A4895" t="str">
        <f>"2024-10-25"</f>
        <v>2024-10-25</v>
      </c>
      <c r="B4895" t="str">
        <f>"91.3454"</f>
        <v>91.3454</v>
      </c>
      <c r="C4895">
        <v>4893</v>
      </c>
      <c r="D4895" s="7">
        <v>91.345399999999998</v>
      </c>
      <c r="E4895" s="7">
        <f t="shared" si="152"/>
        <v>446953.04219999997</v>
      </c>
      <c r="F4895" s="7">
        <f t="shared" si="153"/>
        <v>23941449</v>
      </c>
      <c r="G4895" s="7"/>
    </row>
    <row r="4896" spans="1:7" x14ac:dyDescent="0.35">
      <c r="A4896" t="str">
        <f>"2024-10-28"</f>
        <v>2024-10-28</v>
      </c>
      <c r="B4896" t="str">
        <f>"91.952"</f>
        <v>91.952</v>
      </c>
      <c r="C4896">
        <v>4894</v>
      </c>
      <c r="D4896" s="7">
        <v>91.951999999999998</v>
      </c>
      <c r="E4896" s="7">
        <f t="shared" si="152"/>
        <v>450013.08799999999</v>
      </c>
      <c r="F4896" s="7">
        <f t="shared" si="153"/>
        <v>23951236</v>
      </c>
      <c r="G4896" s="7"/>
    </row>
    <row r="4897" spans="1:7" x14ac:dyDescent="0.35">
      <c r="A4897" t="str">
        <f>"2024-10-30"</f>
        <v>2024-10-30</v>
      </c>
      <c r="B4897" t="str">
        <f>"90.3081"</f>
        <v>90.3081</v>
      </c>
      <c r="C4897">
        <v>4895</v>
      </c>
      <c r="D4897" s="7">
        <v>90.308099999999996</v>
      </c>
      <c r="E4897" s="7">
        <f t="shared" si="152"/>
        <v>442058.1495</v>
      </c>
      <c r="F4897" s="7">
        <f t="shared" si="153"/>
        <v>23961025</v>
      </c>
      <c r="G4897" s="7"/>
    </row>
    <row r="4898" spans="1:7" x14ac:dyDescent="0.35">
      <c r="A4898" t="str">
        <f>"2024-10-31"</f>
        <v>2024-10-31</v>
      </c>
      <c r="B4898" t="str">
        <f>"90.2845"</f>
        <v>90.2845</v>
      </c>
      <c r="C4898">
        <v>4896</v>
      </c>
      <c r="D4898" s="7">
        <v>90.284499999999994</v>
      </c>
      <c r="E4898" s="7">
        <f t="shared" si="152"/>
        <v>442032.91199999995</v>
      </c>
      <c r="F4898" s="7">
        <f t="shared" si="153"/>
        <v>23970816</v>
      </c>
      <c r="G4898" s="7"/>
    </row>
    <row r="4899" spans="1:7" x14ac:dyDescent="0.35">
      <c r="A4899" t="str">
        <f>"2024-11-01"</f>
        <v>2024-11-01</v>
      </c>
      <c r="B4899" t="str">
        <f>"90.4124"</f>
        <v>90.4124</v>
      </c>
      <c r="C4899">
        <v>4897</v>
      </c>
      <c r="D4899" s="7">
        <v>90.412400000000005</v>
      </c>
      <c r="E4899" s="7">
        <f t="shared" si="152"/>
        <v>442749.52280000004</v>
      </c>
      <c r="F4899" s="7">
        <f t="shared" si="153"/>
        <v>23980609</v>
      </c>
      <c r="G4899" s="7"/>
    </row>
    <row r="4900" spans="1:7" x14ac:dyDescent="0.35">
      <c r="A4900" t="str">
        <f>"2024-11-04"</f>
        <v>2024-11-04</v>
      </c>
      <c r="B4900" t="str">
        <f>"88.9142"</f>
        <v>88.9142</v>
      </c>
      <c r="C4900">
        <v>4898</v>
      </c>
      <c r="D4900" s="7">
        <v>88.914199999999994</v>
      </c>
      <c r="E4900" s="7">
        <f t="shared" si="152"/>
        <v>435501.75159999996</v>
      </c>
      <c r="F4900" s="7">
        <f t="shared" si="153"/>
        <v>23990404</v>
      </c>
      <c r="G4900" s="7"/>
    </row>
    <row r="4901" spans="1:7" x14ac:dyDescent="0.35">
      <c r="A4901" t="str">
        <f>"2024-11-05"</f>
        <v>2024-11-05</v>
      </c>
      <c r="B4901" t="str">
        <f>"89.9611"</f>
        <v>89.9611</v>
      </c>
      <c r="C4901">
        <v>4899</v>
      </c>
      <c r="D4901" s="7">
        <v>89.961100000000002</v>
      </c>
      <c r="E4901" s="7">
        <f t="shared" si="152"/>
        <v>440719.4289</v>
      </c>
      <c r="F4901" s="7">
        <f t="shared" si="153"/>
        <v>24000201</v>
      </c>
      <c r="G4901" s="7"/>
    </row>
    <row r="4902" spans="1:7" x14ac:dyDescent="0.35">
      <c r="A4902" t="str">
        <f>"2024-11-06"</f>
        <v>2024-11-06</v>
      </c>
      <c r="B4902" t="str">
        <f>"94.2261"</f>
        <v>94.2261</v>
      </c>
      <c r="C4902">
        <v>4900</v>
      </c>
      <c r="D4902" s="7">
        <v>94.226100000000002</v>
      </c>
      <c r="E4902" s="7">
        <f t="shared" si="152"/>
        <v>461707.89</v>
      </c>
      <c r="F4902" s="7">
        <f t="shared" si="153"/>
        <v>24010000</v>
      </c>
      <c r="G4902" s="7"/>
    </row>
    <row r="4903" spans="1:7" x14ac:dyDescent="0.35">
      <c r="A4903" t="str">
        <f>"2024-11-07"</f>
        <v>2024-11-07</v>
      </c>
      <c r="B4903" t="str">
        <f>"95.2945"</f>
        <v>95.2945</v>
      </c>
      <c r="C4903">
        <v>4901</v>
      </c>
      <c r="D4903" s="7">
        <v>95.294499999999999</v>
      </c>
      <c r="E4903" s="7">
        <f t="shared" si="152"/>
        <v>467038.34450000001</v>
      </c>
      <c r="F4903" s="7">
        <f t="shared" si="153"/>
        <v>24019801</v>
      </c>
      <c r="G4903" s="7"/>
    </row>
    <row r="4904" spans="1:7" x14ac:dyDescent="0.35">
      <c r="A4904" t="str">
        <f>"2024-11-08"</f>
        <v>2024-11-08</v>
      </c>
      <c r="B4904" t="str">
        <f>"97.8211"</f>
        <v>97.8211</v>
      </c>
      <c r="C4904">
        <v>4902</v>
      </c>
      <c r="D4904" s="7">
        <v>97.821100000000001</v>
      </c>
      <c r="E4904" s="7">
        <f t="shared" si="152"/>
        <v>479519.03220000002</v>
      </c>
      <c r="F4904" s="7">
        <f t="shared" si="153"/>
        <v>24029604</v>
      </c>
      <c r="G4904" s="7"/>
    </row>
    <row r="4905" spans="1:7" x14ac:dyDescent="0.35">
      <c r="A4905" t="str">
        <f>"2024-11-11"</f>
        <v>2024-11-11</v>
      </c>
      <c r="B4905" t="str">
        <f>"99.8666"</f>
        <v>99.8666</v>
      </c>
      <c r="C4905">
        <v>4903</v>
      </c>
      <c r="D4905" s="7">
        <v>99.866600000000005</v>
      </c>
      <c r="E4905" s="7">
        <f t="shared" si="152"/>
        <v>489645.93980000005</v>
      </c>
      <c r="F4905" s="7">
        <f t="shared" si="153"/>
        <v>24039409</v>
      </c>
      <c r="G4905" s="7"/>
    </row>
    <row r="4906" spans="1:7" x14ac:dyDescent="0.35">
      <c r="A4906" t="str">
        <f>"2024-11-12"</f>
        <v>2024-11-12</v>
      </c>
      <c r="B4906" t="str">
        <f>"99.8458"</f>
        <v>99.8458</v>
      </c>
      <c r="C4906">
        <v>4904</v>
      </c>
      <c r="D4906" s="7">
        <v>99.845799999999997</v>
      </c>
      <c r="E4906" s="7">
        <f t="shared" si="152"/>
        <v>489643.80319999997</v>
      </c>
      <c r="F4906" s="7">
        <f t="shared" si="153"/>
        <v>24049216</v>
      </c>
      <c r="G4906" s="7"/>
    </row>
    <row r="4907" spans="1:7" x14ac:dyDescent="0.35">
      <c r="A4907" t="str">
        <f>"2024-11-13"</f>
        <v>2024-11-13</v>
      </c>
      <c r="B4907" t="str">
        <f>"99.495"</f>
        <v>99.495</v>
      </c>
      <c r="C4907">
        <v>4905</v>
      </c>
      <c r="D4907" s="7">
        <v>99.495000000000005</v>
      </c>
      <c r="E4907" s="7">
        <f t="shared" si="152"/>
        <v>488022.97500000003</v>
      </c>
      <c r="F4907" s="7">
        <f t="shared" si="153"/>
        <v>24059025</v>
      </c>
      <c r="G4907" s="7"/>
    </row>
    <row r="4908" spans="1:7" x14ac:dyDescent="0.35">
      <c r="A4908" t="str">
        <f>"2024-11-14"</f>
        <v>2024-11-14</v>
      </c>
      <c r="B4908" t="str">
        <f>"101.0274"</f>
        <v>101.0274</v>
      </c>
      <c r="C4908">
        <v>4906</v>
      </c>
      <c r="D4908" s="7">
        <v>101.0274</v>
      </c>
      <c r="E4908" s="7">
        <f t="shared" si="152"/>
        <v>495640.42440000002</v>
      </c>
      <c r="F4908" s="7">
        <f t="shared" si="153"/>
        <v>24068836</v>
      </c>
      <c r="G4908" s="7"/>
    </row>
    <row r="4909" spans="1:7" x14ac:dyDescent="0.35">
      <c r="A4909" t="str">
        <f>"2024-11-15"</f>
        <v>2024-11-15</v>
      </c>
      <c r="B4909" t="str">
        <f>"102.4176"</f>
        <v>102.4176</v>
      </c>
      <c r="C4909">
        <v>4907</v>
      </c>
      <c r="D4909" s="7">
        <v>102.41759999999999</v>
      </c>
      <c r="E4909" s="7">
        <f t="shared" si="152"/>
        <v>502563.16319999995</v>
      </c>
      <c r="F4909" s="7">
        <f t="shared" si="153"/>
        <v>24078649</v>
      </c>
      <c r="G4909" s="7"/>
    </row>
    <row r="4910" spans="1:7" x14ac:dyDescent="0.35">
      <c r="A4910" t="str">
        <f>"2024-11-18"</f>
        <v>2024-11-18</v>
      </c>
      <c r="B4910" t="str">
        <f>"100.1552"</f>
        <v>100.1552</v>
      </c>
      <c r="C4910">
        <v>4908</v>
      </c>
      <c r="D4910" s="7">
        <v>100.15519999999999</v>
      </c>
      <c r="E4910" s="7">
        <f t="shared" si="152"/>
        <v>491561.72159999999</v>
      </c>
      <c r="F4910" s="7">
        <f t="shared" si="153"/>
        <v>24088464</v>
      </c>
      <c r="G4910" s="7"/>
    </row>
    <row r="4911" spans="1:7" x14ac:dyDescent="0.35">
      <c r="A4911" t="str">
        <f>"2024-11-19"</f>
        <v>2024-11-19</v>
      </c>
      <c r="B4911" t="str">
        <f>"95.546"</f>
        <v>95.546</v>
      </c>
      <c r="C4911">
        <v>4909</v>
      </c>
      <c r="D4911" s="7">
        <v>95.546000000000006</v>
      </c>
      <c r="E4911" s="7">
        <f t="shared" si="152"/>
        <v>469035.31400000001</v>
      </c>
      <c r="F4911" s="7">
        <f t="shared" si="153"/>
        <v>24098281</v>
      </c>
      <c r="G4911" s="7"/>
    </row>
    <row r="4912" spans="1:7" x14ac:dyDescent="0.35">
      <c r="A4912" t="str">
        <f>"2024-11-20"</f>
        <v>2024-11-20</v>
      </c>
      <c r="B4912" t="str">
        <f>"92.2609"</f>
        <v>92.2609</v>
      </c>
      <c r="C4912">
        <v>4910</v>
      </c>
      <c r="D4912" s="7">
        <v>92.260900000000007</v>
      </c>
      <c r="E4912" s="7">
        <f t="shared" si="152"/>
        <v>453001.01900000003</v>
      </c>
      <c r="F4912" s="7">
        <f t="shared" si="153"/>
        <v>24108100</v>
      </c>
      <c r="G4912" s="7"/>
    </row>
    <row r="4913" spans="1:7" x14ac:dyDescent="0.35">
      <c r="A4913" t="str">
        <f>"2024-11-21"</f>
        <v>2024-11-21</v>
      </c>
      <c r="B4913" t="str">
        <f>"94.4702"</f>
        <v>94.4702</v>
      </c>
      <c r="C4913">
        <v>4911</v>
      </c>
      <c r="D4913" s="7">
        <v>94.470200000000006</v>
      </c>
      <c r="E4913" s="7">
        <f t="shared" si="152"/>
        <v>463943.15220000001</v>
      </c>
      <c r="F4913" s="7">
        <f t="shared" si="153"/>
        <v>24117921</v>
      </c>
      <c r="G4913" s="7"/>
    </row>
    <row r="4914" spans="1:7" x14ac:dyDescent="0.35">
      <c r="A4914" t="str">
        <f>"2024-11-22"</f>
        <v>2024-11-22</v>
      </c>
      <c r="B4914" t="str">
        <f>"92.9133"</f>
        <v>92.9133</v>
      </c>
      <c r="C4914">
        <v>4912</v>
      </c>
      <c r="D4914" s="7">
        <v>92.913300000000007</v>
      </c>
      <c r="E4914" s="7">
        <f t="shared" si="152"/>
        <v>456390.12960000004</v>
      </c>
      <c r="F4914" s="7">
        <f t="shared" si="153"/>
        <v>24127744</v>
      </c>
      <c r="G4914" s="7"/>
    </row>
    <row r="4915" spans="1:7" x14ac:dyDescent="0.35">
      <c r="A4915" t="str">
        <f>"2024-11-25"</f>
        <v>2024-11-25</v>
      </c>
      <c r="B4915" t="str">
        <f>"102.3024"</f>
        <v>102.3024</v>
      </c>
      <c r="C4915">
        <v>4913</v>
      </c>
      <c r="D4915" s="7">
        <v>102.30240000000001</v>
      </c>
      <c r="E4915" s="7">
        <f t="shared" si="152"/>
        <v>502611.6912</v>
      </c>
      <c r="F4915" s="7">
        <f t="shared" si="153"/>
        <v>24137569</v>
      </c>
      <c r="G4915" s="7"/>
    </row>
    <row r="4916" spans="1:7" x14ac:dyDescent="0.35">
      <c r="A4916" t="str">
        <f>"2024-11-26"</f>
        <v>2024-11-26</v>
      </c>
      <c r="B4916" t="str">
        <f>"100.8696"</f>
        <v>100.8696</v>
      </c>
      <c r="C4916">
        <v>4914</v>
      </c>
      <c r="D4916" s="7">
        <v>100.86960000000001</v>
      </c>
      <c r="E4916" s="7">
        <f t="shared" si="152"/>
        <v>495673.21440000006</v>
      </c>
      <c r="F4916" s="7">
        <f t="shared" si="153"/>
        <v>24147396</v>
      </c>
      <c r="G4916" s="7"/>
    </row>
    <row r="4917" spans="1:7" x14ac:dyDescent="0.35">
      <c r="A4917" t="str">
        <f>"2024-11-27"</f>
        <v>2024-11-27</v>
      </c>
      <c r="B4917" t="str">
        <f>"99.4488"</f>
        <v>99.4488</v>
      </c>
      <c r="C4917">
        <v>4915</v>
      </c>
      <c r="D4917" s="7">
        <v>99.448800000000006</v>
      </c>
      <c r="E4917" s="7">
        <f t="shared" si="152"/>
        <v>488790.85200000001</v>
      </c>
      <c r="F4917" s="7">
        <f t="shared" si="153"/>
        <v>24157225</v>
      </c>
      <c r="G4917" s="7"/>
    </row>
    <row r="4918" spans="1:7" x14ac:dyDescent="0.35">
      <c r="A4918" t="str">
        <f>"2024-11-29"</f>
        <v>2024-11-29</v>
      </c>
      <c r="B4918" t="str">
        <f>"96.2897"</f>
        <v>96.2897</v>
      </c>
      <c r="C4918">
        <v>4916</v>
      </c>
      <c r="D4918" s="7">
        <v>96.289699999999996</v>
      </c>
      <c r="E4918" s="7">
        <f t="shared" si="152"/>
        <v>473360.16519999999</v>
      </c>
      <c r="F4918" s="7">
        <f t="shared" si="153"/>
        <v>24167056</v>
      </c>
      <c r="G4918" s="7"/>
    </row>
    <row r="4919" spans="1:7" x14ac:dyDescent="0.35">
      <c r="A4919" t="str">
        <f>"2024-12-02"</f>
        <v>2024-12-02</v>
      </c>
      <c r="B4919" t="str">
        <f>"97.1414"</f>
        <v>97.1414</v>
      </c>
      <c r="C4919">
        <v>4917</v>
      </c>
      <c r="D4919" s="7">
        <v>97.141400000000004</v>
      </c>
      <c r="E4919" s="7">
        <f t="shared" si="152"/>
        <v>477644.26380000002</v>
      </c>
      <c r="F4919" s="7">
        <f t="shared" si="153"/>
        <v>24176889</v>
      </c>
      <c r="G4919" s="7"/>
    </row>
    <row r="4920" spans="1:7" x14ac:dyDescent="0.35">
      <c r="A4920" t="str">
        <f>"2024-12-03"</f>
        <v>2024-12-03</v>
      </c>
      <c r="B4920" t="str">
        <f>"97.1373"</f>
        <v>97.1373</v>
      </c>
      <c r="C4920">
        <v>4918</v>
      </c>
      <c r="D4920" s="7">
        <v>97.137299999999996</v>
      </c>
      <c r="E4920" s="7">
        <f t="shared" si="152"/>
        <v>477721.2414</v>
      </c>
      <c r="F4920" s="7">
        <f t="shared" si="153"/>
        <v>24186724</v>
      </c>
      <c r="G4920" s="7"/>
    </row>
    <row r="4921" spans="1:7" x14ac:dyDescent="0.35">
      <c r="A4921" t="str">
        <f>"2024-12-04"</f>
        <v>2024-12-04</v>
      </c>
      <c r="B4921" t="str">
        <f>"97.4797"</f>
        <v>97.4797</v>
      </c>
      <c r="C4921">
        <v>4919</v>
      </c>
      <c r="D4921" s="7">
        <v>97.479699999999994</v>
      </c>
      <c r="E4921" s="7">
        <f t="shared" si="152"/>
        <v>479502.64429999999</v>
      </c>
      <c r="F4921" s="7">
        <f t="shared" si="153"/>
        <v>24196561</v>
      </c>
      <c r="G4921" s="7"/>
    </row>
    <row r="4922" spans="1:7" x14ac:dyDescent="0.35">
      <c r="A4922" t="str">
        <f>"2024-12-05"</f>
        <v>2024-12-05</v>
      </c>
      <c r="B4922" t="str">
        <f>"100.0547"</f>
        <v>100.0547</v>
      </c>
      <c r="C4922">
        <v>4920</v>
      </c>
      <c r="D4922" s="7">
        <v>100.0547</v>
      </c>
      <c r="E4922" s="7">
        <f t="shared" si="152"/>
        <v>492269.12400000001</v>
      </c>
      <c r="F4922" s="7">
        <f t="shared" si="153"/>
        <v>24206400</v>
      </c>
      <c r="G4922" s="7"/>
    </row>
    <row r="4923" spans="1:7" x14ac:dyDescent="0.35">
      <c r="A4923" t="str">
        <f>"2024-12-06"</f>
        <v>2024-12-06</v>
      </c>
      <c r="B4923" t="str">
        <f>"101.8862"</f>
        <v>101.8862</v>
      </c>
      <c r="C4923">
        <v>4921</v>
      </c>
      <c r="D4923" s="7">
        <v>101.8862</v>
      </c>
      <c r="E4923" s="7">
        <f t="shared" si="152"/>
        <v>501381.9902</v>
      </c>
      <c r="F4923" s="7">
        <f t="shared" si="153"/>
        <v>24216241</v>
      </c>
      <c r="G4923" s="7"/>
    </row>
    <row r="4924" spans="1:7" x14ac:dyDescent="0.35">
      <c r="A4924" t="str">
        <f>"2024-12-09"</f>
        <v>2024-12-09</v>
      </c>
      <c r="B4924" t="str">
        <f>"100.8457"</f>
        <v>100.8457</v>
      </c>
      <c r="C4924">
        <v>4922</v>
      </c>
      <c r="D4924" s="7">
        <v>100.84569999999999</v>
      </c>
      <c r="E4924" s="7">
        <f t="shared" si="152"/>
        <v>496362.53539999999</v>
      </c>
      <c r="F4924" s="7">
        <f t="shared" si="153"/>
        <v>24226084</v>
      </c>
      <c r="G4924" s="7"/>
    </row>
    <row r="4925" spans="1:7" x14ac:dyDescent="0.35">
      <c r="A4925" t="str">
        <f>"2024-12-10"</f>
        <v>2024-12-10</v>
      </c>
      <c r="B4925" t="str">
        <f>"99.0929"</f>
        <v>99.0929</v>
      </c>
      <c r="C4925">
        <v>4923</v>
      </c>
      <c r="D4925" s="7">
        <v>99.0929</v>
      </c>
      <c r="E4925" s="7">
        <f t="shared" si="152"/>
        <v>487834.34669999999</v>
      </c>
      <c r="F4925" s="7">
        <f t="shared" si="153"/>
        <v>24235929</v>
      </c>
      <c r="G4925" s="7"/>
    </row>
    <row r="4926" spans="1:7" x14ac:dyDescent="0.35">
      <c r="A4926" t="str">
        <f>"2024-12-11"</f>
        <v>2024-12-11</v>
      </c>
      <c r="B4926" t="str">
        <f>"98.3621"</f>
        <v>98.3621</v>
      </c>
      <c r="C4926">
        <v>4924</v>
      </c>
      <c r="D4926" s="7">
        <v>98.362099999999998</v>
      </c>
      <c r="E4926" s="7">
        <f t="shared" si="152"/>
        <v>484334.9804</v>
      </c>
      <c r="F4926" s="7">
        <f t="shared" si="153"/>
        <v>24245776</v>
      </c>
      <c r="G4926" s="7"/>
    </row>
    <row r="4927" spans="1:7" x14ac:dyDescent="0.35">
      <c r="A4927" t="str">
        <f>"2024-12-12"</f>
        <v>2024-12-12</v>
      </c>
      <c r="B4927" t="str">
        <f>"99.0876"</f>
        <v>99.0876</v>
      </c>
      <c r="C4927">
        <v>4925</v>
      </c>
      <c r="D4927" s="7">
        <v>99.087599999999995</v>
      </c>
      <c r="E4927" s="7">
        <f t="shared" si="152"/>
        <v>488006.43</v>
      </c>
      <c r="F4927" s="7">
        <f t="shared" si="153"/>
        <v>24255625</v>
      </c>
      <c r="G4927" s="7"/>
    </row>
    <row r="4928" spans="1:7" x14ac:dyDescent="0.35">
      <c r="A4928" t="str">
        <f>"2024-12-13"</f>
        <v>2024-12-13</v>
      </c>
      <c r="B4928" t="str">
        <f>"100.2791"</f>
        <v>100.2791</v>
      </c>
      <c r="C4928">
        <v>4926</v>
      </c>
      <c r="D4928" s="7">
        <v>100.2791</v>
      </c>
      <c r="E4928" s="7">
        <f t="shared" si="152"/>
        <v>493974.84659999999</v>
      </c>
      <c r="F4928" s="7">
        <f t="shared" si="153"/>
        <v>24265476</v>
      </c>
      <c r="G4928" s="7"/>
    </row>
    <row r="4929" spans="1:7" x14ac:dyDescent="0.35">
      <c r="A4929" t="str">
        <f>"2024-12-16"</f>
        <v>2024-12-16</v>
      </c>
      <c r="B4929" t="str">
        <f>"99.1842"</f>
        <v>99.1842</v>
      </c>
      <c r="C4929">
        <v>4927</v>
      </c>
      <c r="D4929" s="7">
        <v>99.184200000000004</v>
      </c>
      <c r="E4929" s="7">
        <f t="shared" si="152"/>
        <v>488680.55340000003</v>
      </c>
      <c r="F4929" s="7">
        <f t="shared" si="153"/>
        <v>24275329</v>
      </c>
      <c r="G4929" s="7"/>
    </row>
    <row r="4930" spans="1:7" x14ac:dyDescent="0.35">
      <c r="A4930" t="str">
        <f>"2024-12-17"</f>
        <v>2024-12-17</v>
      </c>
      <c r="B4930" t="str">
        <f>"100.1855"</f>
        <v>100.1855</v>
      </c>
      <c r="C4930">
        <v>4928</v>
      </c>
      <c r="D4930" s="7">
        <v>100.1855</v>
      </c>
      <c r="E4930" s="7">
        <f t="shared" si="152"/>
        <v>493714.14400000003</v>
      </c>
      <c r="F4930" s="7">
        <f t="shared" si="153"/>
        <v>24285184</v>
      </c>
      <c r="G4930" s="7"/>
    </row>
    <row r="4931" spans="1:7" x14ac:dyDescent="0.35">
      <c r="A4931" t="str">
        <f>"2024-12-18"</f>
        <v>2024-12-18</v>
      </c>
      <c r="B4931" t="str">
        <f>"97.8913"</f>
        <v>97.8913</v>
      </c>
      <c r="C4931">
        <v>4929</v>
      </c>
      <c r="D4931" s="7">
        <v>97.891300000000001</v>
      </c>
      <c r="E4931" s="7">
        <f t="shared" si="152"/>
        <v>482506.21769999998</v>
      </c>
      <c r="F4931" s="7">
        <f t="shared" si="153"/>
        <v>24295041</v>
      </c>
      <c r="G4931" s="7"/>
    </row>
    <row r="4932" spans="1:7" x14ac:dyDescent="0.35">
      <c r="A4932" t="str">
        <f>"2024-12-19"</f>
        <v>2024-12-19</v>
      </c>
      <c r="B4932" t="str">
        <f>"99.1091"</f>
        <v>99.1091</v>
      </c>
      <c r="C4932">
        <v>4930</v>
      </c>
      <c r="D4932" s="7">
        <v>99.109099999999998</v>
      </c>
      <c r="E4932" s="7">
        <f t="shared" ref="E4932:E4995" si="154">C4932*D4932</f>
        <v>488607.86300000001</v>
      </c>
      <c r="F4932" s="7">
        <f t="shared" ref="F4932:F4995" si="155">C4932*C4932</f>
        <v>24304900</v>
      </c>
      <c r="G4932" s="7"/>
    </row>
    <row r="4933" spans="1:7" x14ac:dyDescent="0.35">
      <c r="A4933" t="str">
        <f>"2024-12-20"</f>
        <v>2024-12-20</v>
      </c>
      <c r="B4933" t="str">
        <f>"97.5651"</f>
        <v>97.5651</v>
      </c>
      <c r="C4933">
        <v>4931</v>
      </c>
      <c r="D4933" s="7">
        <v>97.565100000000001</v>
      </c>
      <c r="E4933" s="7">
        <f t="shared" si="154"/>
        <v>481093.50809999998</v>
      </c>
      <c r="F4933" s="7">
        <f t="shared" si="155"/>
        <v>24314761</v>
      </c>
      <c r="G4933" s="7"/>
    </row>
    <row r="4934" spans="1:7" x14ac:dyDescent="0.35">
      <c r="A4934" t="str">
        <f>"2024-12-23"</f>
        <v>2024-12-23</v>
      </c>
      <c r="B4934" t="str">
        <f>"96.9304"</f>
        <v>96.9304</v>
      </c>
      <c r="C4934">
        <v>4932</v>
      </c>
      <c r="D4934" s="7">
        <v>96.930400000000006</v>
      </c>
      <c r="E4934" s="7">
        <f t="shared" si="154"/>
        <v>478060.73280000006</v>
      </c>
      <c r="F4934" s="7">
        <f t="shared" si="155"/>
        <v>24324624</v>
      </c>
      <c r="G4934" s="7"/>
    </row>
    <row r="4935" spans="1:7" x14ac:dyDescent="0.35">
      <c r="A4935" t="str">
        <f>"2024-12-24"</f>
        <v>2024-12-24</v>
      </c>
      <c r="B4935" t="str">
        <f>"96.2015"</f>
        <v>96.2015</v>
      </c>
      <c r="C4935">
        <v>4933</v>
      </c>
      <c r="D4935" s="7">
        <v>96.201499999999996</v>
      </c>
      <c r="E4935" s="7">
        <f t="shared" si="154"/>
        <v>474561.99949999998</v>
      </c>
      <c r="F4935" s="7">
        <f t="shared" si="155"/>
        <v>24334489</v>
      </c>
      <c r="G4935" s="7"/>
    </row>
    <row r="4936" spans="1:7" x14ac:dyDescent="0.35">
      <c r="A4936" t="str">
        <f>"2024-12-26"</f>
        <v>2024-12-26</v>
      </c>
      <c r="B4936" t="str">
        <f>"97.3313"</f>
        <v>97.3313</v>
      </c>
      <c r="C4936">
        <v>4934</v>
      </c>
      <c r="D4936" s="7">
        <v>97.331299999999999</v>
      </c>
      <c r="E4936" s="7">
        <f t="shared" si="154"/>
        <v>480232.63419999997</v>
      </c>
      <c r="F4936" s="7">
        <f t="shared" si="155"/>
        <v>24344356</v>
      </c>
      <c r="G4936" s="7"/>
    </row>
    <row r="4937" spans="1:7" x14ac:dyDescent="0.35">
      <c r="A4937" t="str">
        <f>"2024-12-27"</f>
        <v>2024-12-27</v>
      </c>
      <c r="B4937" t="str">
        <f>"98.0678"</f>
        <v>98.0678</v>
      </c>
      <c r="C4937">
        <v>4935</v>
      </c>
      <c r="D4937" s="7">
        <v>98.067800000000005</v>
      </c>
      <c r="E4937" s="7">
        <f t="shared" si="154"/>
        <v>483964.59300000005</v>
      </c>
      <c r="F4937" s="7">
        <f t="shared" si="155"/>
        <v>24354225</v>
      </c>
      <c r="G4937" s="7"/>
    </row>
    <row r="4938" spans="1:7" x14ac:dyDescent="0.35">
      <c r="A4938" t="str">
        <f>"2024-12-30"</f>
        <v>2024-12-30</v>
      </c>
      <c r="B4938" t="str">
        <f>"95.8075"</f>
        <v>95.8075</v>
      </c>
      <c r="C4938">
        <v>4936</v>
      </c>
      <c r="D4938" s="7">
        <v>95.807500000000005</v>
      </c>
      <c r="E4938" s="7">
        <f t="shared" si="154"/>
        <v>472905.82</v>
      </c>
      <c r="F4938" s="7">
        <f t="shared" si="155"/>
        <v>24364096</v>
      </c>
      <c r="G4938" s="7"/>
    </row>
    <row r="4939" spans="1:7" x14ac:dyDescent="0.35">
      <c r="A4939" t="str">
        <f>"2024-12-31"</f>
        <v>2024-12-31</v>
      </c>
      <c r="B4939" t="str">
        <f>"94.157"</f>
        <v>94.157</v>
      </c>
      <c r="C4939">
        <v>4937</v>
      </c>
      <c r="D4939" s="7">
        <v>94.156999999999996</v>
      </c>
      <c r="E4939" s="7">
        <f t="shared" si="154"/>
        <v>464853.109</v>
      </c>
      <c r="F4939" s="7">
        <f t="shared" si="155"/>
        <v>24373969</v>
      </c>
      <c r="G4939" s="7"/>
    </row>
    <row r="4940" spans="1:7" x14ac:dyDescent="0.35">
      <c r="A4940" t="str">
        <f>"2025-01-02"</f>
        <v>2025-01-02</v>
      </c>
      <c r="B4940" t="str">
        <f>"95.0738"</f>
        <v>95.0738</v>
      </c>
      <c r="C4940">
        <v>4938</v>
      </c>
      <c r="D4940" s="7">
        <v>95.073800000000006</v>
      </c>
      <c r="E4940" s="7">
        <f t="shared" si="154"/>
        <v>469474.42440000002</v>
      </c>
      <c r="F4940" s="7">
        <f t="shared" si="155"/>
        <v>24383844</v>
      </c>
      <c r="G4940" s="7"/>
    </row>
    <row r="4941" spans="1:7" x14ac:dyDescent="0.35">
      <c r="A4941" t="str">
        <f>"2025-01-03"</f>
        <v>2025-01-03</v>
      </c>
      <c r="B4941" t="str">
        <f>"99.013"</f>
        <v>99.013</v>
      </c>
      <c r="C4941">
        <v>4939</v>
      </c>
      <c r="D4941" s="7">
        <v>99.013000000000005</v>
      </c>
      <c r="E4941" s="7">
        <f t="shared" si="154"/>
        <v>489025.20700000005</v>
      </c>
      <c r="F4941" s="7">
        <f t="shared" si="155"/>
        <v>24393721</v>
      </c>
      <c r="G4941" s="7"/>
    </row>
    <row r="4942" spans="1:7" x14ac:dyDescent="0.35">
      <c r="A4942" t="str">
        <f>"2025-01-06"</f>
        <v>2025-01-06</v>
      </c>
      <c r="B4942" t="str">
        <f>"99.2161"</f>
        <v>99.2161</v>
      </c>
      <c r="C4942">
        <v>4940</v>
      </c>
      <c r="D4942" s="7">
        <v>99.216099999999997</v>
      </c>
      <c r="E4942" s="7">
        <f t="shared" si="154"/>
        <v>490127.53399999999</v>
      </c>
      <c r="F4942" s="7">
        <f t="shared" si="155"/>
        <v>24403600</v>
      </c>
      <c r="G4942" s="7"/>
    </row>
    <row r="4943" spans="1:7" x14ac:dyDescent="0.35">
      <c r="A4943" t="str">
        <f>"2025-01-07"</f>
        <v>2025-01-07</v>
      </c>
      <c r="B4943" t="str">
        <f>"97.2186"</f>
        <v>97.2186</v>
      </c>
      <c r="C4943">
        <v>4941</v>
      </c>
      <c r="D4943" s="7">
        <v>97.218599999999995</v>
      </c>
      <c r="E4943" s="7">
        <f t="shared" si="154"/>
        <v>480357.10259999998</v>
      </c>
      <c r="F4943" s="7">
        <f t="shared" si="155"/>
        <v>24413481</v>
      </c>
      <c r="G4943" s="7"/>
    </row>
    <row r="4944" spans="1:7" x14ac:dyDescent="0.35">
      <c r="A4944" t="str">
        <f>"2025-01-08"</f>
        <v>2025-01-08</v>
      </c>
      <c r="B4944" t="str">
        <f>"96.8318"</f>
        <v>96.8318</v>
      </c>
      <c r="C4944">
        <v>4942</v>
      </c>
      <c r="D4944" s="7">
        <v>96.831800000000001</v>
      </c>
      <c r="E4944" s="7">
        <f t="shared" si="154"/>
        <v>478542.75560000003</v>
      </c>
      <c r="F4944" s="7">
        <f t="shared" si="155"/>
        <v>24423364</v>
      </c>
      <c r="G4944" s="7"/>
    </row>
    <row r="4945" spans="1:7" x14ac:dyDescent="0.35">
      <c r="A4945" t="str">
        <f>"2025-01-09"</f>
        <v>2025-01-09</v>
      </c>
      <c r="B4945" t="str">
        <f>"96.6331"</f>
        <v>96.6331</v>
      </c>
      <c r="C4945">
        <v>4943</v>
      </c>
      <c r="D4945" s="7">
        <v>96.633099999999999</v>
      </c>
      <c r="E4945" s="7">
        <f t="shared" si="154"/>
        <v>477657.41330000001</v>
      </c>
      <c r="F4945" s="7">
        <f t="shared" si="155"/>
        <v>24433249</v>
      </c>
      <c r="G4945" s="7"/>
    </row>
    <row r="4946" spans="1:7" x14ac:dyDescent="0.35">
      <c r="A4946" t="str">
        <f>"2025-01-10"</f>
        <v>2025-01-10</v>
      </c>
      <c r="B4946" t="str">
        <f>"95.2628"</f>
        <v>95.2628</v>
      </c>
      <c r="C4946">
        <v>4944</v>
      </c>
      <c r="D4946" s="7">
        <v>95.262799999999999</v>
      </c>
      <c r="E4946" s="7">
        <f t="shared" si="154"/>
        <v>470979.28320000001</v>
      </c>
      <c r="F4946" s="7">
        <f t="shared" si="155"/>
        <v>24443136</v>
      </c>
      <c r="G4946" s="7"/>
    </row>
    <row r="4947" spans="1:7" x14ac:dyDescent="0.35">
      <c r="A4947" t="str">
        <f>"2025-01-13"</f>
        <v>2025-01-13</v>
      </c>
      <c r="B4947" t="str">
        <f>"95.2487"</f>
        <v>95.2487</v>
      </c>
      <c r="C4947">
        <v>4945</v>
      </c>
      <c r="D4947" s="7">
        <v>95.248699999999999</v>
      </c>
      <c r="E4947" s="7">
        <f t="shared" si="154"/>
        <v>471004.82150000002</v>
      </c>
      <c r="F4947" s="7">
        <f t="shared" si="155"/>
        <v>24453025</v>
      </c>
      <c r="G4947" s="7"/>
    </row>
    <row r="4948" spans="1:7" x14ac:dyDescent="0.35">
      <c r="A4948" t="str">
        <f>"2025-01-14"</f>
        <v>2025-01-14</v>
      </c>
      <c r="B4948" t="str">
        <f>"96.0844"</f>
        <v>96.0844</v>
      </c>
      <c r="C4948">
        <v>4946</v>
      </c>
      <c r="D4948" s="7">
        <v>96.084400000000002</v>
      </c>
      <c r="E4948" s="7">
        <f t="shared" si="154"/>
        <v>475233.4424</v>
      </c>
      <c r="F4948" s="7">
        <f t="shared" si="155"/>
        <v>24462916</v>
      </c>
      <c r="G4948" s="7"/>
    </row>
    <row r="4949" spans="1:7" x14ac:dyDescent="0.35">
      <c r="A4949" t="str">
        <f>"2025-01-15"</f>
        <v>2025-01-15</v>
      </c>
      <c r="B4949" t="str">
        <f>"95.3691"</f>
        <v>95.3691</v>
      </c>
      <c r="C4949">
        <v>4947</v>
      </c>
      <c r="D4949" s="7">
        <v>95.369100000000003</v>
      </c>
      <c r="E4949" s="7">
        <f t="shared" si="154"/>
        <v>471790.93770000001</v>
      </c>
      <c r="F4949" s="7">
        <f t="shared" si="155"/>
        <v>24472809</v>
      </c>
      <c r="G4949" s="7"/>
    </row>
    <row r="4950" spans="1:7" x14ac:dyDescent="0.35">
      <c r="A4950" t="str">
        <f>"2025-01-16"</f>
        <v>2025-01-16</v>
      </c>
      <c r="B4950" t="str">
        <f>"95.0606"</f>
        <v>95.0606</v>
      </c>
      <c r="C4950">
        <v>4948</v>
      </c>
      <c r="D4950" s="7">
        <v>95.060599999999994</v>
      </c>
      <c r="E4950" s="7">
        <f t="shared" si="154"/>
        <v>470359.84879999998</v>
      </c>
      <c r="F4950" s="7">
        <f t="shared" si="155"/>
        <v>24482704</v>
      </c>
      <c r="G4950" s="7"/>
    </row>
    <row r="4951" spans="1:7" x14ac:dyDescent="0.35">
      <c r="A4951" t="str">
        <f>"2025-01-17"</f>
        <v>2025-01-17</v>
      </c>
      <c r="B4951" t="str">
        <f>"96.7708"</f>
        <v>96.7708</v>
      </c>
      <c r="C4951">
        <v>4949</v>
      </c>
      <c r="D4951" s="7">
        <v>96.770799999999994</v>
      </c>
      <c r="E4951" s="7">
        <f t="shared" si="154"/>
        <v>478918.68919999996</v>
      </c>
      <c r="F4951" s="7">
        <f t="shared" si="155"/>
        <v>24492601</v>
      </c>
      <c r="G4951" s="7"/>
    </row>
    <row r="4952" spans="1:7" x14ac:dyDescent="0.35">
      <c r="A4952" t="str">
        <f>"2025-01-21"</f>
        <v>2025-01-21</v>
      </c>
      <c r="B4952" t="str">
        <f>"95.5889"</f>
        <v>95.5889</v>
      </c>
      <c r="C4952">
        <v>4950</v>
      </c>
      <c r="D4952" s="7">
        <v>95.588899999999995</v>
      </c>
      <c r="E4952" s="7">
        <f t="shared" si="154"/>
        <v>473165.05499999999</v>
      </c>
      <c r="F4952" s="7">
        <f t="shared" si="155"/>
        <v>24502500</v>
      </c>
      <c r="G4952" s="7"/>
    </row>
    <row r="4953" spans="1:7" x14ac:dyDescent="0.35">
      <c r="A4953" t="str">
        <f>"2025-01-22"</f>
        <v>2025-01-22</v>
      </c>
      <c r="B4953" t="str">
        <f>"96.2689"</f>
        <v>96.2689</v>
      </c>
      <c r="C4953">
        <v>4951</v>
      </c>
      <c r="D4953" s="7">
        <v>96.268900000000002</v>
      </c>
      <c r="E4953" s="7">
        <f t="shared" si="154"/>
        <v>476627.32390000002</v>
      </c>
      <c r="F4953" s="7">
        <f t="shared" si="155"/>
        <v>24512401</v>
      </c>
      <c r="G4953" s="7"/>
    </row>
    <row r="4954" spans="1:7" x14ac:dyDescent="0.35">
      <c r="A4954" t="str">
        <f>"2025-01-23"</f>
        <v>2025-01-23</v>
      </c>
      <c r="B4954" t="str">
        <f>"97.8203"</f>
        <v>97.8203</v>
      </c>
      <c r="C4954">
        <v>4952</v>
      </c>
      <c r="D4954" s="7">
        <v>97.820300000000003</v>
      </c>
      <c r="E4954" s="7">
        <f t="shared" si="154"/>
        <v>484406.12560000003</v>
      </c>
      <c r="F4954" s="7">
        <f t="shared" si="155"/>
        <v>24522304</v>
      </c>
      <c r="G4954" s="7"/>
    </row>
    <row r="4955" spans="1:7" x14ac:dyDescent="0.35">
      <c r="A4955" t="str">
        <f>"2025-01-24"</f>
        <v>2025-01-24</v>
      </c>
      <c r="B4955" t="str">
        <f>"97.004"</f>
        <v>97.004</v>
      </c>
      <c r="C4955">
        <v>4953</v>
      </c>
      <c r="D4955" s="7">
        <v>97.004000000000005</v>
      </c>
      <c r="E4955" s="7">
        <f t="shared" si="154"/>
        <v>480460.81200000003</v>
      </c>
      <c r="F4955" s="7">
        <f t="shared" si="155"/>
        <v>24532209</v>
      </c>
      <c r="G4955" s="7"/>
    </row>
    <row r="4956" spans="1:7" x14ac:dyDescent="0.35">
      <c r="A4956" t="str">
        <f>"2025-01-27"</f>
        <v>2025-01-27</v>
      </c>
      <c r="B4956" t="str">
        <f>"97.8394"</f>
        <v>97.8394</v>
      </c>
      <c r="C4956">
        <v>4954</v>
      </c>
      <c r="D4956" s="7">
        <v>97.839399999999998</v>
      </c>
      <c r="E4956" s="7">
        <f t="shared" si="154"/>
        <v>484696.38760000002</v>
      </c>
      <c r="F4956" s="7">
        <f t="shared" si="155"/>
        <v>24542116</v>
      </c>
      <c r="G4956" s="7"/>
    </row>
    <row r="4957" spans="1:7" x14ac:dyDescent="0.35">
      <c r="A4957" t="str">
        <f>"2025-01-28"</f>
        <v>2025-01-28</v>
      </c>
      <c r="B4957" t="str">
        <f>"98.0244"</f>
        <v>98.0244</v>
      </c>
      <c r="C4957">
        <v>4955</v>
      </c>
      <c r="D4957" s="7">
        <v>98.0244</v>
      </c>
      <c r="E4957" s="7">
        <f t="shared" si="154"/>
        <v>485710.902</v>
      </c>
      <c r="F4957" s="7">
        <f t="shared" si="155"/>
        <v>24552025</v>
      </c>
      <c r="G4957" s="7"/>
    </row>
    <row r="4958" spans="1:7" x14ac:dyDescent="0.35">
      <c r="A4958" t="str">
        <f>"2025-01-29"</f>
        <v>2025-01-29</v>
      </c>
      <c r="B4958" t="str">
        <f>"98.4715"</f>
        <v>98.4715</v>
      </c>
      <c r="C4958">
        <v>4956</v>
      </c>
      <c r="D4958" s="7">
        <v>98.471500000000006</v>
      </c>
      <c r="E4958" s="7">
        <f t="shared" si="154"/>
        <v>488024.75400000002</v>
      </c>
      <c r="F4958" s="7">
        <f t="shared" si="155"/>
        <v>24561936</v>
      </c>
      <c r="G4958" s="7"/>
    </row>
    <row r="4959" spans="1:7" x14ac:dyDescent="0.35">
      <c r="A4959" t="str">
        <f>"2025-01-30"</f>
        <v>2025-01-30</v>
      </c>
      <c r="B4959" t="str">
        <f>"96.3493"</f>
        <v>96.3493</v>
      </c>
      <c r="C4959">
        <v>4957</v>
      </c>
      <c r="D4959" s="7">
        <v>96.349299999999999</v>
      </c>
      <c r="E4959" s="7">
        <f t="shared" si="154"/>
        <v>477603.48009999999</v>
      </c>
      <c r="F4959" s="7">
        <f t="shared" si="155"/>
        <v>24571849</v>
      </c>
      <c r="G4959" s="7"/>
    </row>
    <row r="4960" spans="1:7" x14ac:dyDescent="0.35">
      <c r="A4960" t="str">
        <f>"2025-01-31"</f>
        <v>2025-01-31</v>
      </c>
      <c r="B4960" t="str">
        <f>"97.78"</f>
        <v>97.78</v>
      </c>
      <c r="C4960">
        <v>4958</v>
      </c>
      <c r="D4960" s="7">
        <v>97.78</v>
      </c>
      <c r="E4960" s="7">
        <f t="shared" si="154"/>
        <v>484793.24</v>
      </c>
      <c r="F4960" s="7">
        <f t="shared" si="155"/>
        <v>24581764</v>
      </c>
      <c r="G4960" s="7"/>
    </row>
    <row r="4961" spans="1:7" x14ac:dyDescent="0.35">
      <c r="A4961" t="str">
        <f>"2025-02-03"</f>
        <v>2025-02-03</v>
      </c>
      <c r="B4961" t="str">
        <f>"95.9964"</f>
        <v>95.9964</v>
      </c>
      <c r="C4961">
        <v>4959</v>
      </c>
      <c r="D4961" s="7">
        <v>95.996399999999994</v>
      </c>
      <c r="E4961" s="7">
        <f t="shared" si="154"/>
        <v>476046.14759999997</v>
      </c>
      <c r="F4961" s="7">
        <f t="shared" si="155"/>
        <v>24591681</v>
      </c>
      <c r="G4961" s="7"/>
    </row>
    <row r="4962" spans="1:7" x14ac:dyDescent="0.35">
      <c r="A4962" t="str">
        <f>"2025-02-04"</f>
        <v>2025-02-04</v>
      </c>
      <c r="B4962" t="str">
        <f>"91.9685"</f>
        <v>91.9685</v>
      </c>
      <c r="C4962">
        <v>4960</v>
      </c>
      <c r="D4962" s="7">
        <v>91.968500000000006</v>
      </c>
      <c r="E4962" s="7">
        <f t="shared" si="154"/>
        <v>456163.76</v>
      </c>
      <c r="F4962" s="7">
        <f t="shared" si="155"/>
        <v>24601600</v>
      </c>
      <c r="G4962" s="7"/>
    </row>
    <row r="4963" spans="1:7" x14ac:dyDescent="0.35">
      <c r="A4963" t="str">
        <f>"2025-02-05"</f>
        <v>2025-02-05</v>
      </c>
      <c r="B4963" t="str">
        <f>"91.4676"</f>
        <v>91.4676</v>
      </c>
      <c r="C4963">
        <v>4961</v>
      </c>
      <c r="D4963" s="7">
        <v>91.467600000000004</v>
      </c>
      <c r="E4963" s="7">
        <f t="shared" si="154"/>
        <v>453770.76360000001</v>
      </c>
      <c r="F4963" s="7">
        <f t="shared" si="155"/>
        <v>24611521</v>
      </c>
      <c r="G4963" s="7"/>
    </row>
    <row r="4964" spans="1:7" x14ac:dyDescent="0.35">
      <c r="A4964" t="str">
        <f>"2025-02-06"</f>
        <v>2025-02-06</v>
      </c>
      <c r="B4964" t="str">
        <f>"95.0757"</f>
        <v>95.0757</v>
      </c>
      <c r="C4964">
        <v>4962</v>
      </c>
      <c r="D4964" s="7">
        <v>95.075699999999998</v>
      </c>
      <c r="E4964" s="7">
        <f t="shared" si="154"/>
        <v>471765.62339999998</v>
      </c>
      <c r="F4964" s="7">
        <f t="shared" si="155"/>
        <v>24621444</v>
      </c>
      <c r="G4964" s="7"/>
    </row>
    <row r="4965" spans="1:7" x14ac:dyDescent="0.35">
      <c r="A4965" t="str">
        <f>"2025-02-07"</f>
        <v>2025-02-07</v>
      </c>
      <c r="B4965" t="str">
        <f>"97.2216"</f>
        <v>97.2216</v>
      </c>
      <c r="C4965">
        <v>4963</v>
      </c>
      <c r="D4965" s="7">
        <v>97.221599999999995</v>
      </c>
      <c r="E4965" s="7">
        <f t="shared" si="154"/>
        <v>482510.80079999997</v>
      </c>
      <c r="F4965" s="7">
        <f t="shared" si="155"/>
        <v>24631369</v>
      </c>
      <c r="G4965" s="7"/>
    </row>
    <row r="4966" spans="1:7" x14ac:dyDescent="0.35">
      <c r="A4966" t="str">
        <f>"2025-02-10"</f>
        <v>2025-02-10</v>
      </c>
      <c r="B4966" t="str">
        <f>"95.208"</f>
        <v>95.208</v>
      </c>
      <c r="C4966">
        <v>4964</v>
      </c>
      <c r="D4966" s="7">
        <v>95.207999999999998</v>
      </c>
      <c r="E4966" s="7">
        <f t="shared" si="154"/>
        <v>472612.51199999999</v>
      </c>
      <c r="F4966" s="7">
        <f t="shared" si="155"/>
        <v>24641296</v>
      </c>
      <c r="G4966" s="7"/>
    </row>
    <row r="4967" spans="1:7" x14ac:dyDescent="0.35">
      <c r="A4967" t="str">
        <f>"2025-02-11"</f>
        <v>2025-02-11</v>
      </c>
      <c r="B4967" t="str">
        <f>"94.7983"</f>
        <v>94.7983</v>
      </c>
      <c r="C4967">
        <v>4965</v>
      </c>
      <c r="D4967" s="7">
        <v>94.798299999999998</v>
      </c>
      <c r="E4967" s="7">
        <f t="shared" si="154"/>
        <v>470673.55949999997</v>
      </c>
      <c r="F4967" s="7">
        <f t="shared" si="155"/>
        <v>24651225</v>
      </c>
      <c r="G4967" s="7"/>
    </row>
    <row r="4968" spans="1:7" x14ac:dyDescent="0.35">
      <c r="A4968" t="str">
        <f>"2025-02-12"</f>
        <v>2025-02-12</v>
      </c>
      <c r="B4968" t="str">
        <f>"94.1643"</f>
        <v>94.1643</v>
      </c>
      <c r="C4968">
        <v>4966</v>
      </c>
      <c r="D4968" s="7">
        <v>94.164299999999997</v>
      </c>
      <c r="E4968" s="7">
        <f t="shared" si="154"/>
        <v>467619.91379999998</v>
      </c>
      <c r="F4968" s="7">
        <f t="shared" si="155"/>
        <v>24661156</v>
      </c>
      <c r="G4968" s="7"/>
    </row>
    <row r="4969" spans="1:7" x14ac:dyDescent="0.35">
      <c r="A4969" t="str">
        <f>"2025-02-13"</f>
        <v>2025-02-13</v>
      </c>
      <c r="B4969" t="str">
        <f>"93.9682"</f>
        <v>93.9682</v>
      </c>
      <c r="C4969">
        <v>4967</v>
      </c>
      <c r="D4969" s="7">
        <v>93.968199999999996</v>
      </c>
      <c r="E4969" s="7">
        <f t="shared" si="154"/>
        <v>466740.04939999996</v>
      </c>
      <c r="F4969" s="7">
        <f t="shared" si="155"/>
        <v>24671089</v>
      </c>
      <c r="G4969" s="7"/>
    </row>
    <row r="4970" spans="1:7" x14ac:dyDescent="0.35">
      <c r="A4970" t="str">
        <f>"2025-02-14"</f>
        <v>2025-02-14</v>
      </c>
      <c r="B4970" t="str">
        <f>"94.3901"</f>
        <v>94.3901</v>
      </c>
      <c r="C4970">
        <v>4968</v>
      </c>
      <c r="D4970" s="7">
        <v>94.390100000000004</v>
      </c>
      <c r="E4970" s="7">
        <f t="shared" si="154"/>
        <v>468930.01680000004</v>
      </c>
      <c r="F4970" s="7">
        <f t="shared" si="155"/>
        <v>24681024</v>
      </c>
      <c r="G4970" s="7"/>
    </row>
    <row r="4971" spans="1:7" x14ac:dyDescent="0.35">
      <c r="A4971" t="str">
        <f>"2025-02-18"</f>
        <v>2025-02-18</v>
      </c>
      <c r="B4971" t="str">
        <f>"95.1657"</f>
        <v>95.1657</v>
      </c>
      <c r="C4971">
        <v>4969</v>
      </c>
      <c r="D4971" s="7">
        <v>95.165700000000001</v>
      </c>
      <c r="E4971" s="7">
        <f t="shared" si="154"/>
        <v>472878.36330000003</v>
      </c>
      <c r="F4971" s="7">
        <f t="shared" si="155"/>
        <v>24690961</v>
      </c>
      <c r="G4971" s="7"/>
    </row>
    <row r="4972" spans="1:7" x14ac:dyDescent="0.35">
      <c r="A4972" t="str">
        <f>"2025-02-19"</f>
        <v>2025-02-19</v>
      </c>
      <c r="B4972" t="str">
        <f>"93.4251"</f>
        <v>93.4251</v>
      </c>
      <c r="C4972">
        <v>4970</v>
      </c>
      <c r="D4972" s="7">
        <v>93.4251</v>
      </c>
      <c r="E4972" s="7">
        <f t="shared" si="154"/>
        <v>464322.74699999997</v>
      </c>
      <c r="F4972" s="7">
        <f t="shared" si="155"/>
        <v>24700900</v>
      </c>
      <c r="G4972" s="7"/>
    </row>
    <row r="4973" spans="1:7" x14ac:dyDescent="0.35">
      <c r="A4973" t="str">
        <f>"2025-02-20"</f>
        <v>2025-02-20</v>
      </c>
      <c r="B4973" t="str">
        <f>"92.0052"</f>
        <v>92.0052</v>
      </c>
      <c r="C4973">
        <v>4971</v>
      </c>
      <c r="D4973" s="7">
        <v>92.005200000000002</v>
      </c>
      <c r="E4973" s="7">
        <f t="shared" si="154"/>
        <v>457357.8492</v>
      </c>
      <c r="F4973" s="7">
        <f t="shared" si="155"/>
        <v>24710841</v>
      </c>
      <c r="G4973" s="7"/>
    </row>
    <row r="4974" spans="1:7" x14ac:dyDescent="0.35">
      <c r="A4974" t="str">
        <f>"2025-02-21"</f>
        <v>2025-02-21</v>
      </c>
      <c r="B4974" t="str">
        <f>"89.9904"</f>
        <v>89.9904</v>
      </c>
      <c r="C4974">
        <v>4972</v>
      </c>
      <c r="D4974" s="7">
        <v>89.990399999999994</v>
      </c>
      <c r="E4974" s="7">
        <f t="shared" si="154"/>
        <v>447432.26879999996</v>
      </c>
      <c r="F4974" s="7">
        <f t="shared" si="155"/>
        <v>24720784</v>
      </c>
      <c r="G4974" s="7"/>
    </row>
    <row r="4975" spans="1:7" x14ac:dyDescent="0.35">
      <c r="A4975" t="str">
        <f>"2025-02-24"</f>
        <v>2025-02-24</v>
      </c>
      <c r="B4975" t="str">
        <f>"89.5974"</f>
        <v>89.5974</v>
      </c>
      <c r="C4975">
        <v>4973</v>
      </c>
      <c r="D4975" s="7">
        <v>89.597399999999993</v>
      </c>
      <c r="E4975" s="7">
        <f t="shared" si="154"/>
        <v>445567.87019999995</v>
      </c>
      <c r="F4975" s="7">
        <f t="shared" si="155"/>
        <v>24730729</v>
      </c>
      <c r="G4975" s="7"/>
    </row>
    <row r="4976" spans="1:7" x14ac:dyDescent="0.35">
      <c r="A4976" t="str">
        <f>"2025-02-25"</f>
        <v>2025-02-25</v>
      </c>
      <c r="B4976" t="str">
        <f>"89.5225"</f>
        <v>89.5225</v>
      </c>
      <c r="C4976">
        <v>4974</v>
      </c>
      <c r="D4976" s="7">
        <v>89.522499999999994</v>
      </c>
      <c r="E4976" s="7">
        <f t="shared" si="154"/>
        <v>445284.91499999998</v>
      </c>
      <c r="F4976" s="7">
        <f t="shared" si="155"/>
        <v>24740676</v>
      </c>
      <c r="G4976" s="7"/>
    </row>
    <row r="4977" spans="1:7" x14ac:dyDescent="0.35">
      <c r="A4977" t="str">
        <f>"2025-02-26"</f>
        <v>2025-02-26</v>
      </c>
      <c r="B4977" t="str">
        <f>"90.1516"</f>
        <v>90.1516</v>
      </c>
      <c r="C4977">
        <v>4975</v>
      </c>
      <c r="D4977" s="7">
        <v>90.151600000000002</v>
      </c>
      <c r="E4977" s="7">
        <f t="shared" si="154"/>
        <v>448504.21</v>
      </c>
      <c r="F4977" s="7">
        <f t="shared" si="155"/>
        <v>24750625</v>
      </c>
      <c r="G4977" s="7"/>
    </row>
    <row r="4978" spans="1:7" x14ac:dyDescent="0.35">
      <c r="A4978" t="str">
        <f>"2025-02-27"</f>
        <v>2025-02-27</v>
      </c>
      <c r="B4978" t="str">
        <f>"93.4261"</f>
        <v>93.4261</v>
      </c>
      <c r="C4978">
        <v>4976</v>
      </c>
      <c r="D4978" s="7">
        <v>93.426100000000005</v>
      </c>
      <c r="E4978" s="7">
        <f t="shared" si="154"/>
        <v>464888.27360000001</v>
      </c>
      <c r="F4978" s="7">
        <f t="shared" si="155"/>
        <v>24760576</v>
      </c>
      <c r="G4978" s="7"/>
    </row>
    <row r="4979" spans="1:7" x14ac:dyDescent="0.35">
      <c r="A4979" t="str">
        <f>"2025-02-28"</f>
        <v>2025-02-28</v>
      </c>
      <c r="B4979" t="str">
        <f>"92.5506"</f>
        <v>92.5506</v>
      </c>
      <c r="C4979">
        <v>4977</v>
      </c>
      <c r="D4979" s="7">
        <v>92.550600000000003</v>
      </c>
      <c r="E4979" s="7">
        <f t="shared" si="154"/>
        <v>460624.33620000002</v>
      </c>
      <c r="F4979" s="7">
        <f t="shared" si="155"/>
        <v>24770529</v>
      </c>
      <c r="G4979" s="7"/>
    </row>
    <row r="4980" spans="1:7" x14ac:dyDescent="0.35">
      <c r="A4980" t="str">
        <f>"2025-03-03"</f>
        <v>2025-03-03</v>
      </c>
      <c r="B4980" t="str">
        <f>"92.71"</f>
        <v>92.71</v>
      </c>
      <c r="C4980">
        <v>4978</v>
      </c>
      <c r="D4980" s="7">
        <v>92.71</v>
      </c>
      <c r="E4980" s="7">
        <f t="shared" si="154"/>
        <v>461510.37999999995</v>
      </c>
      <c r="F4980" s="7">
        <f t="shared" si="155"/>
        <v>24780484</v>
      </c>
      <c r="G4980" s="7"/>
    </row>
    <row r="4981" spans="1:7" x14ac:dyDescent="0.35">
      <c r="A4981" t="str">
        <f>"2025-03-04"</f>
        <v>2025-03-04</v>
      </c>
      <c r="B4981" t="str">
        <f>"93.0752"</f>
        <v>93.0752</v>
      </c>
      <c r="C4981">
        <v>4979</v>
      </c>
      <c r="D4981" s="7">
        <v>93.075199999999995</v>
      </c>
      <c r="E4981" s="7">
        <f t="shared" si="154"/>
        <v>463421.42079999996</v>
      </c>
      <c r="F4981" s="7">
        <f t="shared" si="155"/>
        <v>24790441</v>
      </c>
      <c r="G4981" s="7"/>
    </row>
    <row r="4982" spans="1:7" x14ac:dyDescent="0.35">
      <c r="A4982" t="str">
        <f>"2025-03-05"</f>
        <v>2025-03-05</v>
      </c>
      <c r="B4982" t="str">
        <f>"95.5405"</f>
        <v>95.5405</v>
      </c>
      <c r="C4982">
        <v>4980</v>
      </c>
      <c r="D4982" s="7">
        <v>95.540499999999994</v>
      </c>
      <c r="E4982" s="7">
        <f t="shared" si="154"/>
        <v>475791.68999999994</v>
      </c>
      <c r="F4982" s="7">
        <f t="shared" si="155"/>
        <v>24800400</v>
      </c>
      <c r="G4982" s="7"/>
    </row>
    <row r="4983" spans="1:7" x14ac:dyDescent="0.35">
      <c r="A4983" t="str">
        <f>"2025-03-06"</f>
        <v>2025-03-06</v>
      </c>
      <c r="B4983" t="str">
        <f>"98.4086"</f>
        <v>98.4086</v>
      </c>
      <c r="C4983">
        <v>4981</v>
      </c>
      <c r="D4983" s="7">
        <v>98.408600000000007</v>
      </c>
      <c r="E4983" s="7">
        <f t="shared" si="154"/>
        <v>490173.23660000006</v>
      </c>
      <c r="F4983" s="7">
        <f t="shared" si="155"/>
        <v>24810361</v>
      </c>
      <c r="G4983" s="7"/>
    </row>
    <row r="4984" spans="1:7" x14ac:dyDescent="0.35">
      <c r="A4984" t="str">
        <f>"2025-03-07"</f>
        <v>2025-03-07</v>
      </c>
      <c r="B4984" t="str">
        <f>"98.532"</f>
        <v>98.532</v>
      </c>
      <c r="C4984">
        <v>4982</v>
      </c>
      <c r="D4984" s="7">
        <v>98.531999999999996</v>
      </c>
      <c r="E4984" s="7">
        <f t="shared" si="154"/>
        <v>490886.424</v>
      </c>
      <c r="F4984" s="7">
        <f t="shared" si="155"/>
        <v>24820324</v>
      </c>
      <c r="G4984" s="7"/>
    </row>
    <row r="4985" spans="1:7" x14ac:dyDescent="0.35">
      <c r="A4985" t="str">
        <f>"2025-03-10"</f>
        <v>2025-03-10</v>
      </c>
      <c r="B4985" t="str">
        <f>"98.1931"</f>
        <v>98.1931</v>
      </c>
      <c r="C4985">
        <v>4983</v>
      </c>
      <c r="D4985" s="7">
        <v>98.193100000000001</v>
      </c>
      <c r="E4985" s="7">
        <f t="shared" si="154"/>
        <v>489296.21730000002</v>
      </c>
      <c r="F4985" s="7">
        <f t="shared" si="155"/>
        <v>24830289</v>
      </c>
      <c r="G4985" s="7"/>
    </row>
    <row r="4986" spans="1:7" x14ac:dyDescent="0.35">
      <c r="A4986" t="str">
        <f>"2025-03-11"</f>
        <v>2025-03-11</v>
      </c>
      <c r="B4986" t="str">
        <f>"96.497"</f>
        <v>96.497</v>
      </c>
      <c r="C4986">
        <v>4984</v>
      </c>
      <c r="D4986" s="7">
        <v>96.497</v>
      </c>
      <c r="E4986" s="7">
        <f t="shared" si="154"/>
        <v>480941.04800000001</v>
      </c>
      <c r="F4986" s="7">
        <f t="shared" si="155"/>
        <v>24840256</v>
      </c>
      <c r="G4986" s="7"/>
    </row>
    <row r="4987" spans="1:7" x14ac:dyDescent="0.35">
      <c r="A4987" t="str">
        <f>"2025-03-12"</f>
        <v>2025-03-12</v>
      </c>
      <c r="B4987" t="str">
        <f>"96.4395"</f>
        <v>96.4395</v>
      </c>
      <c r="C4987">
        <v>4985</v>
      </c>
      <c r="D4987" s="7">
        <v>96.439499999999995</v>
      </c>
      <c r="E4987" s="7">
        <f t="shared" si="154"/>
        <v>480750.90749999997</v>
      </c>
      <c r="F4987" s="7">
        <f t="shared" si="155"/>
        <v>24850225</v>
      </c>
      <c r="G4987" s="7"/>
    </row>
    <row r="4988" spans="1:7" x14ac:dyDescent="0.35">
      <c r="A4988" t="str">
        <f>"2025-03-13"</f>
        <v>2025-03-13</v>
      </c>
      <c r="B4988" t="str">
        <f>"96.1994"</f>
        <v>96.1994</v>
      </c>
      <c r="C4988">
        <v>4986</v>
      </c>
      <c r="D4988" s="7">
        <v>96.199399999999997</v>
      </c>
      <c r="E4988" s="7">
        <f t="shared" si="154"/>
        <v>479650.2084</v>
      </c>
      <c r="F4988" s="7">
        <f t="shared" si="155"/>
        <v>24860196</v>
      </c>
      <c r="G4988" s="7"/>
    </row>
    <row r="4989" spans="1:7" x14ac:dyDescent="0.35">
      <c r="A4989" t="str">
        <f>"2025-03-14"</f>
        <v>2025-03-14</v>
      </c>
      <c r="B4989" t="str">
        <f>"95.4312"</f>
        <v>95.4312</v>
      </c>
      <c r="C4989">
        <v>4987</v>
      </c>
      <c r="D4989" s="7">
        <v>95.431200000000004</v>
      </c>
      <c r="E4989" s="7">
        <f t="shared" si="154"/>
        <v>475915.39440000005</v>
      </c>
      <c r="F4989" s="7">
        <f t="shared" si="155"/>
        <v>24870169</v>
      </c>
      <c r="G4989" s="7"/>
    </row>
    <row r="4990" spans="1:7" x14ac:dyDescent="0.35">
      <c r="A4990" t="str">
        <f>"2025-03-17"</f>
        <v>2025-03-17</v>
      </c>
      <c r="B4990" t="str">
        <f>"94.5124"</f>
        <v>94.5124</v>
      </c>
      <c r="C4990">
        <v>4988</v>
      </c>
      <c r="D4990" s="7">
        <v>94.5124</v>
      </c>
      <c r="E4990" s="7">
        <f t="shared" si="154"/>
        <v>471427.85119999998</v>
      </c>
      <c r="F4990" s="7">
        <f t="shared" si="155"/>
        <v>24880144</v>
      </c>
      <c r="G4990" s="7"/>
    </row>
    <row r="4991" spans="1:7" x14ac:dyDescent="0.35">
      <c r="A4991" t="str">
        <f>"2025-03-18"</f>
        <v>2025-03-18</v>
      </c>
      <c r="B4991" t="str">
        <f>"91.4794"</f>
        <v>91.4794</v>
      </c>
      <c r="C4991">
        <v>4989</v>
      </c>
      <c r="D4991" s="7">
        <v>91.479399999999998</v>
      </c>
      <c r="E4991" s="7">
        <f t="shared" si="154"/>
        <v>456390.72659999999</v>
      </c>
      <c r="F4991" s="7">
        <f t="shared" si="155"/>
        <v>24890121</v>
      </c>
      <c r="G4991" s="7"/>
    </row>
    <row r="4992" spans="1:7" x14ac:dyDescent="0.35">
      <c r="A4992" t="str">
        <f>"2025-03-19"</f>
        <v>2025-03-19</v>
      </c>
      <c r="B4992" t="str">
        <f>"84.1075"</f>
        <v>84.1075</v>
      </c>
      <c r="C4992">
        <v>4990</v>
      </c>
      <c r="D4992" s="7">
        <v>84.107500000000002</v>
      </c>
      <c r="E4992" s="7">
        <f t="shared" si="154"/>
        <v>419696.42499999999</v>
      </c>
      <c r="F4992" s="7">
        <f t="shared" si="155"/>
        <v>24900100</v>
      </c>
      <c r="G4992" s="7"/>
    </row>
    <row r="4993" spans="1:7" x14ac:dyDescent="0.35">
      <c r="A4993" t="str">
        <f>"2025-03-20"</f>
        <v>2025-03-20</v>
      </c>
      <c r="B4993" t="str">
        <f>"82.9432"</f>
        <v>82.9432</v>
      </c>
      <c r="C4993">
        <v>4991</v>
      </c>
      <c r="D4993" s="7">
        <v>82.943200000000004</v>
      </c>
      <c r="E4993" s="7">
        <f t="shared" si="154"/>
        <v>413969.51120000001</v>
      </c>
      <c r="F4993" s="7">
        <f t="shared" si="155"/>
        <v>24910081</v>
      </c>
      <c r="G4993" s="7"/>
    </row>
    <row r="4994" spans="1:7" x14ac:dyDescent="0.35">
      <c r="A4994" t="str">
        <f>"2025-03-21"</f>
        <v>2025-03-21</v>
      </c>
      <c r="B4994" t="str">
        <f>"77.6037"</f>
        <v>77.6037</v>
      </c>
      <c r="C4994">
        <v>4992</v>
      </c>
      <c r="D4994" s="7">
        <v>77.603700000000003</v>
      </c>
      <c r="E4994" s="7">
        <f t="shared" si="154"/>
        <v>387397.6704</v>
      </c>
      <c r="F4994" s="7">
        <f t="shared" si="155"/>
        <v>24920064</v>
      </c>
      <c r="G4994" s="7"/>
    </row>
    <row r="4995" spans="1:7" x14ac:dyDescent="0.35">
      <c r="A4995" t="str">
        <f>"2025-03-24"</f>
        <v>2025-03-24</v>
      </c>
      <c r="B4995" t="str">
        <f>"82.3609"</f>
        <v>82.3609</v>
      </c>
      <c r="C4995">
        <v>4993</v>
      </c>
      <c r="D4995" s="7">
        <v>82.360900000000001</v>
      </c>
      <c r="E4995" s="7">
        <f t="shared" si="154"/>
        <v>411227.97370000003</v>
      </c>
      <c r="F4995" s="7">
        <f t="shared" si="155"/>
        <v>24930049</v>
      </c>
      <c r="G4995" s="7"/>
    </row>
    <row r="4996" spans="1:7" x14ac:dyDescent="0.35">
      <c r="A4996" t="str">
        <f>"2025-03-25"</f>
        <v>2025-03-25</v>
      </c>
      <c r="B4996" t="str">
        <f>"84.7961"</f>
        <v>84.7961</v>
      </c>
      <c r="C4996">
        <v>4994</v>
      </c>
      <c r="D4996" s="7">
        <v>84.796099999999996</v>
      </c>
      <c r="E4996" s="7">
        <f t="shared" ref="E4996:E5059" si="156">C4996*D4996</f>
        <v>423471.72339999996</v>
      </c>
      <c r="F4996" s="7">
        <f t="shared" ref="F4996:F5059" si="157">C4996*C4996</f>
        <v>24940036</v>
      </c>
      <c r="G4996" s="7"/>
    </row>
    <row r="4997" spans="1:7" x14ac:dyDescent="0.35">
      <c r="A4997" t="str">
        <f>"2025-03-26"</f>
        <v>2025-03-26</v>
      </c>
      <c r="B4997" t="str">
        <f>"83.9551"</f>
        <v>83.9551</v>
      </c>
      <c r="C4997">
        <v>4995</v>
      </c>
      <c r="D4997" s="7">
        <v>83.955100000000002</v>
      </c>
      <c r="E4997" s="7">
        <f t="shared" si="156"/>
        <v>419355.72450000001</v>
      </c>
      <c r="F4997" s="7">
        <f t="shared" si="157"/>
        <v>24950025</v>
      </c>
      <c r="G4997" s="7"/>
    </row>
    <row r="4998" spans="1:7" x14ac:dyDescent="0.35">
      <c r="A4998" t="str">
        <f>"2025-03-27"</f>
        <v>2025-03-27</v>
      </c>
      <c r="B4998" t="str">
        <f>"82.4667"</f>
        <v>82.4667</v>
      </c>
      <c r="C4998">
        <v>4996</v>
      </c>
      <c r="D4998" s="7">
        <v>82.466700000000003</v>
      </c>
      <c r="E4998" s="7">
        <f t="shared" si="156"/>
        <v>412003.63320000004</v>
      </c>
      <c r="F4998" s="7">
        <f t="shared" si="157"/>
        <v>24960016</v>
      </c>
      <c r="G4998" s="7"/>
    </row>
    <row r="4999" spans="1:7" x14ac:dyDescent="0.35">
      <c r="A4999" t="str">
        <f>"2025-03-28"</f>
        <v>2025-03-28</v>
      </c>
      <c r="B4999" t="str">
        <f>"82.4674"</f>
        <v>82.4674</v>
      </c>
      <c r="C4999">
        <v>4997</v>
      </c>
      <c r="D4999" s="7">
        <v>82.467399999999998</v>
      </c>
      <c r="E4999" s="7">
        <f t="shared" si="156"/>
        <v>412089.59779999999</v>
      </c>
      <c r="F4999" s="7">
        <f t="shared" si="157"/>
        <v>24970009</v>
      </c>
      <c r="G4999" s="7"/>
    </row>
    <row r="5000" spans="1:7" x14ac:dyDescent="0.35">
      <c r="A5000" t="str">
        <f>"2025-04-02"</f>
        <v>2025-04-02</v>
      </c>
      <c r="B5000" t="str">
        <f>"79.5905"</f>
        <v>79.5905</v>
      </c>
      <c r="C5000">
        <v>4998</v>
      </c>
      <c r="D5000" s="7">
        <v>79.590500000000006</v>
      </c>
      <c r="E5000" s="7">
        <f t="shared" si="156"/>
        <v>397793.31900000002</v>
      </c>
      <c r="F5000" s="7">
        <f t="shared" si="157"/>
        <v>24980004</v>
      </c>
      <c r="G5000" s="7"/>
    </row>
    <row r="5001" spans="1:7" x14ac:dyDescent="0.35">
      <c r="A5001" t="str">
        <f>"2025-04-03"</f>
        <v>2025-04-03</v>
      </c>
      <c r="B5001" t="str">
        <f>"80.4621"</f>
        <v>80.4621</v>
      </c>
      <c r="C5001">
        <v>4999</v>
      </c>
      <c r="D5001" s="7">
        <v>80.462100000000007</v>
      </c>
      <c r="E5001" s="7">
        <f t="shared" si="156"/>
        <v>402230.03790000005</v>
      </c>
      <c r="F5001" s="7">
        <f t="shared" si="157"/>
        <v>24990001</v>
      </c>
      <c r="G5001" s="7"/>
    </row>
    <row r="5002" spans="1:7" x14ac:dyDescent="0.35">
      <c r="A5002" t="str">
        <f>"2025-04-04"</f>
        <v>2025-04-04</v>
      </c>
      <c r="B5002" t="str">
        <f>"82.8036"</f>
        <v>82.8036</v>
      </c>
      <c r="C5002">
        <v>5000</v>
      </c>
      <c r="D5002" s="7">
        <v>82.803600000000003</v>
      </c>
      <c r="E5002" s="7">
        <f t="shared" si="156"/>
        <v>414018</v>
      </c>
      <c r="F5002" s="7">
        <f t="shared" si="157"/>
        <v>25000000</v>
      </c>
      <c r="G5002" s="7"/>
    </row>
    <row r="5003" spans="1:7" x14ac:dyDescent="0.35">
      <c r="A5003" t="str">
        <f>"2025-04-07"</f>
        <v>2025-04-07</v>
      </c>
      <c r="B5003" t="str">
        <f>"85.9733"</f>
        <v>85.9733</v>
      </c>
      <c r="C5003">
        <v>5001</v>
      </c>
      <c r="D5003" s="7">
        <v>85.973299999999995</v>
      </c>
      <c r="E5003" s="7">
        <f t="shared" si="156"/>
        <v>429952.47329999995</v>
      </c>
      <c r="F5003" s="7">
        <f t="shared" si="157"/>
        <v>25010001</v>
      </c>
      <c r="G5003" s="7"/>
    </row>
    <row r="5004" spans="1:7" x14ac:dyDescent="0.35">
      <c r="A5004" t="str">
        <f>"2025-04-08"</f>
        <v>2025-04-08</v>
      </c>
      <c r="B5004" t="str">
        <f>"84.9868"</f>
        <v>84.9868</v>
      </c>
      <c r="C5004">
        <v>5002</v>
      </c>
      <c r="D5004" s="7">
        <v>84.986800000000002</v>
      </c>
      <c r="E5004" s="7">
        <f t="shared" si="156"/>
        <v>425103.97360000003</v>
      </c>
      <c r="F5004" s="7">
        <f t="shared" si="157"/>
        <v>25020004</v>
      </c>
      <c r="G5004" s="7"/>
    </row>
    <row r="5005" spans="1:7" x14ac:dyDescent="0.35">
      <c r="A5005" t="str">
        <f>"2025-04-09"</f>
        <v>2025-04-09</v>
      </c>
      <c r="B5005" t="str">
        <f>"81.9278"</f>
        <v>81.9278</v>
      </c>
      <c r="C5005">
        <v>5003</v>
      </c>
      <c r="D5005" s="7">
        <v>81.927800000000005</v>
      </c>
      <c r="E5005" s="7">
        <f t="shared" si="156"/>
        <v>409884.78340000001</v>
      </c>
      <c r="F5005" s="7">
        <f t="shared" si="157"/>
        <v>25030009</v>
      </c>
      <c r="G5005" s="7"/>
    </row>
    <row r="5006" spans="1:7" x14ac:dyDescent="0.35">
      <c r="A5006" t="str">
        <f>"2025-04-10"</f>
        <v>2025-04-10</v>
      </c>
      <c r="B5006" t="str">
        <f>"79.4592"</f>
        <v>79.4592</v>
      </c>
      <c r="C5006">
        <v>5004</v>
      </c>
      <c r="D5006" s="7">
        <v>79.459199999999996</v>
      </c>
      <c r="E5006" s="7">
        <f t="shared" si="156"/>
        <v>397613.83679999999</v>
      </c>
      <c r="F5006" s="7">
        <f t="shared" si="157"/>
        <v>25040016</v>
      </c>
      <c r="G5006" s="7"/>
    </row>
    <row r="5007" spans="1:7" x14ac:dyDescent="0.35">
      <c r="A5007" t="str">
        <f>"2025-04-11"</f>
        <v>2025-04-11</v>
      </c>
      <c r="B5007" t="str">
        <f>"78.6735"</f>
        <v>78.6735</v>
      </c>
      <c r="C5007">
        <v>5005</v>
      </c>
      <c r="D5007" s="7">
        <v>78.673500000000004</v>
      </c>
      <c r="E5007" s="7">
        <f t="shared" si="156"/>
        <v>393760.86749999999</v>
      </c>
      <c r="F5007" s="7">
        <f t="shared" si="157"/>
        <v>25050025</v>
      </c>
      <c r="G5007" s="7"/>
    </row>
    <row r="5008" spans="1:7" x14ac:dyDescent="0.35">
      <c r="A5008" t="str">
        <f>"2025-04-14"</f>
        <v>2025-04-14</v>
      </c>
      <c r="B5008" t="str">
        <f>"80.0361"</f>
        <v>80.0361</v>
      </c>
      <c r="C5008">
        <v>5006</v>
      </c>
      <c r="D5008" s="7">
        <v>80.036100000000005</v>
      </c>
      <c r="E5008" s="7">
        <f t="shared" si="156"/>
        <v>400660.71660000004</v>
      </c>
      <c r="F5008" s="7">
        <f t="shared" si="157"/>
        <v>25060036</v>
      </c>
      <c r="G5008" s="7"/>
    </row>
    <row r="5009" spans="1:7" x14ac:dyDescent="0.35">
      <c r="A5009" t="str">
        <f>"2025-04-15"</f>
        <v>2025-04-15</v>
      </c>
      <c r="B5009" t="str">
        <f>"81.2936"</f>
        <v>81.2936</v>
      </c>
      <c r="C5009">
        <v>5007</v>
      </c>
      <c r="D5009" s="7">
        <v>81.293599999999998</v>
      </c>
      <c r="E5009" s="7">
        <f t="shared" si="156"/>
        <v>407037.0552</v>
      </c>
      <c r="F5009" s="7">
        <f t="shared" si="157"/>
        <v>25070049</v>
      </c>
      <c r="G5009" s="7"/>
    </row>
    <row r="5010" spans="1:7" x14ac:dyDescent="0.35">
      <c r="A5010" t="str">
        <f>"2025-04-16"</f>
        <v>2025-04-16</v>
      </c>
      <c r="B5010" t="str">
        <f>"78.3232"</f>
        <v>78.3232</v>
      </c>
      <c r="C5010">
        <v>5008</v>
      </c>
      <c r="D5010" s="7">
        <v>78.3232</v>
      </c>
      <c r="E5010" s="7">
        <f t="shared" si="156"/>
        <v>392242.58559999999</v>
      </c>
      <c r="F5010" s="7">
        <f t="shared" si="157"/>
        <v>25080064</v>
      </c>
      <c r="G5010" s="7"/>
    </row>
    <row r="5011" spans="1:7" x14ac:dyDescent="0.35">
      <c r="A5011" t="str">
        <f>"2025-04-17"</f>
        <v>2025-04-17</v>
      </c>
      <c r="B5011" t="str">
        <f>"79.7272"</f>
        <v>79.7272</v>
      </c>
      <c r="C5011">
        <v>5009</v>
      </c>
      <c r="D5011" s="7">
        <v>79.727199999999996</v>
      </c>
      <c r="E5011" s="7">
        <f t="shared" si="156"/>
        <v>399353.54479999997</v>
      </c>
      <c r="F5011" s="7">
        <f t="shared" si="157"/>
        <v>25090081</v>
      </c>
      <c r="G5011" s="7"/>
    </row>
    <row r="5012" spans="1:7" x14ac:dyDescent="0.35">
      <c r="A5012" t="str">
        <f>"2025-04-22"</f>
        <v>2025-04-22</v>
      </c>
      <c r="B5012" t="str">
        <f>"76.5434"</f>
        <v>76.5434</v>
      </c>
      <c r="C5012">
        <v>5010</v>
      </c>
      <c r="D5012" s="7">
        <v>76.543400000000005</v>
      </c>
      <c r="E5012" s="7">
        <f t="shared" si="156"/>
        <v>383482.43400000001</v>
      </c>
      <c r="F5012" s="7">
        <f t="shared" si="157"/>
        <v>25100100</v>
      </c>
      <c r="G5012" s="7"/>
    </row>
    <row r="5013" spans="1:7" x14ac:dyDescent="0.35">
      <c r="A5013" t="str">
        <f>"2025-04-24"</f>
        <v>2025-04-24</v>
      </c>
      <c r="B5013" t="str">
        <f>"78.388"</f>
        <v>78.388</v>
      </c>
      <c r="C5013">
        <v>5011</v>
      </c>
      <c r="D5013" s="7">
        <v>78.388000000000005</v>
      </c>
      <c r="E5013" s="7">
        <f t="shared" si="156"/>
        <v>392802.26800000004</v>
      </c>
      <c r="F5013" s="7">
        <f t="shared" si="157"/>
        <v>25110121</v>
      </c>
      <c r="G5013" s="7"/>
    </row>
    <row r="5014" spans="1:7" x14ac:dyDescent="0.35">
      <c r="A5014" t="str">
        <f>"2025-04-25"</f>
        <v>2025-04-25</v>
      </c>
      <c r="B5014" t="str">
        <f>"78.3795"</f>
        <v>78.3795</v>
      </c>
      <c r="C5014">
        <v>5012</v>
      </c>
      <c r="D5014" s="7">
        <v>78.379499999999993</v>
      </c>
      <c r="E5014" s="7">
        <f t="shared" si="156"/>
        <v>392838.05399999995</v>
      </c>
      <c r="F5014" s="7">
        <f t="shared" si="157"/>
        <v>25120144</v>
      </c>
      <c r="G5014" s="7"/>
    </row>
    <row r="5015" spans="1:7" x14ac:dyDescent="0.35">
      <c r="A5015" t="str">
        <f>"2025-04-28"</f>
        <v>2025-04-28</v>
      </c>
      <c r="B5015" t="str">
        <f>"75.9686"</f>
        <v>75.9686</v>
      </c>
      <c r="C5015">
        <v>5013</v>
      </c>
      <c r="D5015" s="7">
        <v>75.968599999999995</v>
      </c>
      <c r="E5015" s="7">
        <f t="shared" si="156"/>
        <v>380830.59179999999</v>
      </c>
      <c r="F5015" s="7">
        <f t="shared" si="157"/>
        <v>25130169</v>
      </c>
      <c r="G5015" s="7"/>
    </row>
    <row r="5016" spans="1:7" x14ac:dyDescent="0.35">
      <c r="A5016" t="str">
        <f>"2025-04-29"</f>
        <v>2025-04-29</v>
      </c>
      <c r="B5016" t="str">
        <f>"72.5903"</f>
        <v>72.5903</v>
      </c>
      <c r="C5016">
        <v>5014</v>
      </c>
      <c r="D5016" s="7">
        <v>72.590299999999999</v>
      </c>
      <c r="E5016" s="7">
        <f t="shared" si="156"/>
        <v>363967.76419999998</v>
      </c>
      <c r="F5016" s="7">
        <f t="shared" si="157"/>
        <v>25140196</v>
      </c>
      <c r="G5016" s="7"/>
    </row>
    <row r="5017" spans="1:7" x14ac:dyDescent="0.35">
      <c r="A5017" t="str">
        <f>"2025-04-30"</f>
        <v>2025-04-30</v>
      </c>
      <c r="B5017" t="str">
        <f>"69.4839"</f>
        <v>69.4839</v>
      </c>
      <c r="C5017">
        <v>5015</v>
      </c>
      <c r="D5017" s="7">
        <v>69.483900000000006</v>
      </c>
      <c r="E5017" s="7">
        <f t="shared" si="156"/>
        <v>348461.75850000005</v>
      </c>
      <c r="F5017" s="7">
        <f t="shared" si="157"/>
        <v>25150225</v>
      </c>
      <c r="G5017" s="7"/>
    </row>
    <row r="5018" spans="1:7" x14ac:dyDescent="0.35">
      <c r="A5018" t="str">
        <f>"2025-05-02"</f>
        <v>2025-05-02</v>
      </c>
      <c r="B5018" t="str">
        <f>"73.0683"</f>
        <v>73.0683</v>
      </c>
      <c r="C5018">
        <v>5016</v>
      </c>
      <c r="D5018" s="7">
        <v>73.068299999999994</v>
      </c>
      <c r="E5018" s="7">
        <f t="shared" si="156"/>
        <v>366510.59279999998</v>
      </c>
      <c r="F5018" s="7">
        <f t="shared" si="157"/>
        <v>25160256</v>
      </c>
      <c r="G5018" s="7"/>
    </row>
    <row r="5019" spans="1:7" x14ac:dyDescent="0.35">
      <c r="A5019" t="str">
        <f>"2025-05-05"</f>
        <v>2025-05-05</v>
      </c>
      <c r="B5019" t="str">
        <f>"71.596"</f>
        <v>71.596</v>
      </c>
      <c r="C5019">
        <v>5017</v>
      </c>
      <c r="D5019" s="7">
        <v>71.596000000000004</v>
      </c>
      <c r="E5019" s="7">
        <f t="shared" si="156"/>
        <v>359197.13200000004</v>
      </c>
      <c r="F5019" s="7">
        <f t="shared" si="157"/>
        <v>25170289</v>
      </c>
      <c r="G5019" s="7"/>
    </row>
    <row r="5020" spans="1:7" x14ac:dyDescent="0.35">
      <c r="A5020" t="str">
        <f>"2025-05-06"</f>
        <v>2025-05-06</v>
      </c>
      <c r="B5020" t="str">
        <f>"68.8941"</f>
        <v>68.8941</v>
      </c>
      <c r="C5020">
        <v>5018</v>
      </c>
      <c r="D5020" s="7">
        <v>68.894099999999995</v>
      </c>
      <c r="E5020" s="7">
        <f t="shared" si="156"/>
        <v>345710.59379999997</v>
      </c>
      <c r="F5020" s="7">
        <f t="shared" si="157"/>
        <v>25180324</v>
      </c>
      <c r="G5020" s="7"/>
    </row>
    <row r="5021" spans="1:7" x14ac:dyDescent="0.35">
      <c r="A5021" t="str">
        <f>"2025-05-07"</f>
        <v>2025-05-07</v>
      </c>
      <c r="B5021" t="str">
        <f>"66.3698"</f>
        <v>66.3698</v>
      </c>
      <c r="C5021">
        <v>5019</v>
      </c>
      <c r="D5021" s="7">
        <v>66.369799999999998</v>
      </c>
      <c r="E5021" s="7">
        <f t="shared" si="156"/>
        <v>333110.02619999996</v>
      </c>
      <c r="F5021" s="7">
        <f t="shared" si="157"/>
        <v>25190361</v>
      </c>
      <c r="G5021" s="7"/>
    </row>
    <row r="5022" spans="1:7" x14ac:dyDescent="0.35">
      <c r="A5022" t="str">
        <f>"2025-05-08"</f>
        <v>2025-05-08</v>
      </c>
      <c r="B5022" t="str">
        <f>"69.5832"</f>
        <v>69.5832</v>
      </c>
      <c r="C5022">
        <v>5020</v>
      </c>
      <c r="D5022" s="7">
        <v>69.583200000000005</v>
      </c>
      <c r="E5022" s="7">
        <f t="shared" si="156"/>
        <v>349307.66400000005</v>
      </c>
      <c r="F5022" s="7">
        <f t="shared" si="157"/>
        <v>25200400</v>
      </c>
      <c r="G5022" s="7"/>
    </row>
    <row r="5023" spans="1:7" x14ac:dyDescent="0.35">
      <c r="A5023" t="str">
        <f>"2025-05-09"</f>
        <v>2025-05-09</v>
      </c>
      <c r="B5023" t="str">
        <f>"70.7983"</f>
        <v>70.7983</v>
      </c>
      <c r="C5023">
        <v>5021</v>
      </c>
      <c r="D5023" s="7">
        <v>70.798299999999998</v>
      </c>
      <c r="E5023" s="7">
        <f t="shared" si="156"/>
        <v>355478.26429999998</v>
      </c>
      <c r="F5023" s="7">
        <f t="shared" si="157"/>
        <v>25210441</v>
      </c>
      <c r="G5023" s="7"/>
    </row>
    <row r="5024" spans="1:7" x14ac:dyDescent="0.35">
      <c r="A5024" t="str">
        <f>"2025-05-12"</f>
        <v>2025-05-12</v>
      </c>
      <c r="B5024" t="str">
        <f>"77.1707"</f>
        <v>77.1707</v>
      </c>
      <c r="C5024">
        <v>5022</v>
      </c>
      <c r="D5024" s="7">
        <v>77.170699999999997</v>
      </c>
      <c r="E5024" s="7">
        <f t="shared" si="156"/>
        <v>387551.25539999997</v>
      </c>
      <c r="F5024" s="7">
        <f t="shared" si="157"/>
        <v>25220484</v>
      </c>
      <c r="G5024" s="7"/>
    </row>
    <row r="5025" spans="1:7" x14ac:dyDescent="0.35">
      <c r="A5025" t="str">
        <f>"2025-05-13"</f>
        <v>2025-05-13</v>
      </c>
      <c r="B5025" t="str">
        <f>"75.3516"</f>
        <v>75.3516</v>
      </c>
      <c r="C5025">
        <v>5023</v>
      </c>
      <c r="D5025" s="7">
        <v>75.351600000000005</v>
      </c>
      <c r="E5025" s="7">
        <f t="shared" si="156"/>
        <v>378491.08680000005</v>
      </c>
      <c r="F5025" s="7">
        <f t="shared" si="157"/>
        <v>25230529</v>
      </c>
      <c r="G5025" s="7"/>
    </row>
    <row r="5026" spans="1:7" x14ac:dyDescent="0.35">
      <c r="A5026" t="str">
        <f>"2025-05-14"</f>
        <v>2025-05-14</v>
      </c>
      <c r="B5026" t="str">
        <f>"75.4215"</f>
        <v>75.4215</v>
      </c>
      <c r="C5026">
        <v>5024</v>
      </c>
      <c r="D5026" s="7">
        <v>75.421499999999995</v>
      </c>
      <c r="E5026" s="7">
        <f t="shared" si="156"/>
        <v>378917.61599999998</v>
      </c>
      <c r="F5026" s="7">
        <f t="shared" si="157"/>
        <v>25240576</v>
      </c>
      <c r="G5026" s="7"/>
    </row>
    <row r="5027" spans="1:7" x14ac:dyDescent="0.35">
      <c r="A5027" t="str">
        <f>"2025-05-15"</f>
        <v>2025-05-15</v>
      </c>
      <c r="B5027" t="str">
        <f>"73.1757"</f>
        <v>73.1757</v>
      </c>
      <c r="C5027">
        <v>5025</v>
      </c>
      <c r="D5027" s="7">
        <v>73.175700000000006</v>
      </c>
      <c r="E5027" s="7">
        <f t="shared" si="156"/>
        <v>367707.89250000002</v>
      </c>
      <c r="F5027" s="7">
        <f t="shared" si="157"/>
        <v>25250625</v>
      </c>
      <c r="G5027" s="7"/>
    </row>
    <row r="5028" spans="1:7" x14ac:dyDescent="0.35">
      <c r="A5028" t="str">
        <f>"2025-05-16"</f>
        <v>2025-05-16</v>
      </c>
      <c r="B5028" t="str">
        <f>"73.7463"</f>
        <v>73.7463</v>
      </c>
      <c r="C5028">
        <v>5026</v>
      </c>
      <c r="D5028" s="7">
        <v>73.746300000000005</v>
      </c>
      <c r="E5028" s="7">
        <f t="shared" si="156"/>
        <v>370648.90380000003</v>
      </c>
      <c r="F5028" s="7">
        <f t="shared" si="157"/>
        <v>25260676</v>
      </c>
      <c r="G5028" s="7"/>
    </row>
    <row r="5029" spans="1:7" x14ac:dyDescent="0.35">
      <c r="A5029" t="str">
        <f>"2025-05-20"</f>
        <v>2025-05-20</v>
      </c>
      <c r="B5029" t="str">
        <f>"69.9925"</f>
        <v>69.9925</v>
      </c>
      <c r="C5029">
        <v>5027</v>
      </c>
      <c r="D5029" s="7">
        <v>69.992500000000007</v>
      </c>
      <c r="E5029" s="7">
        <f t="shared" si="156"/>
        <v>351852.29750000004</v>
      </c>
      <c r="F5029" s="7">
        <f t="shared" si="157"/>
        <v>25270729</v>
      </c>
      <c r="G5029" s="7"/>
    </row>
    <row r="5030" spans="1:7" x14ac:dyDescent="0.35">
      <c r="A5030" t="str">
        <f>"2025-05-21"</f>
        <v>2025-05-21</v>
      </c>
      <c r="B5030" t="str">
        <f>"67.7043"</f>
        <v>67.7043</v>
      </c>
      <c r="C5030">
        <v>5028</v>
      </c>
      <c r="D5030" s="7">
        <v>67.704300000000003</v>
      </c>
      <c r="E5030" s="7">
        <f t="shared" si="156"/>
        <v>340417.22039999999</v>
      </c>
      <c r="F5030" s="7">
        <f t="shared" si="157"/>
        <v>25280784</v>
      </c>
      <c r="G5030" s="7"/>
    </row>
    <row r="5031" spans="1:7" x14ac:dyDescent="0.35">
      <c r="A5031" t="str">
        <f>"2025-05-22"</f>
        <v>2025-05-22</v>
      </c>
      <c r="B5031" t="str">
        <f>"69.1579"</f>
        <v>69.1579</v>
      </c>
      <c r="C5031">
        <v>5029</v>
      </c>
      <c r="D5031" s="7">
        <v>69.157899999999998</v>
      </c>
      <c r="E5031" s="7">
        <f t="shared" si="156"/>
        <v>347795.07909999997</v>
      </c>
      <c r="F5031" s="7">
        <f t="shared" si="157"/>
        <v>25290841</v>
      </c>
      <c r="G5031" s="7"/>
    </row>
    <row r="5032" spans="1:7" x14ac:dyDescent="0.35">
      <c r="A5032" t="str">
        <f>"2025-05-23"</f>
        <v>2025-05-23</v>
      </c>
      <c r="B5032" t="str">
        <f>"66.2734"</f>
        <v>66.2734</v>
      </c>
      <c r="C5032">
        <v>5030</v>
      </c>
      <c r="D5032" s="7">
        <v>66.273399999999995</v>
      </c>
      <c r="E5032" s="7">
        <f t="shared" si="156"/>
        <v>333355.20199999999</v>
      </c>
      <c r="F5032" s="7">
        <f t="shared" si="157"/>
        <v>25300900</v>
      </c>
      <c r="G5032" s="7"/>
    </row>
    <row r="5033" spans="1:7" x14ac:dyDescent="0.35">
      <c r="A5033" t="str">
        <f>"2025-05-27"</f>
        <v>2025-05-27</v>
      </c>
      <c r="B5033" t="str">
        <f>"66.489"</f>
        <v>66.489</v>
      </c>
      <c r="C5033">
        <v>5031</v>
      </c>
      <c r="D5033" s="7">
        <v>66.489000000000004</v>
      </c>
      <c r="E5033" s="7">
        <f t="shared" si="156"/>
        <v>334506.15900000004</v>
      </c>
      <c r="F5033" s="7">
        <f t="shared" si="157"/>
        <v>25310961</v>
      </c>
      <c r="G5033" s="7"/>
    </row>
    <row r="5034" spans="1:7" x14ac:dyDescent="0.35">
      <c r="A5034" t="str">
        <f>"2025-05-28"</f>
        <v>2025-05-28</v>
      </c>
      <c r="B5034" t="str">
        <f>"66.8508"</f>
        <v>66.8508</v>
      </c>
      <c r="C5034">
        <v>5032</v>
      </c>
      <c r="D5034" s="7">
        <v>66.850800000000007</v>
      </c>
      <c r="E5034" s="7">
        <f t="shared" si="156"/>
        <v>336393.22560000001</v>
      </c>
      <c r="F5034" s="7">
        <f t="shared" si="157"/>
        <v>25321024</v>
      </c>
      <c r="G5034" s="7"/>
    </row>
    <row r="5035" spans="1:7" x14ac:dyDescent="0.35">
      <c r="A5035" t="str">
        <f>"2025-05-29"</f>
        <v>2025-05-29</v>
      </c>
      <c r="B5035" t="str">
        <f>"66.7979"</f>
        <v>66.7979</v>
      </c>
      <c r="C5035">
        <v>5033</v>
      </c>
      <c r="D5035" s="7">
        <v>66.797899999999998</v>
      </c>
      <c r="E5035" s="7">
        <f t="shared" si="156"/>
        <v>336193.83069999999</v>
      </c>
      <c r="F5035" s="7">
        <f t="shared" si="157"/>
        <v>25331089</v>
      </c>
      <c r="G5035" s="7"/>
    </row>
    <row r="5036" spans="1:7" x14ac:dyDescent="0.35">
      <c r="A5036" t="str">
        <f>"2025-05-30"</f>
        <v>2025-05-30</v>
      </c>
      <c r="B5036" t="str">
        <f>"65.9081"</f>
        <v>65.9081</v>
      </c>
      <c r="C5036">
        <v>5034</v>
      </c>
      <c r="D5036" s="7">
        <v>65.908100000000005</v>
      </c>
      <c r="E5036" s="7">
        <f t="shared" si="156"/>
        <v>331781.37540000002</v>
      </c>
      <c r="F5036" s="7">
        <f t="shared" si="157"/>
        <v>25341156</v>
      </c>
      <c r="G5036" s="7"/>
    </row>
    <row r="5037" spans="1:7" x14ac:dyDescent="0.35">
      <c r="A5037" t="str">
        <f>"2025-06-02"</f>
        <v>2025-06-02</v>
      </c>
      <c r="B5037" t="str">
        <f>"64.823"</f>
        <v>64.823</v>
      </c>
      <c r="C5037">
        <v>5035</v>
      </c>
      <c r="D5037" s="7">
        <v>64.822999999999993</v>
      </c>
      <c r="E5037" s="7">
        <f t="shared" si="156"/>
        <v>326383.80499999999</v>
      </c>
      <c r="F5037" s="7">
        <f t="shared" si="157"/>
        <v>25351225</v>
      </c>
      <c r="G5037" s="7"/>
    </row>
    <row r="5038" spans="1:7" x14ac:dyDescent="0.35">
      <c r="A5038" t="str">
        <f>"2025-06-03"</f>
        <v>2025-06-03</v>
      </c>
      <c r="B5038" t="str">
        <f>"67.2969"</f>
        <v>67.2969</v>
      </c>
      <c r="C5038">
        <v>5036</v>
      </c>
      <c r="D5038" s="7">
        <v>67.296899999999994</v>
      </c>
      <c r="E5038" s="7">
        <f t="shared" si="156"/>
        <v>338907.18839999998</v>
      </c>
      <c r="F5038" s="7">
        <f t="shared" si="157"/>
        <v>25361296</v>
      </c>
      <c r="G5038" s="7"/>
    </row>
    <row r="5039" spans="1:7" x14ac:dyDescent="0.35">
      <c r="A5039" t="str">
        <f>"2025-06-04"</f>
        <v>2025-06-04</v>
      </c>
      <c r="B5039" t="str">
        <f>"67.5987"</f>
        <v>67.5987</v>
      </c>
      <c r="C5039">
        <v>5037</v>
      </c>
      <c r="D5039" s="7">
        <v>67.598699999999994</v>
      </c>
      <c r="E5039" s="7">
        <f t="shared" si="156"/>
        <v>340494.6519</v>
      </c>
      <c r="F5039" s="7">
        <f t="shared" si="157"/>
        <v>25371369</v>
      </c>
      <c r="G5039" s="7"/>
    </row>
    <row r="5040" spans="1:7" x14ac:dyDescent="0.35">
      <c r="A5040" t="str">
        <f>"2025-06-05"</f>
        <v>2025-06-05</v>
      </c>
      <c r="B5040" t="str">
        <f>"67.7329"</f>
        <v>67.7329</v>
      </c>
      <c r="C5040">
        <v>5038</v>
      </c>
      <c r="D5040" s="7">
        <v>67.732900000000001</v>
      </c>
      <c r="E5040" s="7">
        <f t="shared" si="156"/>
        <v>341238.35019999999</v>
      </c>
      <c r="F5040" s="7">
        <f t="shared" si="157"/>
        <v>25381444</v>
      </c>
      <c r="G5040" s="7"/>
    </row>
    <row r="5041" spans="1:7" x14ac:dyDescent="0.35">
      <c r="A5041" t="str">
        <f>"2025-06-10"</f>
        <v>2025-06-10</v>
      </c>
      <c r="B5041" t="str">
        <f>"69.3527"</f>
        <v>69.3527</v>
      </c>
      <c r="C5041">
        <v>5039</v>
      </c>
      <c r="D5041" s="7">
        <v>69.352699999999999</v>
      </c>
      <c r="E5041" s="7">
        <f t="shared" si="156"/>
        <v>349468.25530000002</v>
      </c>
      <c r="F5041" s="7">
        <f t="shared" si="157"/>
        <v>25391521</v>
      </c>
      <c r="G5041" s="7"/>
    </row>
    <row r="5042" spans="1:7" x14ac:dyDescent="0.35">
      <c r="A5042" t="str">
        <f>"2025-06-11"</f>
        <v>2025-06-11</v>
      </c>
      <c r="B5042" t="str">
        <f>"69.4081"</f>
        <v>69.4081</v>
      </c>
      <c r="C5042">
        <v>5040</v>
      </c>
      <c r="D5042" s="7">
        <v>69.408100000000005</v>
      </c>
      <c r="E5042" s="7">
        <f t="shared" si="156"/>
        <v>349816.82400000002</v>
      </c>
      <c r="F5042" s="7">
        <f t="shared" si="157"/>
        <v>25401600</v>
      </c>
      <c r="G5042" s="7"/>
    </row>
    <row r="5043" spans="1:7" x14ac:dyDescent="0.35">
      <c r="A5043" t="str">
        <f>"2025-06-12"</f>
        <v>2025-06-12</v>
      </c>
      <c r="B5043" t="str">
        <f>"65.5371"</f>
        <v>65.5371</v>
      </c>
      <c r="C5043">
        <v>5041</v>
      </c>
      <c r="D5043" s="7">
        <v>65.537099999999995</v>
      </c>
      <c r="E5043" s="7">
        <f t="shared" si="156"/>
        <v>330372.52109999995</v>
      </c>
      <c r="F5043" s="7">
        <f t="shared" si="157"/>
        <v>25411681</v>
      </c>
      <c r="G5043" s="7"/>
    </row>
    <row r="5044" spans="1:7" x14ac:dyDescent="0.35">
      <c r="A5044" t="str">
        <f>"2025-06-13"</f>
        <v>2025-06-13</v>
      </c>
      <c r="B5044" t="str">
        <f>"60.6887"</f>
        <v>60.6887</v>
      </c>
      <c r="C5044">
        <v>5042</v>
      </c>
      <c r="D5044" s="7">
        <v>60.688699999999997</v>
      </c>
      <c r="E5044" s="7">
        <f t="shared" si="156"/>
        <v>305992.42540000001</v>
      </c>
      <c r="F5044" s="7">
        <f t="shared" si="157"/>
        <v>25421764</v>
      </c>
      <c r="G5044" s="7"/>
    </row>
    <row r="5045" spans="1:7" x14ac:dyDescent="0.35">
      <c r="A5045" t="str">
        <f>"2025-06-16"</f>
        <v>2025-06-16</v>
      </c>
      <c r="B5045" t="str">
        <f>"61.7025"</f>
        <v>61.7025</v>
      </c>
      <c r="C5045">
        <v>5043</v>
      </c>
      <c r="D5045" s="7">
        <v>61.702500000000001</v>
      </c>
      <c r="E5045" s="7">
        <f t="shared" si="156"/>
        <v>311165.70750000002</v>
      </c>
      <c r="F5045" s="7">
        <f t="shared" si="157"/>
        <v>25431849</v>
      </c>
      <c r="G5045" s="7"/>
    </row>
    <row r="5046" spans="1:7" x14ac:dyDescent="0.35">
      <c r="A5046" t="str">
        <f>"2025-06-17"</f>
        <v>2025-06-17</v>
      </c>
      <c r="B5046" t="str">
        <f>"61.0341"</f>
        <v>61.0341</v>
      </c>
      <c r="C5046">
        <v>5044</v>
      </c>
      <c r="D5046" s="7">
        <v>61.034100000000002</v>
      </c>
      <c r="E5046" s="7">
        <f t="shared" si="156"/>
        <v>307856.00040000002</v>
      </c>
      <c r="F5046" s="7">
        <f t="shared" si="157"/>
        <v>25441936</v>
      </c>
      <c r="G5046" s="7"/>
    </row>
    <row r="5047" spans="1:7" x14ac:dyDescent="0.35">
      <c r="A5047" t="str">
        <f>"2025-06-18"</f>
        <v>2025-06-18</v>
      </c>
      <c r="B5047" t="str">
        <f>"59.726"</f>
        <v>59.726</v>
      </c>
      <c r="C5047">
        <v>5045</v>
      </c>
      <c r="D5047" s="7">
        <v>59.725999999999999</v>
      </c>
      <c r="E5047" s="7">
        <f t="shared" si="156"/>
        <v>301317.67</v>
      </c>
      <c r="F5047" s="7">
        <f t="shared" si="157"/>
        <v>25452025</v>
      </c>
      <c r="G5047" s="7"/>
    </row>
    <row r="5048" spans="1:7" x14ac:dyDescent="0.35">
      <c r="A5048" t="str">
        <f>"2025-06-20"</f>
        <v>2025-06-20</v>
      </c>
      <c r="B5048" t="str">
        <f>"59.778"</f>
        <v>59.778</v>
      </c>
      <c r="C5048">
        <v>5046</v>
      </c>
      <c r="D5048" s="7">
        <v>59.777999999999999</v>
      </c>
      <c r="E5048" s="7">
        <f t="shared" si="156"/>
        <v>301639.788</v>
      </c>
      <c r="F5048" s="7">
        <f t="shared" si="157"/>
        <v>25462116</v>
      </c>
      <c r="G5048" s="7"/>
    </row>
    <row r="5049" spans="1:7" x14ac:dyDescent="0.35">
      <c r="A5049" t="str">
        <f>"2025-06-23"</f>
        <v>2025-06-23</v>
      </c>
      <c r="B5049" t="str">
        <f>"58.6535"</f>
        <v>58.6535</v>
      </c>
      <c r="C5049">
        <v>5047</v>
      </c>
      <c r="D5049" s="7">
        <v>58.653500000000001</v>
      </c>
      <c r="E5049" s="7">
        <f t="shared" si="156"/>
        <v>296024.2145</v>
      </c>
      <c r="F5049" s="7">
        <f t="shared" si="157"/>
        <v>25472209</v>
      </c>
      <c r="G5049" s="7"/>
    </row>
    <row r="5050" spans="1:7" x14ac:dyDescent="0.35">
      <c r="A5050" t="str">
        <f>"2025-06-24"</f>
        <v>2025-06-24</v>
      </c>
      <c r="B5050" t="str">
        <f>"64.876"</f>
        <v>64.876</v>
      </c>
      <c r="C5050">
        <v>5048</v>
      </c>
      <c r="D5050" s="7">
        <v>64.876000000000005</v>
      </c>
      <c r="E5050" s="7">
        <f t="shared" si="156"/>
        <v>327494.04800000001</v>
      </c>
      <c r="F5050" s="7">
        <f t="shared" si="157"/>
        <v>25482304</v>
      </c>
      <c r="G5050" s="7"/>
    </row>
    <row r="5051" spans="1:7" x14ac:dyDescent="0.35">
      <c r="A5051" t="str">
        <f>"2025-06-25"</f>
        <v>2025-06-25</v>
      </c>
      <c r="B5051" t="str">
        <f>"64.0545"</f>
        <v>64.0545</v>
      </c>
      <c r="C5051">
        <v>5049</v>
      </c>
      <c r="D5051" s="7">
        <v>64.054500000000004</v>
      </c>
      <c r="E5051" s="7">
        <f t="shared" si="156"/>
        <v>323411.17050000001</v>
      </c>
      <c r="F5051" s="7">
        <f t="shared" si="157"/>
        <v>25492401</v>
      </c>
      <c r="G5051" s="7"/>
    </row>
    <row r="5052" spans="1:7" x14ac:dyDescent="0.35">
      <c r="A5052" t="str">
        <f>"2025-06-26"</f>
        <v>2025-06-26</v>
      </c>
      <c r="B5052" t="str">
        <f>"62.2491"</f>
        <v>62.2491</v>
      </c>
      <c r="C5052">
        <v>5050</v>
      </c>
      <c r="D5052" s="7">
        <v>62.249099999999999</v>
      </c>
      <c r="E5052" s="7">
        <f t="shared" si="156"/>
        <v>314357.95500000002</v>
      </c>
      <c r="F5052" s="7">
        <f t="shared" si="157"/>
        <v>25502500</v>
      </c>
      <c r="G5052" s="7"/>
    </row>
    <row r="5053" spans="1:7" x14ac:dyDescent="0.35">
      <c r="A5053" t="str">
        <f>"2025-06-27"</f>
        <v>2025-06-27</v>
      </c>
      <c r="B5053" t="str">
        <f>"63.83"</f>
        <v>63.83</v>
      </c>
      <c r="C5053">
        <v>5051</v>
      </c>
      <c r="D5053" s="7">
        <v>63.83</v>
      </c>
      <c r="E5053" s="7">
        <f t="shared" si="156"/>
        <v>322405.33</v>
      </c>
      <c r="F5053" s="7">
        <f t="shared" si="157"/>
        <v>25512601</v>
      </c>
      <c r="G5053" s="7"/>
    </row>
    <row r="5054" spans="1:7" x14ac:dyDescent="0.35">
      <c r="A5054" t="str">
        <f>"2025-06-30"</f>
        <v>2025-06-30</v>
      </c>
      <c r="B5054" t="str">
        <f>"67.0989"</f>
        <v>67.0989</v>
      </c>
      <c r="C5054">
        <v>5052</v>
      </c>
      <c r="D5054" s="7">
        <v>67.0989</v>
      </c>
      <c r="E5054" s="7">
        <f t="shared" si="156"/>
        <v>338983.64280000003</v>
      </c>
      <c r="F5054" s="7">
        <f t="shared" si="157"/>
        <v>25522704</v>
      </c>
      <c r="G5054" s="7"/>
    </row>
    <row r="5055" spans="1:7" x14ac:dyDescent="0.35">
      <c r="A5055" t="str">
        <f>"2025-07-01"</f>
        <v>2025-07-01</v>
      </c>
      <c r="B5055" t="str">
        <f>"67.9931"</f>
        <v>67.9931</v>
      </c>
      <c r="C5055">
        <v>5053</v>
      </c>
      <c r="D5055" s="7">
        <v>67.993099999999998</v>
      </c>
      <c r="E5055" s="7">
        <f t="shared" si="156"/>
        <v>343569.13429999998</v>
      </c>
      <c r="F5055" s="7">
        <f t="shared" si="157"/>
        <v>25532809</v>
      </c>
      <c r="G5055" s="7"/>
    </row>
    <row r="5056" spans="1:7" x14ac:dyDescent="0.35">
      <c r="A5056" t="str">
        <f>"2025-07-02"</f>
        <v>2025-07-02</v>
      </c>
      <c r="B5056" t="str">
        <f>"67.8595"</f>
        <v>67.8595</v>
      </c>
      <c r="C5056">
        <v>5054</v>
      </c>
      <c r="D5056" s="7">
        <v>67.859499999999997</v>
      </c>
      <c r="E5056" s="7">
        <f t="shared" si="156"/>
        <v>342961.913</v>
      </c>
      <c r="F5056" s="7">
        <f t="shared" si="157"/>
        <v>25542916</v>
      </c>
      <c r="G5056" s="7"/>
    </row>
    <row r="5057" spans="1:7" x14ac:dyDescent="0.35">
      <c r="A5057" t="str">
        <f>"2025-07-03"</f>
        <v>2025-07-03</v>
      </c>
      <c r="B5057" t="str">
        <f>"68.1979"</f>
        <v>68.1979</v>
      </c>
      <c r="C5057">
        <v>5055</v>
      </c>
      <c r="D5057" s="7">
        <v>68.197900000000004</v>
      </c>
      <c r="E5057" s="7">
        <f t="shared" si="156"/>
        <v>344740.38450000004</v>
      </c>
      <c r="F5057" s="7">
        <f t="shared" si="157"/>
        <v>25553025</v>
      </c>
      <c r="G5057" s="7"/>
    </row>
    <row r="5058" spans="1:7" x14ac:dyDescent="0.35">
      <c r="A5058" t="str">
        <f>"2025-07-04"</f>
        <v>2025-07-04</v>
      </c>
      <c r="B5058" t="str">
        <f>"68.6164"</f>
        <v>68.6164</v>
      </c>
      <c r="C5058">
        <v>5056</v>
      </c>
      <c r="D5058" s="7">
        <v>68.616399999999999</v>
      </c>
      <c r="E5058" s="7">
        <f t="shared" si="156"/>
        <v>346924.5184</v>
      </c>
      <c r="F5058" s="7">
        <f t="shared" si="157"/>
        <v>25563136</v>
      </c>
      <c r="G5058" s="7"/>
    </row>
    <row r="5059" spans="1:7" x14ac:dyDescent="0.35">
      <c r="A5059" t="str">
        <f>"2025-07-07"</f>
        <v>2025-07-07</v>
      </c>
      <c r="B5059" t="str">
        <f>"67.172"</f>
        <v>67.172</v>
      </c>
      <c r="C5059">
        <v>5057</v>
      </c>
      <c r="D5059" s="7">
        <v>67.171999999999997</v>
      </c>
      <c r="E5059" s="7">
        <f t="shared" si="156"/>
        <v>339688.804</v>
      </c>
      <c r="F5059" s="7">
        <f t="shared" si="157"/>
        <v>25573249</v>
      </c>
      <c r="G5059" s="7"/>
    </row>
    <row r="5060" spans="1:7" x14ac:dyDescent="0.35">
      <c r="A5060" t="str">
        <f>"2025-07-08"</f>
        <v>2025-07-08</v>
      </c>
      <c r="B5060" t="str">
        <f>"65.9498"</f>
        <v>65.9498</v>
      </c>
      <c r="C5060">
        <v>5058</v>
      </c>
      <c r="D5060" s="7">
        <v>65.949799999999996</v>
      </c>
      <c r="E5060" s="7">
        <f t="shared" ref="E5060:E5123" si="158">C5060*D5060</f>
        <v>333574.08840000001</v>
      </c>
      <c r="F5060" s="7">
        <f t="shared" ref="F5060:F5123" si="159">C5060*C5060</f>
        <v>25583364</v>
      </c>
      <c r="G5060" s="7"/>
    </row>
    <row r="5061" spans="1:7" x14ac:dyDescent="0.35">
      <c r="A5061" t="str">
        <f>"2025-07-09"</f>
        <v>2025-07-09</v>
      </c>
      <c r="B5061" t="str">
        <f>"67.2813"</f>
        <v>67.2813</v>
      </c>
      <c r="C5061">
        <v>5059</v>
      </c>
      <c r="D5061" s="7">
        <v>67.281300000000002</v>
      </c>
      <c r="E5061" s="7">
        <f t="shared" si="158"/>
        <v>340376.09669999999</v>
      </c>
      <c r="F5061" s="7">
        <f t="shared" si="159"/>
        <v>25593481</v>
      </c>
      <c r="G5061" s="7"/>
    </row>
    <row r="5062" spans="1:7" x14ac:dyDescent="0.35">
      <c r="A5062" t="str">
        <f>"2025-07-10"</f>
        <v>2025-07-10</v>
      </c>
      <c r="B5062" t="str">
        <f>"68.1306"</f>
        <v>68.1306</v>
      </c>
      <c r="C5062">
        <v>5060</v>
      </c>
      <c r="D5062" s="7">
        <v>68.130600000000001</v>
      </c>
      <c r="E5062" s="7">
        <f t="shared" si="158"/>
        <v>344740.83600000001</v>
      </c>
      <c r="F5062" s="7">
        <f t="shared" si="159"/>
        <v>25603600</v>
      </c>
      <c r="G5062" s="7"/>
    </row>
    <row r="5063" spans="1:7" x14ac:dyDescent="0.35">
      <c r="A5063" t="str">
        <f>"2025-07-11"</f>
        <v>2025-07-11</v>
      </c>
      <c r="B5063" t="str">
        <f>"67.6193"</f>
        <v>67.6193</v>
      </c>
      <c r="C5063">
        <v>5061</v>
      </c>
      <c r="D5063" s="7">
        <v>67.619299999999996</v>
      </c>
      <c r="E5063" s="7">
        <f t="shared" si="158"/>
        <v>342221.27729999996</v>
      </c>
      <c r="F5063" s="7">
        <f t="shared" si="159"/>
        <v>25613721</v>
      </c>
      <c r="G5063" s="7"/>
    </row>
    <row r="5064" spans="1:7" x14ac:dyDescent="0.35">
      <c r="A5064" t="str">
        <f>"2025-07-14"</f>
        <v>2025-07-14</v>
      </c>
      <c r="B5064" t="str">
        <f>"67.1886"</f>
        <v>67.1886</v>
      </c>
      <c r="C5064">
        <v>5062</v>
      </c>
      <c r="D5064" s="7">
        <v>67.188599999999994</v>
      </c>
      <c r="E5064" s="7">
        <f t="shared" si="158"/>
        <v>340108.69319999998</v>
      </c>
      <c r="F5064" s="7">
        <f t="shared" si="159"/>
        <v>25623844</v>
      </c>
      <c r="G5064" s="7"/>
    </row>
    <row r="5065" spans="1:7" x14ac:dyDescent="0.35">
      <c r="A5065" t="str">
        <f>"2025-07-16"</f>
        <v>2025-07-16</v>
      </c>
      <c r="B5065" t="str">
        <f>"65.686"</f>
        <v>65.686</v>
      </c>
      <c r="C5065">
        <v>5063</v>
      </c>
      <c r="D5065" s="7">
        <v>65.686000000000007</v>
      </c>
      <c r="E5065" s="7">
        <f t="shared" si="158"/>
        <v>332568.21800000005</v>
      </c>
      <c r="F5065" s="7">
        <f t="shared" si="159"/>
        <v>25633969</v>
      </c>
      <c r="G5065" s="7"/>
    </row>
    <row r="5066" spans="1:7" x14ac:dyDescent="0.35">
      <c r="A5066" t="str">
        <f>"2025-07-17"</f>
        <v>2025-07-17</v>
      </c>
      <c r="B5066" t="str">
        <f>"66.9357"</f>
        <v>66.9357</v>
      </c>
      <c r="C5066">
        <v>5064</v>
      </c>
      <c r="D5066" s="7">
        <v>66.935699999999997</v>
      </c>
      <c r="E5066" s="7">
        <f t="shared" si="158"/>
        <v>338962.3848</v>
      </c>
      <c r="F5066" s="7">
        <f t="shared" si="159"/>
        <v>25644096</v>
      </c>
      <c r="G5066" s="7"/>
    </row>
    <row r="5067" spans="1:7" x14ac:dyDescent="0.35">
      <c r="A5067" t="str">
        <f>"2025-07-18"</f>
        <v>2025-07-18</v>
      </c>
      <c r="B5067" t="str">
        <f>"66.4631"</f>
        <v>66.4631</v>
      </c>
      <c r="C5067">
        <v>5065</v>
      </c>
      <c r="D5067" s="7">
        <v>66.463099999999997</v>
      </c>
      <c r="E5067" s="7">
        <f t="shared" si="158"/>
        <v>336635.60149999999</v>
      </c>
      <c r="F5067" s="7">
        <f t="shared" si="159"/>
        <v>25654225</v>
      </c>
      <c r="G5067" s="7"/>
    </row>
    <row r="5068" spans="1:7" x14ac:dyDescent="0.35">
      <c r="A5068" t="str">
        <f>"2025-07-21"</f>
        <v>2025-07-21</v>
      </c>
      <c r="B5068" t="str">
        <f>"66.5446"</f>
        <v>66.5446</v>
      </c>
      <c r="C5068">
        <v>5066</v>
      </c>
      <c r="D5068" s="7">
        <v>66.544600000000003</v>
      </c>
      <c r="E5068" s="7">
        <f t="shared" si="158"/>
        <v>337114.9436</v>
      </c>
      <c r="F5068" s="7">
        <f t="shared" si="159"/>
        <v>25664356</v>
      </c>
      <c r="G5068" s="7"/>
    </row>
    <row r="5069" spans="1:7" x14ac:dyDescent="0.35">
      <c r="A5069" t="str">
        <f>"2025-07-22"</f>
        <v>2025-07-22</v>
      </c>
      <c r="B5069" t="str">
        <f>"66.5342"</f>
        <v>66.5342</v>
      </c>
      <c r="C5069">
        <v>5067</v>
      </c>
      <c r="D5069" s="7">
        <v>66.534199999999998</v>
      </c>
      <c r="E5069" s="7">
        <f t="shared" si="158"/>
        <v>337128.79139999999</v>
      </c>
      <c r="F5069" s="7">
        <f t="shared" si="159"/>
        <v>25674489</v>
      </c>
      <c r="G5069" s="7"/>
    </row>
    <row r="5070" spans="1:7" x14ac:dyDescent="0.35">
      <c r="A5070" t="str">
        <f>"2025-07-23"</f>
        <v>2025-07-23</v>
      </c>
      <c r="B5070" t="str">
        <f>"66.7457"</f>
        <v>66.7457</v>
      </c>
      <c r="C5070">
        <v>5068</v>
      </c>
      <c r="D5070" s="7">
        <v>66.745699999999999</v>
      </c>
      <c r="E5070" s="7">
        <f t="shared" si="158"/>
        <v>338267.20760000002</v>
      </c>
      <c r="F5070" s="7">
        <f t="shared" si="159"/>
        <v>25684624</v>
      </c>
      <c r="G5070" s="7"/>
    </row>
    <row r="5071" spans="1:7" x14ac:dyDescent="0.35">
      <c r="A5071" t="str">
        <f>"2025-07-24"</f>
        <v>2025-07-24</v>
      </c>
      <c r="B5071" t="str">
        <f>"67.5168"</f>
        <v>67.5168</v>
      </c>
      <c r="C5071">
        <v>5069</v>
      </c>
      <c r="D5071" s="7">
        <v>67.516800000000003</v>
      </c>
      <c r="E5071" s="7">
        <f t="shared" si="158"/>
        <v>342242.65919999999</v>
      </c>
      <c r="F5071" s="7">
        <f t="shared" si="159"/>
        <v>25694761</v>
      </c>
      <c r="G5071" s="7"/>
    </row>
    <row r="5072" spans="1:7" x14ac:dyDescent="0.35">
      <c r="A5072" t="str">
        <f>"2025-07-25"</f>
        <v>2025-07-25</v>
      </c>
      <c r="B5072" t="str">
        <f>"67.4327"</f>
        <v>67.4327</v>
      </c>
      <c r="C5072">
        <v>5070</v>
      </c>
      <c r="D5072" s="7">
        <v>67.432699999999997</v>
      </c>
      <c r="E5072" s="7">
        <f t="shared" si="158"/>
        <v>341883.78899999999</v>
      </c>
      <c r="F5072" s="7">
        <f t="shared" si="159"/>
        <v>25704900</v>
      </c>
      <c r="G5072" s="7"/>
    </row>
    <row r="5073" spans="1:7" x14ac:dyDescent="0.35">
      <c r="A5073" t="str">
        <f>"2025-07-28"</f>
        <v>2025-07-28</v>
      </c>
      <c r="B5073" t="str">
        <f>"67.2953"</f>
        <v>67.2953</v>
      </c>
      <c r="C5073">
        <v>5071</v>
      </c>
      <c r="D5073" s="7">
        <v>67.295299999999997</v>
      </c>
      <c r="E5073" s="7">
        <f t="shared" si="158"/>
        <v>341254.46629999997</v>
      </c>
      <c r="F5073" s="7">
        <f t="shared" si="159"/>
        <v>25715041</v>
      </c>
      <c r="G5073" s="7"/>
    </row>
    <row r="5074" spans="1:7" x14ac:dyDescent="0.35">
      <c r="A5074" t="str">
        <f>"2025-07-29"</f>
        <v>2025-07-29</v>
      </c>
      <c r="B5074" t="str">
        <f>"65.8167"</f>
        <v>65.8167</v>
      </c>
      <c r="C5074">
        <v>5072</v>
      </c>
      <c r="D5074" s="7">
        <v>65.816699999999997</v>
      </c>
      <c r="E5074" s="7">
        <f t="shared" si="158"/>
        <v>333822.30239999999</v>
      </c>
      <c r="F5074" s="7">
        <f t="shared" si="159"/>
        <v>25725184</v>
      </c>
      <c r="G5074" s="7"/>
    </row>
    <row r="5075" spans="1:7" x14ac:dyDescent="0.35">
      <c r="A5075" t="str">
        <f>"2025-07-30"</f>
        <v>2025-07-30</v>
      </c>
      <c r="B5075" t="str">
        <f>"66.8162"</f>
        <v>66.8162</v>
      </c>
      <c r="C5075">
        <v>5073</v>
      </c>
      <c r="D5075" s="7">
        <v>66.816199999999995</v>
      </c>
      <c r="E5075" s="7">
        <f t="shared" si="158"/>
        <v>338958.58259999997</v>
      </c>
      <c r="F5075" s="7">
        <f t="shared" si="159"/>
        <v>25735329</v>
      </c>
      <c r="G5075" s="7"/>
    </row>
    <row r="5076" spans="1:7" x14ac:dyDescent="0.35">
      <c r="A5076" t="str">
        <f>"2025-07-31"</f>
        <v>2025-07-31</v>
      </c>
      <c r="B5076" t="str">
        <f>"67.0188"</f>
        <v>67.0188</v>
      </c>
      <c r="C5076">
        <v>5074</v>
      </c>
      <c r="D5076" s="7">
        <v>67.018799999999999</v>
      </c>
      <c r="E5076" s="7">
        <f t="shared" si="158"/>
        <v>340053.39120000001</v>
      </c>
      <c r="F5076" s="7">
        <f t="shared" si="159"/>
        <v>25745476</v>
      </c>
      <c r="G5076" s="7"/>
    </row>
    <row r="5077" spans="1:7" x14ac:dyDescent="0.35">
      <c r="A5077" t="str">
        <f>"2025-08-01"</f>
        <v>2025-08-01</v>
      </c>
      <c r="B5077" t="str">
        <f>"65.9762"</f>
        <v>65.9762</v>
      </c>
      <c r="C5077">
        <v>5075</v>
      </c>
      <c r="D5077" s="7">
        <v>65.976200000000006</v>
      </c>
      <c r="E5077" s="7">
        <f t="shared" si="158"/>
        <v>334829.21500000003</v>
      </c>
      <c r="F5077" s="7">
        <f t="shared" si="159"/>
        <v>25755625</v>
      </c>
      <c r="G5077" s="7"/>
    </row>
    <row r="5078" spans="1:7" x14ac:dyDescent="0.35">
      <c r="A5078" t="str">
        <f>"2025-08-04"</f>
        <v>2025-08-04</v>
      </c>
      <c r="B5078" t="str">
        <f>"66.733"</f>
        <v>66.733</v>
      </c>
      <c r="C5078">
        <v>5076</v>
      </c>
      <c r="D5078" s="7">
        <v>66.733000000000004</v>
      </c>
      <c r="E5078" s="7">
        <f t="shared" si="158"/>
        <v>338736.70800000004</v>
      </c>
      <c r="F5078" s="7">
        <f t="shared" si="159"/>
        <v>25765776</v>
      </c>
      <c r="G5078" s="7"/>
    </row>
    <row r="5079" spans="1:7" x14ac:dyDescent="0.35">
      <c r="A5079" t="str">
        <f>"2025-08-05"</f>
        <v>2025-08-05</v>
      </c>
      <c r="B5079" t="str">
        <f>"66.8159"</f>
        <v>66.8159</v>
      </c>
      <c r="C5079">
        <v>5077</v>
      </c>
      <c r="D5079" s="7">
        <v>66.815899999999999</v>
      </c>
      <c r="E5079" s="7">
        <f t="shared" si="158"/>
        <v>339224.32429999998</v>
      </c>
      <c r="F5079" s="7">
        <f t="shared" si="159"/>
        <v>25775929</v>
      </c>
      <c r="G5079" s="7"/>
    </row>
    <row r="5080" spans="1:7" x14ac:dyDescent="0.35">
      <c r="A5080" t="str">
        <f>"2025-08-06"</f>
        <v>2025-08-06</v>
      </c>
      <c r="B5080" t="str">
        <f>"69.8046"</f>
        <v>69.8046</v>
      </c>
      <c r="C5080">
        <v>5078</v>
      </c>
      <c r="D5080" s="7">
        <v>69.804599999999994</v>
      </c>
      <c r="E5080" s="7">
        <f t="shared" si="158"/>
        <v>354467.75879999995</v>
      </c>
      <c r="F5080" s="7">
        <f t="shared" si="159"/>
        <v>25786084</v>
      </c>
      <c r="G5080" s="7"/>
    </row>
    <row r="5081" spans="1:7" x14ac:dyDescent="0.35">
      <c r="A5081" t="str">
        <f>"2025-08-07"</f>
        <v>2025-08-07</v>
      </c>
      <c r="B5081" t="str">
        <f>"69.5168"</f>
        <v>69.5168</v>
      </c>
      <c r="C5081">
        <v>5079</v>
      </c>
      <c r="D5081" s="7">
        <v>69.516800000000003</v>
      </c>
      <c r="E5081" s="7">
        <f t="shared" si="158"/>
        <v>353075.8272</v>
      </c>
      <c r="F5081" s="7">
        <f t="shared" si="159"/>
        <v>25796241</v>
      </c>
      <c r="G5081" s="7"/>
    </row>
    <row r="5082" spans="1:7" x14ac:dyDescent="0.35">
      <c r="A5082" t="str">
        <f>"2025-08-08"</f>
        <v>2025-08-08</v>
      </c>
      <c r="B5082" t="str">
        <f>"69.9061"</f>
        <v>69.9061</v>
      </c>
      <c r="C5082">
        <v>5080</v>
      </c>
      <c r="D5082" s="7">
        <v>69.906099999999995</v>
      </c>
      <c r="E5082" s="7">
        <f t="shared" si="158"/>
        <v>355122.98799999995</v>
      </c>
      <c r="F5082" s="7">
        <f t="shared" si="159"/>
        <v>25806400</v>
      </c>
      <c r="G5082" s="7"/>
    </row>
    <row r="5083" spans="1:7" x14ac:dyDescent="0.35">
      <c r="A5083" t="str">
        <f>"2025-08-11"</f>
        <v>2025-08-11</v>
      </c>
      <c r="B5083" t="str">
        <f>"71.8799"</f>
        <v>71.8799</v>
      </c>
      <c r="C5083">
        <v>5081</v>
      </c>
      <c r="D5083" s="7">
        <v>71.879900000000006</v>
      </c>
      <c r="E5083" s="7">
        <f t="shared" si="158"/>
        <v>365221.77190000005</v>
      </c>
      <c r="F5083" s="7">
        <f t="shared" si="159"/>
        <v>25816561</v>
      </c>
      <c r="G5083" s="7"/>
    </row>
    <row r="5084" spans="1:7" x14ac:dyDescent="0.35">
      <c r="A5084" t="str">
        <f>"2025-08-12"</f>
        <v>2025-08-12</v>
      </c>
      <c r="B5084" t="str">
        <f>"72.8942"</f>
        <v>72.8942</v>
      </c>
      <c r="C5084">
        <v>5082</v>
      </c>
      <c r="D5084" s="7">
        <v>72.894199999999998</v>
      </c>
      <c r="E5084" s="7">
        <f t="shared" si="158"/>
        <v>370448.32439999998</v>
      </c>
      <c r="F5084" s="7">
        <f t="shared" si="159"/>
        <v>25826724</v>
      </c>
      <c r="G5084" s="7"/>
    </row>
    <row r="5085" spans="1:7" x14ac:dyDescent="0.35">
      <c r="A5085" t="str">
        <f>"2025-08-13"</f>
        <v>2025-08-13</v>
      </c>
      <c r="B5085" t="str">
        <f>"73.6779"</f>
        <v>73.6779</v>
      </c>
      <c r="C5085">
        <v>5083</v>
      </c>
      <c r="D5085" s="7">
        <v>73.677899999999994</v>
      </c>
      <c r="E5085" s="7">
        <f t="shared" si="158"/>
        <v>374504.76569999999</v>
      </c>
      <c r="F5085" s="7">
        <f t="shared" si="159"/>
        <v>25836889</v>
      </c>
      <c r="G5085" s="7"/>
    </row>
    <row r="5086" spans="1:7" x14ac:dyDescent="0.35">
      <c r="A5086" t="str">
        <f>"2025-08-14"</f>
        <v>2025-08-14</v>
      </c>
      <c r="B5086" t="str">
        <f>"74.5483"</f>
        <v>74.5483</v>
      </c>
      <c r="C5086">
        <v>5084</v>
      </c>
      <c r="D5086" s="7">
        <v>74.548299999999998</v>
      </c>
      <c r="E5086" s="7">
        <f t="shared" si="158"/>
        <v>379003.55719999998</v>
      </c>
      <c r="F5086" s="7">
        <f t="shared" si="159"/>
        <v>25847056</v>
      </c>
      <c r="G5086" s="7"/>
    </row>
    <row r="5087" spans="1:7" x14ac:dyDescent="0.35">
      <c r="A5087" t="str">
        <f>"2025-08-15"</f>
        <v>2025-08-15</v>
      </c>
      <c r="B5087" t="str">
        <f>"75.5531"</f>
        <v>75.5531</v>
      </c>
      <c r="C5087">
        <v>5085</v>
      </c>
      <c r="D5087" s="7">
        <v>75.553100000000001</v>
      </c>
      <c r="E5087" s="7">
        <f t="shared" si="158"/>
        <v>384187.5135</v>
      </c>
      <c r="F5087" s="7">
        <f t="shared" si="159"/>
        <v>25857225</v>
      </c>
      <c r="G5087" s="7"/>
    </row>
    <row r="5088" spans="1:7" x14ac:dyDescent="0.35">
      <c r="A5088" t="str">
        <f>"2025-08-18"</f>
        <v>2025-08-18</v>
      </c>
      <c r="B5088" t="str">
        <f>"76.2392"</f>
        <v>76.2392</v>
      </c>
      <c r="C5088">
        <v>5086</v>
      </c>
      <c r="D5088" s="7">
        <v>76.239199999999997</v>
      </c>
      <c r="E5088" s="7">
        <f t="shared" si="158"/>
        <v>387752.57120000001</v>
      </c>
      <c r="F5088" s="7">
        <f t="shared" si="159"/>
        <v>25867396</v>
      </c>
      <c r="G5088" s="7"/>
    </row>
    <row r="5089" spans="1:7" x14ac:dyDescent="0.35">
      <c r="A5089" t="str">
        <f>"2025-08-19"</f>
        <v>2025-08-19</v>
      </c>
      <c r="B5089" t="str">
        <f>"77.7231"</f>
        <v>77.7231</v>
      </c>
      <c r="C5089">
        <v>5087</v>
      </c>
      <c r="D5089" s="7">
        <v>77.723100000000002</v>
      </c>
      <c r="E5089" s="7">
        <f t="shared" si="158"/>
        <v>395377.40970000002</v>
      </c>
      <c r="F5089" s="7">
        <f t="shared" si="159"/>
        <v>25877569</v>
      </c>
      <c r="G5089" s="7"/>
    </row>
    <row r="5090" spans="1:7" x14ac:dyDescent="0.35">
      <c r="A5090" t="str">
        <f>"2025-08-20"</f>
        <v>2025-08-20</v>
      </c>
      <c r="B5090" t="str">
        <f>"77.1081"</f>
        <v>77.1081</v>
      </c>
      <c r="C5090">
        <v>5088</v>
      </c>
      <c r="D5090" s="7">
        <v>77.108099999999993</v>
      </c>
      <c r="E5090" s="7">
        <f t="shared" si="158"/>
        <v>392326.01279999997</v>
      </c>
      <c r="F5090" s="7">
        <f t="shared" si="159"/>
        <v>25887744</v>
      </c>
      <c r="G5090" s="7"/>
    </row>
    <row r="5091" spans="1:7" x14ac:dyDescent="0.35">
      <c r="A5091" t="str">
        <f>"2025-08-21"</f>
        <v>2025-08-21</v>
      </c>
      <c r="B5091" t="str">
        <f>"76.7799"</f>
        <v>76.7799</v>
      </c>
      <c r="C5091">
        <v>5089</v>
      </c>
      <c r="D5091" s="7">
        <v>76.779899999999998</v>
      </c>
      <c r="E5091" s="7">
        <f t="shared" si="158"/>
        <v>390732.91109999997</v>
      </c>
      <c r="F5091" s="7">
        <f t="shared" si="159"/>
        <v>25897921</v>
      </c>
      <c r="G5091" s="7"/>
    </row>
    <row r="5092" spans="1:7" x14ac:dyDescent="0.35">
      <c r="A5092" t="str">
        <f>"2025-08-22"</f>
        <v>2025-08-22</v>
      </c>
      <c r="B5092" t="str">
        <f>"75.8616"</f>
        <v>75.8616</v>
      </c>
      <c r="C5092">
        <v>5090</v>
      </c>
      <c r="D5092" s="7">
        <v>75.861599999999996</v>
      </c>
      <c r="E5092" s="7">
        <f t="shared" si="158"/>
        <v>386135.54399999999</v>
      </c>
      <c r="F5092" s="7">
        <f t="shared" si="159"/>
        <v>25908100</v>
      </c>
      <c r="G5092" s="7"/>
    </row>
    <row r="5093" spans="1:7" x14ac:dyDescent="0.35">
      <c r="A5093" t="str">
        <f>"2025-08-25"</f>
        <v>2025-08-25</v>
      </c>
      <c r="B5093" t="str">
        <f>"76.1315"</f>
        <v>76.1315</v>
      </c>
      <c r="C5093">
        <v>5091</v>
      </c>
      <c r="D5093" s="7">
        <v>76.131500000000003</v>
      </c>
      <c r="E5093" s="7">
        <f t="shared" si="158"/>
        <v>387585.46650000004</v>
      </c>
      <c r="F5093" s="7">
        <f t="shared" si="159"/>
        <v>25918281</v>
      </c>
      <c r="G5093" s="7"/>
    </row>
    <row r="5094" spans="1:7" x14ac:dyDescent="0.35">
      <c r="A5094" t="str">
        <f>"2025-08-26"</f>
        <v>2025-08-26</v>
      </c>
      <c r="B5094" t="str">
        <f>"76.8944"</f>
        <v>76.8944</v>
      </c>
      <c r="C5094">
        <v>5092</v>
      </c>
      <c r="D5094" s="7">
        <v>76.894400000000005</v>
      </c>
      <c r="E5094" s="7">
        <f t="shared" si="158"/>
        <v>391546.28480000002</v>
      </c>
      <c r="F5094" s="7">
        <f t="shared" si="159"/>
        <v>25928464</v>
      </c>
      <c r="G5094" s="7"/>
    </row>
    <row r="5095" spans="1:7" x14ac:dyDescent="0.35">
      <c r="A5095" t="str">
        <f>"2025-08-27"</f>
        <v>2025-08-27</v>
      </c>
      <c r="B5095" t="str">
        <f>"75.4122"</f>
        <v>75.4122</v>
      </c>
      <c r="C5095">
        <v>5093</v>
      </c>
      <c r="D5095" s="7">
        <v>75.412199999999999</v>
      </c>
      <c r="E5095" s="7">
        <f t="shared" si="158"/>
        <v>384074.3346</v>
      </c>
      <c r="F5095" s="7">
        <f t="shared" si="159"/>
        <v>25938649</v>
      </c>
      <c r="G5095" s="7"/>
    </row>
    <row r="5096" spans="1:7" x14ac:dyDescent="0.35">
      <c r="A5096" t="str">
        <f>"2025-08-28"</f>
        <v>2025-08-28</v>
      </c>
      <c r="B5096" t="str">
        <f>"75.0642"</f>
        <v>75.0642</v>
      </c>
      <c r="C5096">
        <v>5094</v>
      </c>
      <c r="D5096" s="7">
        <v>75.0642</v>
      </c>
      <c r="E5096" s="7">
        <f t="shared" si="158"/>
        <v>382377.03480000002</v>
      </c>
      <c r="F5096" s="7">
        <f t="shared" si="159"/>
        <v>25948836</v>
      </c>
      <c r="G5096" s="7"/>
    </row>
    <row r="5097" spans="1:7" x14ac:dyDescent="0.35">
      <c r="A5097" t="str">
        <f>"2025-08-29"</f>
        <v>2025-08-29</v>
      </c>
      <c r="B5097" t="str">
        <f>"72.9109"</f>
        <v>72.9109</v>
      </c>
      <c r="C5097">
        <v>5095</v>
      </c>
      <c r="D5097" s="7">
        <v>72.910899999999998</v>
      </c>
      <c r="E5097" s="7">
        <f t="shared" si="158"/>
        <v>371481.0355</v>
      </c>
      <c r="F5097" s="7">
        <f t="shared" si="159"/>
        <v>25959025</v>
      </c>
      <c r="G5097" s="7"/>
    </row>
    <row r="5098" spans="1:7" x14ac:dyDescent="0.35">
      <c r="A5098" t="str">
        <f>"2025-09-02"</f>
        <v>2025-09-02</v>
      </c>
      <c r="B5098" t="str">
        <f>"69.7543"</f>
        <v>69.7543</v>
      </c>
      <c r="C5098">
        <v>5096</v>
      </c>
      <c r="D5098" s="7">
        <v>69.754300000000001</v>
      </c>
      <c r="E5098" s="7">
        <f t="shared" si="158"/>
        <v>355467.91279999999</v>
      </c>
      <c r="F5098" s="7">
        <f t="shared" si="159"/>
        <v>25969216</v>
      </c>
      <c r="G5098" s="7"/>
    </row>
    <row r="5099" spans="1:7" x14ac:dyDescent="0.35">
      <c r="A5099" t="str">
        <f>"2025-09-03"</f>
        <v>2025-09-03</v>
      </c>
      <c r="B5099" t="str">
        <f>"69.233"</f>
        <v>69.233</v>
      </c>
      <c r="C5099">
        <v>5097</v>
      </c>
      <c r="D5099" s="7">
        <v>69.233000000000004</v>
      </c>
      <c r="E5099" s="7">
        <f t="shared" si="158"/>
        <v>352880.60100000002</v>
      </c>
      <c r="F5099" s="7">
        <f t="shared" si="159"/>
        <v>25979409</v>
      </c>
      <c r="G5099" s="7"/>
    </row>
    <row r="5100" spans="1:7" x14ac:dyDescent="0.35">
      <c r="A5100" t="str">
        <f>"2025-09-04"</f>
        <v>2025-09-04</v>
      </c>
      <c r="B5100" t="str">
        <f>"68.3473"</f>
        <v>68.3473</v>
      </c>
      <c r="C5100">
        <v>5098</v>
      </c>
      <c r="D5100" s="7">
        <v>68.347300000000004</v>
      </c>
      <c r="E5100" s="7">
        <f t="shared" si="158"/>
        <v>348434.53539999999</v>
      </c>
      <c r="F5100" s="7">
        <f t="shared" si="159"/>
        <v>25989604</v>
      </c>
      <c r="G5100" s="7"/>
    </row>
    <row r="5101" spans="1:7" x14ac:dyDescent="0.35">
      <c r="A5101" t="str">
        <f>"2025-09-05"</f>
        <v>2025-09-05</v>
      </c>
      <c r="B5101" t="str">
        <f>"66.6792"</f>
        <v>66.6792</v>
      </c>
      <c r="C5101">
        <v>5099</v>
      </c>
      <c r="D5101" s="7">
        <v>66.679199999999994</v>
      </c>
      <c r="E5101" s="7">
        <f t="shared" si="158"/>
        <v>339997.24079999997</v>
      </c>
      <c r="F5101" s="7">
        <f t="shared" si="159"/>
        <v>25999801</v>
      </c>
      <c r="G5101" s="7"/>
    </row>
    <row r="5102" spans="1:7" x14ac:dyDescent="0.35">
      <c r="A5102" t="str">
        <f>"2025-09-08"</f>
        <v>2025-09-08</v>
      </c>
      <c r="B5102" t="str">
        <f>"64.0339"</f>
        <v>64.0339</v>
      </c>
      <c r="C5102">
        <v>5100</v>
      </c>
      <c r="D5102" s="7">
        <v>64.033900000000003</v>
      </c>
      <c r="E5102" s="7">
        <f t="shared" si="158"/>
        <v>326572.89</v>
      </c>
      <c r="F5102" s="7">
        <f t="shared" si="159"/>
        <v>26010000</v>
      </c>
      <c r="G5102" s="7"/>
    </row>
    <row r="5103" spans="1:7" x14ac:dyDescent="0.35">
      <c r="A5103" t="str">
        <f>"2025-09-09"</f>
        <v>2025-09-09</v>
      </c>
      <c r="B5103" t="str">
        <f>"65.5371"</f>
        <v>65.5371</v>
      </c>
      <c r="C5103">
        <v>5101</v>
      </c>
      <c r="D5103" s="7">
        <v>65.537099999999995</v>
      </c>
      <c r="E5103" s="7">
        <f t="shared" si="158"/>
        <v>334304.74709999998</v>
      </c>
      <c r="F5103" s="7">
        <f t="shared" si="159"/>
        <v>26020201</v>
      </c>
      <c r="G5103" s="7"/>
    </row>
    <row r="5104" spans="1:7" x14ac:dyDescent="0.35">
      <c r="A5104" t="str">
        <f>"2025-09-10"</f>
        <v>2025-09-10</v>
      </c>
      <c r="B5104" t="str">
        <f>"66.7279"</f>
        <v>66.7279</v>
      </c>
      <c r="C5104">
        <v>5102</v>
      </c>
      <c r="D5104" s="7">
        <v>66.727900000000005</v>
      </c>
      <c r="E5104" s="7">
        <f t="shared" si="158"/>
        <v>340445.74580000003</v>
      </c>
      <c r="F5104" s="7">
        <f t="shared" si="159"/>
        <v>26030404</v>
      </c>
      <c r="G5104" s="7"/>
    </row>
    <row r="5105" spans="1:7" x14ac:dyDescent="0.35">
      <c r="A5105" t="str">
        <f>"2025-09-11"</f>
        <v>2025-09-11</v>
      </c>
      <c r="B5105" t="str">
        <f>"65.4747"</f>
        <v>65.4747</v>
      </c>
      <c r="C5105">
        <v>5103</v>
      </c>
      <c r="D5105" s="7">
        <v>65.474699999999999</v>
      </c>
      <c r="E5105" s="7">
        <f t="shared" si="158"/>
        <v>334117.39409999998</v>
      </c>
      <c r="F5105" s="7">
        <f t="shared" si="159"/>
        <v>26040609</v>
      </c>
      <c r="G5105" s="7"/>
    </row>
    <row r="5106" spans="1:7" x14ac:dyDescent="0.35">
      <c r="A5106" t="str">
        <f>"2025-09-12"</f>
        <v>2025-09-12</v>
      </c>
      <c r="B5106" t="str">
        <f>"64.7318"</f>
        <v>64.7318</v>
      </c>
      <c r="C5106">
        <v>5104</v>
      </c>
      <c r="D5106" s="7">
        <v>64.731800000000007</v>
      </c>
      <c r="E5106" s="7">
        <f t="shared" si="158"/>
        <v>330391.10720000003</v>
      </c>
      <c r="F5106" s="7">
        <f t="shared" si="159"/>
        <v>26050816</v>
      </c>
      <c r="G5106" s="7"/>
    </row>
    <row r="5107" spans="1:7" x14ac:dyDescent="0.35">
      <c r="A5107" t="str">
        <f>"2025-09-15"</f>
        <v>2025-09-15</v>
      </c>
      <c r="B5107" t="str">
        <f>"67.8878"</f>
        <v>67.8878</v>
      </c>
      <c r="C5107">
        <v>5105</v>
      </c>
      <c r="D5107" s="7">
        <v>67.887799999999999</v>
      </c>
      <c r="E5107" s="7">
        <f t="shared" si="158"/>
        <v>346567.21899999998</v>
      </c>
      <c r="F5107" s="7">
        <f t="shared" si="159"/>
        <v>26061025</v>
      </c>
      <c r="G5107" s="7"/>
    </row>
    <row r="5108" spans="1:7" x14ac:dyDescent="0.35">
      <c r="A5108" t="str">
        <f>"2025-09-16"</f>
        <v>2025-09-16</v>
      </c>
      <c r="B5108" t="str">
        <f>"66.7466"</f>
        <v>66.7466</v>
      </c>
      <c r="C5108">
        <v>5106</v>
      </c>
      <c r="D5108" s="7">
        <v>66.746600000000001</v>
      </c>
      <c r="E5108" s="7">
        <f t="shared" si="158"/>
        <v>340808.13959999999</v>
      </c>
      <c r="F5108" s="7">
        <f t="shared" si="159"/>
        <v>26071236</v>
      </c>
      <c r="G5108" s="7"/>
    </row>
    <row r="5109" spans="1:7" x14ac:dyDescent="0.35">
      <c r="A5109" t="str">
        <f>"2025-09-17"</f>
        <v>2025-09-17</v>
      </c>
      <c r="B5109" t="str">
        <f>"65.7511"</f>
        <v>65.7511</v>
      </c>
      <c r="C5109">
        <v>5107</v>
      </c>
      <c r="D5109" s="7">
        <v>65.751099999999994</v>
      </c>
      <c r="E5109" s="7">
        <f t="shared" si="158"/>
        <v>335790.86769999994</v>
      </c>
      <c r="F5109" s="7">
        <f t="shared" si="159"/>
        <v>26081449</v>
      </c>
      <c r="G5109" s="7"/>
    </row>
    <row r="5110" spans="1:7" x14ac:dyDescent="0.35">
      <c r="A5110" t="str">
        <f>"2025-09-18"</f>
        <v>2025-09-18</v>
      </c>
      <c r="B5110" t="str">
        <f>"65.6736"</f>
        <v>65.6736</v>
      </c>
      <c r="C5110">
        <v>5108</v>
      </c>
      <c r="D5110" s="7">
        <v>65.673599999999993</v>
      </c>
      <c r="E5110" s="7">
        <f t="shared" si="158"/>
        <v>335460.74879999994</v>
      </c>
      <c r="F5110" s="7">
        <f t="shared" si="159"/>
        <v>26091664</v>
      </c>
      <c r="G5110" s="7"/>
    </row>
    <row r="5111" spans="1:7" x14ac:dyDescent="0.35">
      <c r="A5111" t="str">
        <f>"2025-09-19"</f>
        <v>2025-09-19</v>
      </c>
      <c r="B5111" t="str">
        <f>"65.4343"</f>
        <v>65.4343</v>
      </c>
      <c r="C5111">
        <v>5109</v>
      </c>
      <c r="D5111" s="7">
        <v>65.434299999999993</v>
      </c>
      <c r="E5111" s="7">
        <f t="shared" si="158"/>
        <v>334303.83869999996</v>
      </c>
      <c r="F5111" s="7">
        <f t="shared" si="159"/>
        <v>26101881</v>
      </c>
      <c r="G5111" s="7"/>
    </row>
    <row r="5112" spans="1:7" x14ac:dyDescent="0.35">
      <c r="A5112" t="str">
        <f>"2025-09-22"</f>
        <v>2025-09-22</v>
      </c>
      <c r="B5112" t="str">
        <f>"65.4622"</f>
        <v>65.4622</v>
      </c>
      <c r="C5112">
        <v>5110</v>
      </c>
      <c r="D5112" s="7">
        <v>65.462199999999996</v>
      </c>
      <c r="E5112" s="7">
        <f t="shared" si="158"/>
        <v>334511.842</v>
      </c>
      <c r="F5112" s="7">
        <f t="shared" si="159"/>
        <v>26112100</v>
      </c>
      <c r="G5112" s="7"/>
    </row>
    <row r="5113" spans="1:7" x14ac:dyDescent="0.35">
      <c r="A5113" t="str">
        <f>"2025-09-23"</f>
        <v>2025-09-23</v>
      </c>
      <c r="B5113" t="str">
        <f>"64.5479"</f>
        <v>64.5479</v>
      </c>
      <c r="C5113">
        <v>5111</v>
      </c>
      <c r="D5113" s="7">
        <v>64.547899999999998</v>
      </c>
      <c r="E5113" s="7">
        <f t="shared" si="158"/>
        <v>329904.31689999998</v>
      </c>
      <c r="F5113" s="7">
        <f t="shared" si="159"/>
        <v>26122321</v>
      </c>
      <c r="G5113" s="7"/>
    </row>
    <row r="5114" spans="1:7" x14ac:dyDescent="0.35">
      <c r="A5114" t="str">
        <f>"2025-09-24"</f>
        <v>2025-09-24</v>
      </c>
      <c r="B5114" t="str">
        <f>"65.1935"</f>
        <v>65.1935</v>
      </c>
      <c r="C5114">
        <v>5112</v>
      </c>
      <c r="D5114" s="7">
        <v>65.1935</v>
      </c>
      <c r="E5114" s="7">
        <f t="shared" si="158"/>
        <v>333269.17200000002</v>
      </c>
      <c r="F5114" s="7">
        <f t="shared" si="159"/>
        <v>26132544</v>
      </c>
      <c r="G5114" s="7"/>
    </row>
    <row r="5115" spans="1:7" x14ac:dyDescent="0.35">
      <c r="A5115" t="str">
        <f>"2025-09-25"</f>
        <v>2025-09-25</v>
      </c>
      <c r="B5115" t="str">
        <f>"65.8829"</f>
        <v>65.8829</v>
      </c>
      <c r="C5115">
        <v>5113</v>
      </c>
      <c r="D5115" s="7">
        <v>65.882900000000006</v>
      </c>
      <c r="E5115" s="7">
        <f t="shared" si="158"/>
        <v>336859.26770000003</v>
      </c>
      <c r="F5115" s="7">
        <f t="shared" si="159"/>
        <v>26142769</v>
      </c>
      <c r="G5115" s="7"/>
    </row>
    <row r="5116" spans="1:7" x14ac:dyDescent="0.35">
      <c r="A5116" t="str">
        <f>"2025-09-26"</f>
        <v>2025-09-26</v>
      </c>
      <c r="B5116" t="str">
        <f>"63.3798"</f>
        <v>63.3798</v>
      </c>
      <c r="C5116">
        <v>5114</v>
      </c>
      <c r="D5116" s="7">
        <v>63.379800000000003</v>
      </c>
      <c r="E5116" s="7">
        <f t="shared" si="158"/>
        <v>324124.29720000003</v>
      </c>
      <c r="F5116" s="7">
        <f t="shared" si="159"/>
        <v>26152996</v>
      </c>
      <c r="G5116" s="7"/>
    </row>
    <row r="5117" spans="1:7" x14ac:dyDescent="0.35">
      <c r="A5117" t="str">
        <f>"2025-09-29"</f>
        <v>2025-09-29</v>
      </c>
      <c r="B5117" t="str">
        <f>"62.5299"</f>
        <v>62.5299</v>
      </c>
      <c r="C5117">
        <v>5115</v>
      </c>
      <c r="D5117" s="7">
        <v>62.529899999999998</v>
      </c>
      <c r="E5117" s="7">
        <f t="shared" si="158"/>
        <v>319840.43849999999</v>
      </c>
      <c r="F5117" s="7">
        <f t="shared" si="159"/>
        <v>26163225</v>
      </c>
      <c r="G5117" s="7"/>
    </row>
    <row r="5118" spans="1:7" x14ac:dyDescent="0.35">
      <c r="A5118" t="str">
        <f>"2025-09-30"</f>
        <v>2025-09-30</v>
      </c>
      <c r="B5118" t="str">
        <f>"61.3549"</f>
        <v>61.3549</v>
      </c>
      <c r="C5118">
        <v>5116</v>
      </c>
      <c r="D5118" s="7">
        <v>61.354900000000001</v>
      </c>
      <c r="E5118" s="7">
        <f t="shared" si="158"/>
        <v>313891.66840000002</v>
      </c>
      <c r="F5118" s="7">
        <f t="shared" si="159"/>
        <v>26173456</v>
      </c>
      <c r="G5118" s="7"/>
    </row>
    <row r="5119" spans="1:7" x14ac:dyDescent="0.35">
      <c r="A5119" t="str">
        <f>"2025-10-01"</f>
        <v>2025-10-01</v>
      </c>
      <c r="B5119" t="str">
        <f>"61.0674"</f>
        <v>61.0674</v>
      </c>
      <c r="C5119">
        <v>5117</v>
      </c>
      <c r="D5119" s="7">
        <v>61.067399999999999</v>
      </c>
      <c r="E5119" s="7">
        <f t="shared" si="158"/>
        <v>312481.88579999999</v>
      </c>
      <c r="F5119" s="7">
        <f t="shared" si="159"/>
        <v>26183689</v>
      </c>
      <c r="G5119" s="7"/>
    </row>
    <row r="5120" spans="1:7" x14ac:dyDescent="0.35">
      <c r="A5120" t="str">
        <f>"2025-10-02"</f>
        <v>2025-10-02</v>
      </c>
      <c r="B5120" t="str">
        <f>"61.3466"</f>
        <v>61.3466</v>
      </c>
      <c r="C5120">
        <v>5118</v>
      </c>
      <c r="D5120" s="7">
        <v>61.346600000000002</v>
      </c>
      <c r="E5120" s="7">
        <f t="shared" si="158"/>
        <v>313971.89880000002</v>
      </c>
      <c r="F5120" s="7">
        <f t="shared" si="159"/>
        <v>26193924</v>
      </c>
      <c r="G5120" s="7"/>
    </row>
    <row r="5121" spans="1:7" x14ac:dyDescent="0.35">
      <c r="A5121" t="str">
        <f>"2025-10-03"</f>
        <v>2025-10-03</v>
      </c>
      <c r="B5121" t="str">
        <f>"59.8575"</f>
        <v>59.8575</v>
      </c>
      <c r="C5121">
        <v>5119</v>
      </c>
      <c r="D5121" s="7">
        <v>59.857500000000002</v>
      </c>
      <c r="E5121" s="7">
        <f t="shared" si="158"/>
        <v>306410.54249999998</v>
      </c>
      <c r="F5121" s="7">
        <f t="shared" si="159"/>
        <v>26204161</v>
      </c>
      <c r="G5121" s="7"/>
    </row>
    <row r="5122" spans="1:7" x14ac:dyDescent="0.35">
      <c r="A5122" t="str">
        <f>"2025-10-06"</f>
        <v>2025-10-06</v>
      </c>
      <c r="B5122" t="str">
        <f>"57.7264"</f>
        <v>57.7264</v>
      </c>
      <c r="C5122">
        <v>5120</v>
      </c>
      <c r="D5122" s="7">
        <v>57.726399999999998</v>
      </c>
      <c r="E5122" s="7">
        <f t="shared" si="158"/>
        <v>295559.16800000001</v>
      </c>
      <c r="F5122" s="7">
        <f t="shared" si="159"/>
        <v>26214400</v>
      </c>
      <c r="G5122" s="7"/>
    </row>
    <row r="5123" spans="1:7" x14ac:dyDescent="0.35">
      <c r="A5123" t="str">
        <f>"2025-10-07"</f>
        <v>2025-10-07</v>
      </c>
      <c r="B5123" t="str">
        <f>"58.8444"</f>
        <v>58.8444</v>
      </c>
      <c r="C5123">
        <v>5121</v>
      </c>
      <c r="D5123" s="7">
        <v>58.8444</v>
      </c>
      <c r="E5123" s="7">
        <f t="shared" si="158"/>
        <v>301342.17239999998</v>
      </c>
      <c r="F5123" s="7">
        <f t="shared" si="159"/>
        <v>26224641</v>
      </c>
      <c r="G5123" s="7"/>
    </row>
    <row r="5124" spans="1:7" x14ac:dyDescent="0.35">
      <c r="A5124" t="str">
        <f>"2025-10-08"</f>
        <v>2025-10-08</v>
      </c>
      <c r="B5124" t="str">
        <f>"57.2095"</f>
        <v>57.2095</v>
      </c>
      <c r="C5124">
        <v>5122</v>
      </c>
      <c r="D5124" s="7">
        <v>57.209499999999998</v>
      </c>
      <c r="E5124" s="7">
        <f t="shared" ref="E5124:E5187" si="160">C5124*D5124</f>
        <v>293027.05900000001</v>
      </c>
      <c r="F5124" s="7">
        <f t="shared" ref="F5124:F5187" si="161">C5124*C5124</f>
        <v>26234884</v>
      </c>
      <c r="G5124" s="7"/>
    </row>
    <row r="5125" spans="1:7" x14ac:dyDescent="0.35">
      <c r="A5125" t="str">
        <f>"2025-10-09"</f>
        <v>2025-10-09</v>
      </c>
      <c r="B5125" t="str">
        <f>"59.0218"</f>
        <v>59.0218</v>
      </c>
      <c r="C5125">
        <v>5123</v>
      </c>
      <c r="D5125" s="7">
        <v>59.021799999999999</v>
      </c>
      <c r="E5125" s="7">
        <f t="shared" si="160"/>
        <v>302368.6814</v>
      </c>
      <c r="F5125" s="7">
        <f t="shared" si="161"/>
        <v>26245129</v>
      </c>
      <c r="G5125" s="7"/>
    </row>
    <row r="5126" spans="1:7" x14ac:dyDescent="0.35">
      <c r="A5126" t="str">
        <f>"2025-10-10"</f>
        <v>2025-10-10</v>
      </c>
      <c r="B5126" t="str">
        <f>"58.6878"</f>
        <v>58.6878</v>
      </c>
      <c r="C5126">
        <v>5124</v>
      </c>
      <c r="D5126" s="7">
        <v>58.687800000000003</v>
      </c>
      <c r="E5126" s="7">
        <f t="shared" si="160"/>
        <v>300716.28720000002</v>
      </c>
      <c r="F5126" s="7">
        <f t="shared" si="161"/>
        <v>26255376</v>
      </c>
      <c r="G5126" s="7"/>
    </row>
    <row r="5127" spans="1:7" x14ac:dyDescent="0.35">
      <c r="A5127" t="str">
        <f>"2025-10-13"</f>
        <v>2025-10-13</v>
      </c>
      <c r="B5127" t="str">
        <f>"55.9452"</f>
        <v>55.9452</v>
      </c>
      <c r="C5127">
        <v>5125</v>
      </c>
      <c r="D5127" s="7">
        <v>55.9452</v>
      </c>
      <c r="E5127" s="7">
        <f t="shared" si="160"/>
        <v>286719.15000000002</v>
      </c>
      <c r="F5127" s="7">
        <f t="shared" si="161"/>
        <v>26265625</v>
      </c>
      <c r="G5127" s="7"/>
    </row>
    <row r="5128" spans="1:7" x14ac:dyDescent="0.35">
      <c r="A5128" t="str">
        <f>"2025-10-14"</f>
        <v>2025-10-14</v>
      </c>
      <c r="B5128" t="str">
        <f>"54.281"</f>
        <v>54.281</v>
      </c>
      <c r="C5128">
        <v>5126</v>
      </c>
      <c r="D5128" s="7">
        <v>54.280999999999999</v>
      </c>
      <c r="E5128" s="7">
        <f t="shared" si="160"/>
        <v>278244.40600000002</v>
      </c>
      <c r="F5128" s="7">
        <f t="shared" si="161"/>
        <v>26275876</v>
      </c>
      <c r="G5128" s="7"/>
    </row>
    <row r="5129" spans="1:7" x14ac:dyDescent="0.35">
      <c r="A5129" t="str">
        <f>"2025-10-15"</f>
        <v>2025-10-15</v>
      </c>
      <c r="B5129" t="str">
        <f>"53.5532"</f>
        <v>53.5532</v>
      </c>
      <c r="C5129">
        <v>5127</v>
      </c>
      <c r="D5129" s="7">
        <v>53.553199999999997</v>
      </c>
      <c r="E5129" s="7">
        <f t="shared" si="160"/>
        <v>274567.25639999995</v>
      </c>
      <c r="F5129" s="7">
        <f t="shared" si="161"/>
        <v>26286129</v>
      </c>
      <c r="G5129" s="7"/>
    </row>
    <row r="5130" spans="1:7" x14ac:dyDescent="0.35">
      <c r="A5130" t="str">
        <f>"2025-10-16"</f>
        <v>2025-10-16</v>
      </c>
      <c r="B5130" t="str">
        <f>"51.396"</f>
        <v>51.396</v>
      </c>
      <c r="C5130">
        <v>5128</v>
      </c>
      <c r="D5130" s="7">
        <v>51.396000000000001</v>
      </c>
      <c r="E5130" s="7">
        <f t="shared" si="160"/>
        <v>263558.68800000002</v>
      </c>
      <c r="F5130" s="7">
        <f t="shared" si="161"/>
        <v>26296384</v>
      </c>
      <c r="G5130" s="7"/>
    </row>
    <row r="5131" spans="1:7" x14ac:dyDescent="0.35">
      <c r="A5131" t="str">
        <f>"2025-10-17"</f>
        <v>2025-10-17</v>
      </c>
      <c r="B5131" t="str">
        <f>"51.7384"</f>
        <v>51.7384</v>
      </c>
      <c r="C5131">
        <v>5129</v>
      </c>
      <c r="D5131" s="7">
        <v>51.738399999999999</v>
      </c>
      <c r="E5131" s="7">
        <f t="shared" si="160"/>
        <v>265366.2536</v>
      </c>
      <c r="F5131" s="7">
        <f t="shared" si="161"/>
        <v>26306641</v>
      </c>
      <c r="G5131" s="7"/>
    </row>
    <row r="5132" spans="1:7" x14ac:dyDescent="0.35">
      <c r="A5132" t="str">
        <f>"2025-10-20"</f>
        <v>2025-10-20</v>
      </c>
      <c r="B5132" t="str">
        <f>"50.9334"</f>
        <v>50.9334</v>
      </c>
      <c r="C5132">
        <v>5130</v>
      </c>
      <c r="D5132" s="7">
        <v>50.933399999999999</v>
      </c>
      <c r="E5132" s="7">
        <f t="shared" si="160"/>
        <v>261288.342</v>
      </c>
      <c r="F5132" s="7">
        <f t="shared" si="161"/>
        <v>26316900</v>
      </c>
      <c r="G5132" s="7"/>
    </row>
    <row r="5133" spans="1:7" x14ac:dyDescent="0.35">
      <c r="A5133" t="str">
        <f>"2025-10-21"</f>
        <v>2025-10-21</v>
      </c>
      <c r="B5133" t="str">
        <f>"53.4444"</f>
        <v>53.4444</v>
      </c>
      <c r="C5133">
        <v>5131</v>
      </c>
      <c r="D5133" s="7">
        <v>53.444400000000002</v>
      </c>
      <c r="E5133" s="7">
        <f t="shared" si="160"/>
        <v>274223.21640000003</v>
      </c>
      <c r="F5133" s="7">
        <f t="shared" si="161"/>
        <v>26327161</v>
      </c>
      <c r="G5133" s="7"/>
    </row>
    <row r="5134" spans="1:7" x14ac:dyDescent="0.35">
      <c r="A5134" t="str">
        <f>"2025-10-22"</f>
        <v>2025-10-22</v>
      </c>
      <c r="B5134" t="str">
        <f>"52.7749"</f>
        <v>52.7749</v>
      </c>
      <c r="C5134">
        <v>5132</v>
      </c>
      <c r="D5134" s="7">
        <v>52.774900000000002</v>
      </c>
      <c r="E5134" s="7">
        <f t="shared" si="160"/>
        <v>270840.7868</v>
      </c>
      <c r="F5134" s="7">
        <f t="shared" si="161"/>
        <v>26337424</v>
      </c>
      <c r="G5134" s="7"/>
    </row>
    <row r="5135" spans="1:7" x14ac:dyDescent="0.35">
      <c r="A5135" t="str">
        <f>"2025-10-23"</f>
        <v>2025-10-23</v>
      </c>
      <c r="B5135" t="str">
        <f>"51.0538"</f>
        <v>51.0538</v>
      </c>
      <c r="C5135">
        <v>5133</v>
      </c>
      <c r="D5135" s="7">
        <v>51.053800000000003</v>
      </c>
      <c r="E5135" s="7">
        <f t="shared" si="160"/>
        <v>262059.15540000002</v>
      </c>
      <c r="F5135" s="7">
        <f t="shared" si="161"/>
        <v>26347689</v>
      </c>
      <c r="G5135" s="7"/>
    </row>
    <row r="5136" spans="1:7" x14ac:dyDescent="0.35">
      <c r="A5136" t="str">
        <f>"2025-10-24"</f>
        <v>2025-10-24</v>
      </c>
      <c r="B5136" t="str">
        <f>"53.3662"</f>
        <v>53.3662</v>
      </c>
      <c r="C5136">
        <v>5134</v>
      </c>
      <c r="D5136" s="7">
        <v>53.366199999999999</v>
      </c>
      <c r="E5136" s="7">
        <f t="shared" si="160"/>
        <v>273982.07079999999</v>
      </c>
      <c r="F5136" s="7">
        <f t="shared" si="161"/>
        <v>26357956</v>
      </c>
      <c r="G5136" s="7"/>
    </row>
    <row r="5137" spans="1:7" x14ac:dyDescent="0.35">
      <c r="A5137" t="str">
        <f>"2025-10-27"</f>
        <v>2025-10-27</v>
      </c>
      <c r="B5137" t="str">
        <f>"54.6005"</f>
        <v>54.6005</v>
      </c>
      <c r="C5137">
        <v>5135</v>
      </c>
      <c r="D5137" s="7">
        <v>54.600499999999997</v>
      </c>
      <c r="E5137" s="7">
        <f t="shared" si="160"/>
        <v>280373.5675</v>
      </c>
      <c r="F5137" s="7">
        <f t="shared" si="161"/>
        <v>26368225</v>
      </c>
      <c r="G5137" s="7"/>
    </row>
    <row r="5138" spans="1:7" x14ac:dyDescent="0.35">
      <c r="A5138" t="str">
        <f>"2025-10-28"</f>
        <v>2025-10-28</v>
      </c>
      <c r="B5138" t="str">
        <f>"54.5743"</f>
        <v>54.5743</v>
      </c>
      <c r="C5138">
        <v>5136</v>
      </c>
      <c r="D5138" s="7">
        <v>54.574300000000001</v>
      </c>
      <c r="E5138" s="7">
        <f t="shared" si="160"/>
        <v>280293.60480000003</v>
      </c>
      <c r="F5138" s="7">
        <f t="shared" si="161"/>
        <v>26378496</v>
      </c>
      <c r="G5138" s="7"/>
    </row>
    <row r="5139" spans="1:7" x14ac:dyDescent="0.35">
      <c r="A5139" t="str">
        <f>"2025-10-30"</f>
        <v>2025-10-30</v>
      </c>
      <c r="B5139" t="str">
        <f>"53.8043"</f>
        <v>53.8043</v>
      </c>
      <c r="C5139">
        <v>5137</v>
      </c>
      <c r="D5139" s="7">
        <v>53.804299999999998</v>
      </c>
      <c r="E5139" s="7">
        <f t="shared" si="160"/>
        <v>276392.68909999996</v>
      </c>
      <c r="F5139" s="7">
        <f t="shared" si="161"/>
        <v>26388769</v>
      </c>
      <c r="G5139" s="7"/>
    </row>
    <row r="5140" spans="1:7" x14ac:dyDescent="0.35">
      <c r="A5140" t="str">
        <f>"2025-10-31"</f>
        <v>2025-10-31</v>
      </c>
      <c r="B5140" t="str">
        <f>"54.1749"</f>
        <v>54.1749</v>
      </c>
      <c r="C5140">
        <v>5138</v>
      </c>
      <c r="D5140" s="7">
        <v>54.174900000000001</v>
      </c>
      <c r="E5140" s="7">
        <f t="shared" si="160"/>
        <v>278350.63620000001</v>
      </c>
      <c r="F5140" s="7">
        <f t="shared" si="161"/>
        <v>26399044</v>
      </c>
      <c r="G5140" s="7"/>
    </row>
    <row r="5141" spans="1:7" x14ac:dyDescent="0.35">
      <c r="A5141" t="str">
        <f>"2025-11-03"</f>
        <v>2025-11-03</v>
      </c>
      <c r="B5141" t="str">
        <f>"54.3757"</f>
        <v>54.3757</v>
      </c>
      <c r="C5141">
        <v>5139</v>
      </c>
      <c r="D5141" s="7">
        <v>54.375700000000002</v>
      </c>
      <c r="E5141" s="7">
        <f t="shared" si="160"/>
        <v>279436.72230000002</v>
      </c>
      <c r="F5141" s="7">
        <f t="shared" si="161"/>
        <v>26409321</v>
      </c>
      <c r="G5141" s="7"/>
    </row>
    <row r="5142" spans="1:7" x14ac:dyDescent="0.35">
      <c r="A5142" t="str">
        <f>"2025-11-04"</f>
        <v>2025-11-04</v>
      </c>
      <c r="B5142" t="str">
        <f>"54.1247"</f>
        <v>54.1247</v>
      </c>
      <c r="C5142">
        <v>5140</v>
      </c>
      <c r="D5142" s="7">
        <v>54.124699999999997</v>
      </c>
      <c r="E5142" s="7">
        <f t="shared" si="160"/>
        <v>278200.95799999998</v>
      </c>
      <c r="F5142" s="7">
        <f t="shared" si="161"/>
        <v>26419600</v>
      </c>
      <c r="G5142" s="7"/>
    </row>
    <row r="5143" spans="1:7" x14ac:dyDescent="0.35">
      <c r="A5143" t="str">
        <f>"2025-11-05"</f>
        <v>2025-11-05</v>
      </c>
      <c r="B5143" t="str">
        <f>"53.864"</f>
        <v>53.864</v>
      </c>
      <c r="C5143">
        <v>5141</v>
      </c>
      <c r="D5143" s="7">
        <v>53.863999999999997</v>
      </c>
      <c r="E5143" s="7">
        <f t="shared" si="160"/>
        <v>276914.82399999996</v>
      </c>
      <c r="F5143" s="7">
        <f t="shared" si="161"/>
        <v>26429881</v>
      </c>
      <c r="G5143" s="7"/>
    </row>
    <row r="5144" spans="1:7" x14ac:dyDescent="0.35">
      <c r="A5144" t="str">
        <f>"2025-11-06"</f>
        <v>2025-11-06</v>
      </c>
      <c r="B5144" t="str">
        <f>"54.2832"</f>
        <v>54.2832</v>
      </c>
      <c r="C5144">
        <v>5142</v>
      </c>
      <c r="D5144" s="7">
        <v>54.283200000000001</v>
      </c>
      <c r="E5144" s="7">
        <f t="shared" si="160"/>
        <v>279124.2144</v>
      </c>
      <c r="F5144" s="7">
        <f t="shared" si="161"/>
        <v>26440164</v>
      </c>
      <c r="G5144" s="7"/>
    </row>
    <row r="5145" spans="1:7" x14ac:dyDescent="0.35">
      <c r="A5145" t="str">
        <f>"2025-11-07"</f>
        <v>2025-11-07</v>
      </c>
      <c r="B5145" t="str">
        <f>"53.3966"</f>
        <v>53.3966</v>
      </c>
      <c r="C5145">
        <v>5143</v>
      </c>
      <c r="D5145" s="7">
        <v>53.396599999999999</v>
      </c>
      <c r="E5145" s="7">
        <f t="shared" si="160"/>
        <v>274618.71379999997</v>
      </c>
      <c r="F5145" s="7">
        <f t="shared" si="161"/>
        <v>26450449</v>
      </c>
      <c r="G5145" s="7"/>
    </row>
    <row r="5146" spans="1:7" x14ac:dyDescent="0.35">
      <c r="A5146" t="str">
        <f>"2025-11-10"</f>
        <v>2025-11-10</v>
      </c>
      <c r="B5146" t="str">
        <f>"49.8412"</f>
        <v>49.8412</v>
      </c>
      <c r="C5146">
        <v>5144</v>
      </c>
      <c r="D5146" s="7">
        <v>49.841200000000001</v>
      </c>
      <c r="E5146" s="7">
        <f t="shared" si="160"/>
        <v>256383.13279999999</v>
      </c>
      <c r="F5146" s="7">
        <f t="shared" si="161"/>
        <v>26460736</v>
      </c>
      <c r="G5146" s="7"/>
    </row>
    <row r="5147" spans="1:7" x14ac:dyDescent="0.35">
      <c r="A5147" t="str">
        <f>"2025-11-11"</f>
        <v>2025-11-11</v>
      </c>
      <c r="B5147" t="str">
        <f>"48.9559"</f>
        <v>48.9559</v>
      </c>
      <c r="C5147">
        <v>5145</v>
      </c>
      <c r="D5147" s="7">
        <v>48.9559</v>
      </c>
      <c r="E5147" s="7">
        <f t="shared" si="160"/>
        <v>251878.10550000001</v>
      </c>
      <c r="F5147" s="7">
        <f t="shared" si="161"/>
        <v>26471025</v>
      </c>
      <c r="G5147" s="7"/>
    </row>
    <row r="5148" spans="1:7" x14ac:dyDescent="0.35">
      <c r="A5148" t="str">
        <f>"2025-11-12"</f>
        <v>2025-11-12</v>
      </c>
      <c r="B5148" t="str">
        <f>"46.9394"</f>
        <v>46.9394</v>
      </c>
      <c r="C5148">
        <v>5146</v>
      </c>
      <c r="D5148" s="7">
        <v>46.939399999999999</v>
      </c>
      <c r="E5148" s="7">
        <f t="shared" si="160"/>
        <v>241550.15239999999</v>
      </c>
      <c r="F5148" s="7">
        <f t="shared" si="161"/>
        <v>26481316</v>
      </c>
      <c r="G5148" s="7"/>
    </row>
    <row r="5149" spans="1:7" x14ac:dyDescent="0.35">
      <c r="A5149" t="str">
        <f>"2025-11-13"</f>
        <v>2025-11-13</v>
      </c>
      <c r="B5149" t="str">
        <f>"47.6514"</f>
        <v>47.6514</v>
      </c>
      <c r="C5149">
        <v>5147</v>
      </c>
      <c r="D5149" s="7">
        <v>47.651400000000002</v>
      </c>
      <c r="E5149" s="7">
        <f t="shared" si="160"/>
        <v>245261.75580000001</v>
      </c>
      <c r="F5149" s="7">
        <f t="shared" si="161"/>
        <v>26491609</v>
      </c>
      <c r="G5149" s="7"/>
    </row>
    <row r="5150" spans="1:7" x14ac:dyDescent="0.35">
      <c r="A5150" t="str">
        <f>"2025-11-14"</f>
        <v>2025-11-14</v>
      </c>
      <c r="B5150" t="str">
        <f>"48.4066"</f>
        <v>48.4066</v>
      </c>
      <c r="C5150">
        <v>5148</v>
      </c>
      <c r="D5150" s="7">
        <v>48.406599999999997</v>
      </c>
      <c r="E5150" s="7">
        <f t="shared" si="160"/>
        <v>249197.17679999999</v>
      </c>
      <c r="F5150" s="7">
        <f t="shared" si="161"/>
        <v>26501904</v>
      </c>
      <c r="G5150" s="7"/>
    </row>
    <row r="5151" spans="1:7" x14ac:dyDescent="0.35">
      <c r="A5151" t="str">
        <f>"2025-11-17"</f>
        <v>2025-11-17</v>
      </c>
      <c r="B5151" t="str">
        <f>"48.5151"</f>
        <v>48.5151</v>
      </c>
      <c r="C5151">
        <v>5149</v>
      </c>
      <c r="D5151" s="7">
        <v>48.515099999999997</v>
      </c>
      <c r="E5151" s="7">
        <f t="shared" si="160"/>
        <v>249804.2499</v>
      </c>
      <c r="F5151" s="7">
        <f t="shared" si="161"/>
        <v>26512201</v>
      </c>
      <c r="G5151" s="7"/>
    </row>
    <row r="5152" spans="1:7" x14ac:dyDescent="0.35">
      <c r="A5152" t="str">
        <f>"2025-11-18"</f>
        <v>2025-11-18</v>
      </c>
      <c r="B5152" t="str">
        <f>"48.4102"</f>
        <v>48.4102</v>
      </c>
      <c r="C5152">
        <v>5150</v>
      </c>
      <c r="D5152" s="7">
        <v>48.410200000000003</v>
      </c>
      <c r="E5152" s="7">
        <f t="shared" si="160"/>
        <v>249312.53000000003</v>
      </c>
      <c r="F5152" s="7">
        <f t="shared" si="161"/>
        <v>26522500</v>
      </c>
      <c r="G5152" s="7"/>
    </row>
    <row r="5153" spans="1:7" x14ac:dyDescent="0.35">
      <c r="A5153" t="str">
        <f>"2025-11-19"</f>
        <v>2025-11-19</v>
      </c>
      <c r="B5153" t="str">
        <f>"50.0081"</f>
        <v>50.0081</v>
      </c>
      <c r="C5153">
        <v>5151</v>
      </c>
      <c r="D5153" s="7">
        <v>50.008099999999999</v>
      </c>
      <c r="E5153" s="7">
        <f t="shared" si="160"/>
        <v>257591.7231</v>
      </c>
      <c r="F5153" s="7">
        <f t="shared" si="161"/>
        <v>26532801</v>
      </c>
      <c r="G5153" s="7"/>
    </row>
    <row r="5154" spans="1:7" x14ac:dyDescent="0.35">
      <c r="A5154" t="str">
        <f>"2025-11-20"</f>
        <v>2025-11-20</v>
      </c>
      <c r="B5154" t="str">
        <f>"50.0241"</f>
        <v>50.0241</v>
      </c>
      <c r="C5154">
        <v>5152</v>
      </c>
      <c r="D5154" s="7">
        <v>50.024099999999997</v>
      </c>
      <c r="E5154" s="7">
        <f t="shared" si="160"/>
        <v>257724.16319999998</v>
      </c>
      <c r="F5154" s="7">
        <f t="shared" si="161"/>
        <v>26543104</v>
      </c>
      <c r="G5154" s="7"/>
    </row>
    <row r="5155" spans="1:7" x14ac:dyDescent="0.35">
      <c r="A5155" t="str">
        <f>"2025-11-21"</f>
        <v>2025-11-21</v>
      </c>
      <c r="B5155" t="str">
        <f>"49.0796"</f>
        <v>49.0796</v>
      </c>
      <c r="C5155">
        <v>5153</v>
      </c>
      <c r="D5155" s="7">
        <v>49.079599999999999</v>
      </c>
      <c r="E5155" s="7">
        <f t="shared" si="160"/>
        <v>252907.17879999999</v>
      </c>
      <c r="F5155" s="7">
        <f t="shared" si="161"/>
        <v>26553409</v>
      </c>
      <c r="G5155" s="7"/>
    </row>
    <row r="5156" spans="1:7" x14ac:dyDescent="0.35">
      <c r="A5156" t="str">
        <f>"2025-11-24"</f>
        <v>2025-11-24</v>
      </c>
      <c r="B5156" t="str">
        <f>"48.4538"</f>
        <v>48.4538</v>
      </c>
      <c r="C5156">
        <v>5154</v>
      </c>
      <c r="D5156" s="7">
        <v>48.453800000000001</v>
      </c>
      <c r="E5156" s="7">
        <f t="shared" si="160"/>
        <v>249730.88520000002</v>
      </c>
      <c r="F5156" s="7">
        <f t="shared" si="161"/>
        <v>26563716</v>
      </c>
      <c r="G5156" s="7"/>
    </row>
    <row r="5157" spans="1:7" x14ac:dyDescent="0.35">
      <c r="A5157" t="str">
        <f>"2025-11-25"</f>
        <v>2025-11-25</v>
      </c>
      <c r="B5157" t="str">
        <f>"48.3785"</f>
        <v>48.3785</v>
      </c>
      <c r="C5157">
        <v>5155</v>
      </c>
      <c r="D5157" s="7">
        <v>48.378500000000003</v>
      </c>
      <c r="E5157" s="7">
        <f t="shared" si="160"/>
        <v>249391.16750000001</v>
      </c>
      <c r="F5157" s="7">
        <f t="shared" si="161"/>
        <v>26574025</v>
      </c>
      <c r="G5157" s="7"/>
    </row>
    <row r="5158" spans="1:7" x14ac:dyDescent="0.35">
      <c r="A5158" t="str">
        <f>"2025-11-26"</f>
        <v>2025-11-26</v>
      </c>
      <c r="B5158" t="str">
        <f>"48.23"</f>
        <v>48.23</v>
      </c>
      <c r="C5158">
        <v>5156</v>
      </c>
      <c r="D5158" s="7">
        <v>48.23</v>
      </c>
      <c r="E5158" s="7">
        <f t="shared" si="160"/>
        <v>248673.87999999998</v>
      </c>
      <c r="F5158" s="7">
        <f t="shared" si="161"/>
        <v>26584336</v>
      </c>
      <c r="G5158" s="7"/>
    </row>
    <row r="5159" spans="1:7" x14ac:dyDescent="0.35">
      <c r="A5159" t="str">
        <f>"2025-11-28"</f>
        <v>2025-11-28</v>
      </c>
      <c r="B5159" t="str">
        <f>"47.3369"</f>
        <v>47.3369</v>
      </c>
      <c r="C5159">
        <v>5157</v>
      </c>
      <c r="D5159" s="7">
        <v>47.3369</v>
      </c>
      <c r="E5159" s="7">
        <f t="shared" si="160"/>
        <v>244116.3933</v>
      </c>
      <c r="F5159" s="7">
        <f t="shared" si="161"/>
        <v>26594649</v>
      </c>
      <c r="G5159" s="7"/>
    </row>
    <row r="5160" spans="1:7" x14ac:dyDescent="0.35">
      <c r="A5160" t="str">
        <f>"2025-12-01"</f>
        <v>2025-12-01</v>
      </c>
      <c r="B5160" t="str">
        <f>"47.7676"</f>
        <v>47.7676</v>
      </c>
      <c r="C5160">
        <v>5158</v>
      </c>
      <c r="D5160" s="7">
        <v>47.767600000000002</v>
      </c>
      <c r="E5160" s="7">
        <f t="shared" si="160"/>
        <v>246385.28080000001</v>
      </c>
      <c r="F5160" s="7">
        <f t="shared" si="161"/>
        <v>26604964</v>
      </c>
      <c r="G5160" s="7"/>
    </row>
    <row r="5161" spans="1:7" x14ac:dyDescent="0.35">
      <c r="A5161" t="str">
        <f>"2025-12-02"</f>
        <v>2025-12-02</v>
      </c>
      <c r="B5161" t="str">
        <f>"48.8654"</f>
        <v>48.8654</v>
      </c>
      <c r="C5161">
        <v>5159</v>
      </c>
      <c r="D5161" s="7">
        <v>48.865400000000001</v>
      </c>
      <c r="E5161" s="7">
        <f t="shared" si="160"/>
        <v>252096.5986</v>
      </c>
      <c r="F5161" s="7">
        <f t="shared" si="161"/>
        <v>26615281</v>
      </c>
      <c r="G5161" s="7"/>
    </row>
    <row r="5162" spans="1:7" x14ac:dyDescent="0.35">
      <c r="A5162" t="str">
        <f>"2025-12-03"</f>
        <v>2025-12-03</v>
      </c>
      <c r="B5162" t="str">
        <f>"48.0677"</f>
        <v>48.0677</v>
      </c>
      <c r="C5162">
        <v>5160</v>
      </c>
      <c r="D5162" s="7">
        <v>48.067700000000002</v>
      </c>
      <c r="E5162" s="7">
        <f t="shared" si="160"/>
        <v>248029.33200000002</v>
      </c>
      <c r="F5162" s="7">
        <f t="shared" si="161"/>
        <v>26625600</v>
      </c>
      <c r="G5162" s="7"/>
    </row>
    <row r="5163" spans="1:7" x14ac:dyDescent="0.35">
      <c r="A5163" t="str">
        <f>"2025-12-04"</f>
        <v>2025-12-04</v>
      </c>
      <c r="B5163" t="str">
        <f>"46.9741"</f>
        <v>46.9741</v>
      </c>
      <c r="C5163">
        <v>5161</v>
      </c>
      <c r="D5163" s="7">
        <v>46.9741</v>
      </c>
      <c r="E5163" s="7">
        <f t="shared" si="160"/>
        <v>242433.33009999999</v>
      </c>
      <c r="F5163" s="7">
        <f t="shared" si="161"/>
        <v>26635921</v>
      </c>
      <c r="G5163" s="7"/>
    </row>
    <row r="5164" spans="1:7" x14ac:dyDescent="0.35">
      <c r="A5164" t="str">
        <f>"2025-12-05"</f>
        <v>2025-12-05</v>
      </c>
      <c r="B5164" t="str">
        <f>"46.9466"</f>
        <v>46.9466</v>
      </c>
      <c r="C5164">
        <v>5162</v>
      </c>
      <c r="D5164" s="7">
        <v>46.946599999999997</v>
      </c>
      <c r="E5164" s="7">
        <f t="shared" si="160"/>
        <v>242338.34919999997</v>
      </c>
      <c r="F5164" s="7">
        <f t="shared" si="161"/>
        <v>26646244</v>
      </c>
      <c r="G5164" s="7"/>
    </row>
    <row r="5165" spans="1:7" x14ac:dyDescent="0.35">
      <c r="A5165" t="str">
        <f>"2025-12-08"</f>
        <v>2025-12-08</v>
      </c>
      <c r="B5165" t="str">
        <f>"47.5676"</f>
        <v>47.5676</v>
      </c>
      <c r="C5165">
        <v>5163</v>
      </c>
      <c r="D5165" s="7">
        <v>47.567599999999999</v>
      </c>
      <c r="E5165" s="7">
        <f t="shared" si="160"/>
        <v>245591.51879999999</v>
      </c>
      <c r="F5165" s="7">
        <f t="shared" si="161"/>
        <v>26656569</v>
      </c>
      <c r="G5165" s="7"/>
    </row>
    <row r="5166" spans="1:7" x14ac:dyDescent="0.35">
      <c r="A5166" t="str">
        <f>"2025-12-09"</f>
        <v>2025-12-09</v>
      </c>
      <c r="B5166" t="str">
        <f>"47.1735"</f>
        <v>47.1735</v>
      </c>
      <c r="C5166">
        <v>5164</v>
      </c>
      <c r="D5166" s="7">
        <v>47.173499999999997</v>
      </c>
      <c r="E5166" s="7">
        <f t="shared" si="160"/>
        <v>243603.954</v>
      </c>
      <c r="F5166" s="7">
        <f t="shared" si="161"/>
        <v>26666896</v>
      </c>
      <c r="G5166" s="7"/>
    </row>
    <row r="5167" spans="1:7" x14ac:dyDescent="0.35">
      <c r="A5167" t="str">
        <f>"2025-12-10"</f>
        <v>2025-12-10</v>
      </c>
      <c r="B5167" t="str">
        <f>"47.1201"</f>
        <v>47.1201</v>
      </c>
      <c r="C5167">
        <v>5165</v>
      </c>
      <c r="D5167" s="7">
        <v>47.120100000000001</v>
      </c>
      <c r="E5167" s="7">
        <f t="shared" si="160"/>
        <v>243375.31650000002</v>
      </c>
      <c r="F5167" s="7">
        <f t="shared" si="161"/>
        <v>26677225</v>
      </c>
      <c r="G5167" s="7"/>
    </row>
    <row r="5168" spans="1:7" x14ac:dyDescent="0.35">
      <c r="A5168" t="str">
        <f>"2025-12-11"</f>
        <v>2025-12-11</v>
      </c>
      <c r="B5168" t="str">
        <f>"45.9027"</f>
        <v>45.9027</v>
      </c>
      <c r="C5168">
        <v>5166</v>
      </c>
      <c r="D5168" s="7">
        <v>45.902700000000003</v>
      </c>
      <c r="E5168" s="7">
        <f t="shared" si="160"/>
        <v>237133.34820000001</v>
      </c>
      <c r="F5168" s="7">
        <f t="shared" si="161"/>
        <v>26687556</v>
      </c>
      <c r="G5168" s="7"/>
    </row>
    <row r="5169" spans="1:7" x14ac:dyDescent="0.35">
      <c r="A5169" t="str">
        <f>"2025-12-12"</f>
        <v>2025-12-12</v>
      </c>
      <c r="B5169" t="str">
        <f>"46.1912"</f>
        <v>46.1912</v>
      </c>
      <c r="C5169">
        <v>5167</v>
      </c>
      <c r="D5169" s="7">
        <v>46.191200000000002</v>
      </c>
      <c r="E5169" s="7">
        <f t="shared" si="160"/>
        <v>238669.93040000001</v>
      </c>
      <c r="F5169" s="7">
        <f t="shared" si="161"/>
        <v>26697889</v>
      </c>
      <c r="G5169" s="7"/>
    </row>
    <row r="5170" spans="1:7" x14ac:dyDescent="0.35">
      <c r="A5170" t="str">
        <f>"2025-12-15"</f>
        <v>2025-12-15</v>
      </c>
      <c r="B5170" t="str">
        <f>"46.405"</f>
        <v>46.405</v>
      </c>
      <c r="C5170">
        <v>5168</v>
      </c>
      <c r="D5170" s="7">
        <v>46.405000000000001</v>
      </c>
      <c r="E5170" s="7">
        <f t="shared" si="160"/>
        <v>239821.04</v>
      </c>
      <c r="F5170" s="7">
        <f t="shared" si="161"/>
        <v>26708224</v>
      </c>
      <c r="G5170" s="7"/>
    </row>
    <row r="5171" spans="1:7" x14ac:dyDescent="0.35">
      <c r="A5171" t="str">
        <f>"2025-12-16"</f>
        <v>2025-12-16</v>
      </c>
      <c r="B5171" t="str">
        <f>"46.2467"</f>
        <v>46.2467</v>
      </c>
      <c r="C5171">
        <v>5169</v>
      </c>
      <c r="D5171" s="7">
        <v>46.246699999999997</v>
      </c>
      <c r="E5171" s="7">
        <f t="shared" si="160"/>
        <v>239049.1923</v>
      </c>
      <c r="F5171" s="7">
        <f t="shared" si="161"/>
        <v>26718561</v>
      </c>
      <c r="G5171" s="7"/>
    </row>
    <row r="5172" spans="1:7" x14ac:dyDescent="0.35">
      <c r="A5172" t="str">
        <f>"2025-12-17"</f>
        <v>2025-12-17</v>
      </c>
      <c r="B5172" t="str">
        <f>"45.9003"</f>
        <v>45.9003</v>
      </c>
      <c r="C5172">
        <v>5170</v>
      </c>
      <c r="D5172" s="7">
        <v>45.900300000000001</v>
      </c>
      <c r="E5172" s="7">
        <f t="shared" si="160"/>
        <v>237304.55100000001</v>
      </c>
      <c r="F5172" s="7">
        <f t="shared" si="161"/>
        <v>26728900</v>
      </c>
      <c r="G5172" s="7"/>
    </row>
    <row r="5173" spans="1:7" x14ac:dyDescent="0.35">
      <c r="A5173" t="str">
        <f>"2025-12-18"</f>
        <v>2025-12-18</v>
      </c>
      <c r="B5173" t="str">
        <f>"46.0451"</f>
        <v>46.0451</v>
      </c>
      <c r="C5173">
        <v>5171</v>
      </c>
      <c r="D5173" s="7">
        <v>46.045099999999998</v>
      </c>
      <c r="E5173" s="7">
        <f t="shared" si="160"/>
        <v>238099.21209999998</v>
      </c>
      <c r="F5173" s="7">
        <f t="shared" si="161"/>
        <v>26739241</v>
      </c>
      <c r="G5173" s="7"/>
    </row>
    <row r="5174" spans="1:7" x14ac:dyDescent="0.35">
      <c r="A5174" t="str">
        <f>"2025-12-19"</f>
        <v>2025-12-19</v>
      </c>
      <c r="B5174" t="str">
        <f>"46.2126"</f>
        <v>46.2126</v>
      </c>
      <c r="C5174">
        <v>5172</v>
      </c>
      <c r="D5174" s="7">
        <v>46.212600000000002</v>
      </c>
      <c r="E5174" s="7">
        <f t="shared" si="160"/>
        <v>239011.56720000002</v>
      </c>
      <c r="F5174" s="7">
        <f t="shared" si="161"/>
        <v>26749584</v>
      </c>
      <c r="G5174" s="7"/>
    </row>
    <row r="5175" spans="1:7" x14ac:dyDescent="0.35">
      <c r="A5175" t="str">
        <f>"2025-12-22"</f>
        <v>2025-12-22</v>
      </c>
      <c r="B5175" t="str">
        <f>"44.4664"</f>
        <v>44.4664</v>
      </c>
      <c r="C5175">
        <v>5173</v>
      </c>
      <c r="D5175" s="7">
        <v>44.4664</v>
      </c>
      <c r="E5175" s="7">
        <f t="shared" si="160"/>
        <v>230024.68720000001</v>
      </c>
      <c r="F5175" s="7">
        <f t="shared" si="161"/>
        <v>26759929</v>
      </c>
      <c r="G5175" s="7"/>
    </row>
    <row r="5176" spans="1:7" x14ac:dyDescent="0.35">
      <c r="A5176" t="str">
        <f>"2025-12-23"</f>
        <v>2025-12-23</v>
      </c>
      <c r="B5176" t="str">
        <f>"43.8352"</f>
        <v>43.8352</v>
      </c>
      <c r="C5176">
        <v>5174</v>
      </c>
      <c r="D5176" s="7">
        <v>43.8352</v>
      </c>
      <c r="E5176" s="7">
        <f t="shared" si="160"/>
        <v>226803.3248</v>
      </c>
      <c r="F5176" s="7">
        <f t="shared" si="161"/>
        <v>26770276</v>
      </c>
      <c r="G5176" s="7"/>
    </row>
    <row r="5177" spans="1:7" x14ac:dyDescent="0.35">
      <c r="A5177" t="str">
        <f>"2025-12-24"</f>
        <v>2025-12-24</v>
      </c>
      <c r="B5177" t="str">
        <f>"43.9453"</f>
        <v>43.9453</v>
      </c>
      <c r="C5177">
        <v>5175</v>
      </c>
      <c r="D5177" s="7">
        <v>43.945300000000003</v>
      </c>
      <c r="E5177" s="7">
        <f t="shared" si="160"/>
        <v>227416.92750000002</v>
      </c>
      <c r="F5177" s="7">
        <f t="shared" si="161"/>
        <v>26780625</v>
      </c>
      <c r="G5177" s="7"/>
    </row>
    <row r="5178" spans="1:7" x14ac:dyDescent="0.35">
      <c r="A5178" t="str">
        <f>"2025-12-26"</f>
        <v>2025-12-26</v>
      </c>
      <c r="B5178" t="str">
        <f>"42.9473"</f>
        <v>42.9473</v>
      </c>
      <c r="C5178">
        <v>5176</v>
      </c>
      <c r="D5178" s="7">
        <v>42.947299999999998</v>
      </c>
      <c r="E5178" s="7">
        <f t="shared" si="160"/>
        <v>222295.2248</v>
      </c>
      <c r="F5178" s="7">
        <f t="shared" si="161"/>
        <v>26790976</v>
      </c>
      <c r="G5178" s="7"/>
    </row>
    <row r="5179" spans="1:7" x14ac:dyDescent="0.35">
      <c r="A5179" t="str">
        <f>"2025-12-29"</f>
        <v>2025-12-29</v>
      </c>
      <c r="B5179" t="str">
        <f>"44.3343"</f>
        <v>44.3343</v>
      </c>
      <c r="C5179">
        <v>5177</v>
      </c>
      <c r="D5179" s="7">
        <v>44.334299999999999</v>
      </c>
      <c r="E5179" s="7">
        <f t="shared" si="160"/>
        <v>229518.67110000001</v>
      </c>
      <c r="F5179" s="7">
        <f t="shared" si="161"/>
        <v>26801329</v>
      </c>
      <c r="G5179" s="7"/>
    </row>
    <row r="5180" spans="1:7" x14ac:dyDescent="0.35">
      <c r="A5180" t="str">
        <f>"2025-12-30"</f>
        <v>2025-12-30</v>
      </c>
      <c r="B5180" t="str">
        <f>"44.3842"</f>
        <v>44.3842</v>
      </c>
      <c r="C5180">
        <v>5178</v>
      </c>
      <c r="D5180" s="7">
        <v>44.3842</v>
      </c>
      <c r="E5180" s="7">
        <f t="shared" si="160"/>
        <v>229821.38759999999</v>
      </c>
      <c r="F5180" s="7">
        <f t="shared" si="161"/>
        <v>26811684</v>
      </c>
      <c r="G5180" s="7"/>
    </row>
    <row r="5181" spans="1:7" x14ac:dyDescent="0.35">
      <c r="A5181" t="str">
        <f>"2025-12-31"</f>
        <v>2025-12-31</v>
      </c>
      <c r="B5181" t="str">
        <f>"44.9494"</f>
        <v>44.9494</v>
      </c>
      <c r="C5181">
        <v>5179</v>
      </c>
      <c r="D5181" s="7">
        <v>44.949399999999997</v>
      </c>
      <c r="E5181" s="7">
        <f t="shared" si="160"/>
        <v>232792.94259999998</v>
      </c>
      <c r="F5181" s="7">
        <f t="shared" si="161"/>
        <v>26822041</v>
      </c>
      <c r="G5181" s="7"/>
    </row>
    <row r="5182" spans="1:7" x14ac:dyDescent="0.35">
      <c r="A5182" t="str">
        <f>"2026-01-02"</f>
        <v>2026-01-02</v>
      </c>
      <c r="B5182" t="str">
        <f>"45.9862"</f>
        <v>45.9862</v>
      </c>
      <c r="C5182">
        <v>5180</v>
      </c>
      <c r="D5182" s="7">
        <v>45.986199999999997</v>
      </c>
      <c r="E5182" s="7">
        <f t="shared" si="160"/>
        <v>238208.51599999997</v>
      </c>
      <c r="F5182" s="7">
        <f t="shared" si="161"/>
        <v>26832400</v>
      </c>
      <c r="G5182" s="7"/>
    </row>
    <row r="5183" spans="1:7" x14ac:dyDescent="0.35">
      <c r="A5183" t="str">
        <f>"2026-01-05"</f>
        <v>2026-01-05</v>
      </c>
      <c r="B5183" t="str">
        <f>"45.2691"</f>
        <v>45.2691</v>
      </c>
      <c r="C5183">
        <v>5181</v>
      </c>
      <c r="D5183" s="7">
        <v>45.269100000000002</v>
      </c>
      <c r="E5183" s="7">
        <f t="shared" si="160"/>
        <v>234539.2071</v>
      </c>
      <c r="F5183" s="7">
        <f t="shared" si="161"/>
        <v>26842761</v>
      </c>
      <c r="G5183" s="7"/>
    </row>
    <row r="5184" spans="1:7" x14ac:dyDescent="0.35">
      <c r="A5184" t="str">
        <f>"2026-01-06"</f>
        <v>2026-01-06</v>
      </c>
      <c r="B5184" t="str">
        <f>"46.5157"</f>
        <v>46.5157</v>
      </c>
      <c r="C5184">
        <v>5182</v>
      </c>
      <c r="D5184" s="7">
        <v>46.515700000000002</v>
      </c>
      <c r="E5184" s="7">
        <f t="shared" si="160"/>
        <v>241044.35740000001</v>
      </c>
      <c r="F5184" s="7">
        <f t="shared" si="161"/>
        <v>26853124</v>
      </c>
      <c r="G5184" s="7"/>
    </row>
    <row r="5185" spans="1:7" x14ac:dyDescent="0.35">
      <c r="A5185" t="str">
        <f>"2026-01-07"</f>
        <v>2026-01-07</v>
      </c>
      <c r="B5185" t="str">
        <f>"47.2236"</f>
        <v>47.2236</v>
      </c>
      <c r="C5185">
        <v>5183</v>
      </c>
      <c r="D5185" s="7">
        <v>47.223599999999998</v>
      </c>
      <c r="E5185" s="7">
        <f t="shared" si="160"/>
        <v>244759.91879999998</v>
      </c>
      <c r="F5185" s="7">
        <f t="shared" si="161"/>
        <v>26863489</v>
      </c>
      <c r="G5185" s="7"/>
    </row>
    <row r="5186" spans="1:7" x14ac:dyDescent="0.35">
      <c r="A5186" t="str">
        <f>"2026-01-08"</f>
        <v>2026-01-08</v>
      </c>
      <c r="B5186" t="str">
        <f>"47.8328"</f>
        <v>47.8328</v>
      </c>
      <c r="C5186">
        <v>5184</v>
      </c>
      <c r="D5186" s="7">
        <v>47.832799999999999</v>
      </c>
      <c r="E5186" s="7">
        <f t="shared" si="160"/>
        <v>247965.2352</v>
      </c>
      <c r="F5186" s="7">
        <f t="shared" si="161"/>
        <v>26873856</v>
      </c>
      <c r="G5186" s="7"/>
    </row>
    <row r="5187" spans="1:7" x14ac:dyDescent="0.35">
      <c r="A5187" t="str">
        <f>"2026-01-09"</f>
        <v>2026-01-09</v>
      </c>
      <c r="B5187" t="str">
        <f>"46.8171"</f>
        <v>46.8171</v>
      </c>
      <c r="C5187">
        <v>5185</v>
      </c>
      <c r="D5187" s="7">
        <v>46.817100000000003</v>
      </c>
      <c r="E5187" s="7">
        <f t="shared" si="160"/>
        <v>242746.66350000002</v>
      </c>
      <c r="F5187" s="7">
        <f t="shared" si="161"/>
        <v>26884225</v>
      </c>
      <c r="G5187" s="7"/>
    </row>
    <row r="5188" spans="1:7" x14ac:dyDescent="0.35">
      <c r="A5188" t="str">
        <f>"2026-01-12"</f>
        <v>2026-01-12</v>
      </c>
      <c r="B5188" t="str">
        <f>"45.6828"</f>
        <v>45.6828</v>
      </c>
      <c r="C5188">
        <v>5186</v>
      </c>
      <c r="D5188" s="7">
        <v>45.6828</v>
      </c>
      <c r="E5188" s="7">
        <f t="shared" ref="E5188:E5251" si="162">C5188*D5188</f>
        <v>236911.00080000001</v>
      </c>
      <c r="F5188" s="7">
        <f t="shared" ref="F5188:F5251" si="163">C5188*C5188</f>
        <v>26894596</v>
      </c>
      <c r="G5188" s="7"/>
    </row>
    <row r="5189" spans="1:7" x14ac:dyDescent="0.35">
      <c r="A5189" t="str">
        <f>"2026-01-13"</f>
        <v>2026-01-13</v>
      </c>
      <c r="B5189" t="str">
        <f>"45.0875"</f>
        <v>45.0875</v>
      </c>
      <c r="C5189">
        <v>5187</v>
      </c>
      <c r="D5189" s="7">
        <v>45.087499999999999</v>
      </c>
      <c r="E5189" s="7">
        <f t="shared" si="162"/>
        <v>233868.86249999999</v>
      </c>
      <c r="F5189" s="7">
        <f t="shared" si="163"/>
        <v>26904969</v>
      </c>
      <c r="G5189" s="7"/>
    </row>
    <row r="5190" spans="1:7" x14ac:dyDescent="0.35">
      <c r="A5190" t="str">
        <f>"2026-01-14"</f>
        <v>2026-01-14</v>
      </c>
      <c r="B5190" t="str">
        <f>"43.6633"</f>
        <v>43.6633</v>
      </c>
      <c r="C5190">
        <v>5188</v>
      </c>
      <c r="D5190" s="7">
        <v>43.6633</v>
      </c>
      <c r="E5190" s="7">
        <f t="shared" si="162"/>
        <v>226525.2004</v>
      </c>
      <c r="F5190" s="7">
        <f t="shared" si="163"/>
        <v>26915344</v>
      </c>
      <c r="G5190" s="7"/>
    </row>
    <row r="5191" spans="1:7" x14ac:dyDescent="0.35">
      <c r="A5191" t="str">
        <f>"2026-01-15"</f>
        <v>2026-01-15</v>
      </c>
      <c r="B5191" t="str">
        <f>"44.911"</f>
        <v>44.911</v>
      </c>
      <c r="C5191">
        <v>5189</v>
      </c>
      <c r="D5191" s="7">
        <v>44.911000000000001</v>
      </c>
      <c r="E5191" s="7">
        <f t="shared" si="162"/>
        <v>233043.179</v>
      </c>
      <c r="F5191" s="7">
        <f t="shared" si="163"/>
        <v>26925721</v>
      </c>
      <c r="G5191" s="7"/>
    </row>
    <row r="5192" spans="1:7" x14ac:dyDescent="0.35">
      <c r="A5192" t="str">
        <f>"2026-01-16"</f>
        <v>2026-01-16</v>
      </c>
      <c r="B5192" t="str">
        <f>"45.7427"</f>
        <v>45.7427</v>
      </c>
      <c r="C5192">
        <v>5190</v>
      </c>
      <c r="D5192" s="7">
        <v>45.742699999999999</v>
      </c>
      <c r="E5192" s="7">
        <f t="shared" si="162"/>
        <v>237404.61299999998</v>
      </c>
      <c r="F5192" s="7">
        <f t="shared" si="163"/>
        <v>26936100</v>
      </c>
      <c r="G5192" s="7"/>
    </row>
    <row r="5193" spans="1:7" x14ac:dyDescent="0.35">
      <c r="A5193" t="str">
        <f>"2026-01-20"</f>
        <v>2026-01-20</v>
      </c>
      <c r="B5193" t="str">
        <f>"44.0934"</f>
        <v>44.0934</v>
      </c>
      <c r="C5193">
        <v>5191</v>
      </c>
      <c r="D5193" s="7">
        <v>44.093400000000003</v>
      </c>
      <c r="E5193" s="7">
        <f t="shared" si="162"/>
        <v>228888.83940000003</v>
      </c>
      <c r="F5193" s="7">
        <f t="shared" si="163"/>
        <v>26946481</v>
      </c>
      <c r="G5193" s="7"/>
    </row>
    <row r="5194" spans="1:7" x14ac:dyDescent="0.35">
      <c r="A5194" t="str">
        <f>"2026-01-21"</f>
        <v>2026-01-21</v>
      </c>
      <c r="B5194" t="str">
        <f>"44.1647"</f>
        <v>44.1647</v>
      </c>
      <c r="C5194">
        <v>5192</v>
      </c>
      <c r="D5194" s="7">
        <v>44.164700000000003</v>
      </c>
      <c r="E5194" s="7">
        <f t="shared" si="162"/>
        <v>229303.12240000002</v>
      </c>
      <c r="F5194" s="7">
        <f t="shared" si="163"/>
        <v>26956864</v>
      </c>
      <c r="G5194" s="7"/>
    </row>
    <row r="5195" spans="1:7" x14ac:dyDescent="0.35">
      <c r="A5195" t="str">
        <f>"2026-01-22"</f>
        <v>2026-01-22</v>
      </c>
      <c r="B5195" t="str">
        <f>"43.7582"</f>
        <v>43.7582</v>
      </c>
      <c r="C5195">
        <v>5193</v>
      </c>
      <c r="D5195" s="7">
        <v>43.758200000000002</v>
      </c>
      <c r="E5195" s="7">
        <f t="shared" si="162"/>
        <v>227236.33260000002</v>
      </c>
      <c r="F5195" s="7">
        <f t="shared" si="163"/>
        <v>26967249</v>
      </c>
      <c r="G5195" s="7"/>
    </row>
    <row r="5196" spans="1:7" x14ac:dyDescent="0.35">
      <c r="A5196" t="str">
        <f>"2026-01-23"</f>
        <v>2026-01-23</v>
      </c>
      <c r="B5196" t="str">
        <f>"43.41"</f>
        <v>43.41</v>
      </c>
      <c r="C5196">
        <v>5194</v>
      </c>
      <c r="D5196" s="7">
        <v>43.41</v>
      </c>
      <c r="E5196" s="7">
        <f t="shared" si="162"/>
        <v>225471.53999999998</v>
      </c>
      <c r="F5196" s="7">
        <f t="shared" si="163"/>
        <v>26977636</v>
      </c>
      <c r="G5196" s="7"/>
    </row>
    <row r="5197" spans="1:7" x14ac:dyDescent="0.35">
      <c r="A5197" t="str">
        <f>"2026-01-26"</f>
        <v>2026-01-26</v>
      </c>
      <c r="B5197" t="str">
        <f>"42.233"</f>
        <v>42.233</v>
      </c>
      <c r="C5197">
        <v>5195</v>
      </c>
      <c r="D5197" s="7">
        <v>42.232999999999997</v>
      </c>
      <c r="E5197" s="7">
        <f t="shared" si="162"/>
        <v>219400.435</v>
      </c>
      <c r="F5197" s="7">
        <f t="shared" si="163"/>
        <v>26988025</v>
      </c>
      <c r="G5197" s="7"/>
    </row>
    <row r="5198" spans="1:7" x14ac:dyDescent="0.35">
      <c r="A5198" t="str">
        <f>"2026-01-27"</f>
        <v>2026-01-27</v>
      </c>
      <c r="B5198" t="str">
        <f>"41.5301"</f>
        <v>41.5301</v>
      </c>
      <c r="C5198">
        <v>5196</v>
      </c>
      <c r="D5198" s="7">
        <v>41.530099999999997</v>
      </c>
      <c r="E5198" s="7">
        <f t="shared" si="162"/>
        <v>215790.39959999998</v>
      </c>
      <c r="F5198" s="7">
        <f t="shared" si="163"/>
        <v>26998416</v>
      </c>
      <c r="G5198" s="7"/>
    </row>
    <row r="5199" spans="1:7" x14ac:dyDescent="0.35">
      <c r="A5199" t="str">
        <f>"2026-01-28"</f>
        <v>2026-01-28</v>
      </c>
      <c r="B5199" t="str">
        <f>"40.2701"</f>
        <v>40.2701</v>
      </c>
      <c r="C5199">
        <v>5197</v>
      </c>
      <c r="D5199" s="7">
        <v>40.270099999999999</v>
      </c>
      <c r="E5199" s="7">
        <f t="shared" si="162"/>
        <v>209283.70970000001</v>
      </c>
      <c r="F5199" s="7">
        <f t="shared" si="163"/>
        <v>27008809</v>
      </c>
      <c r="G5199" s="7"/>
    </row>
    <row r="5200" spans="1:7" x14ac:dyDescent="0.35">
      <c r="A5200" t="str">
        <f>"2026-01-29"</f>
        <v>2026-01-29</v>
      </c>
      <c r="B5200" t="str">
        <f>"40.7223"</f>
        <v>40.7223</v>
      </c>
      <c r="C5200">
        <v>5198</v>
      </c>
      <c r="D5200" s="7">
        <v>40.722299999999997</v>
      </c>
      <c r="E5200" s="7">
        <f t="shared" si="162"/>
        <v>211674.51539999997</v>
      </c>
      <c r="F5200" s="7">
        <f t="shared" si="163"/>
        <v>27019204</v>
      </c>
      <c r="G5200" s="7"/>
    </row>
    <row r="5201" spans="1:7" x14ac:dyDescent="0.35">
      <c r="A5201" t="str">
        <f>"2026-01-30"</f>
        <v>2026-01-30</v>
      </c>
      <c r="B5201" t="str">
        <f>"46.1596"</f>
        <v>46.1596</v>
      </c>
      <c r="C5201">
        <v>5199</v>
      </c>
      <c r="D5201" s="7">
        <v>46.159599999999998</v>
      </c>
      <c r="E5201" s="7">
        <f t="shared" si="162"/>
        <v>239983.7604</v>
      </c>
      <c r="F5201" s="7">
        <f t="shared" si="163"/>
        <v>27029601</v>
      </c>
      <c r="G5201" s="7"/>
    </row>
    <row r="5202" spans="1:7" x14ac:dyDescent="0.35">
      <c r="A5202" t="str">
        <f>"2026-02-02"</f>
        <v>2026-02-02</v>
      </c>
      <c r="B5202" t="str">
        <f>"47.314"</f>
        <v>47.314</v>
      </c>
      <c r="C5202">
        <v>5200</v>
      </c>
      <c r="D5202" s="7">
        <v>47.314</v>
      </c>
      <c r="E5202" s="7">
        <f t="shared" si="162"/>
        <v>246032.8</v>
      </c>
      <c r="F5202" s="7">
        <f t="shared" si="163"/>
        <v>27040000</v>
      </c>
      <c r="G5202" s="7"/>
    </row>
    <row r="5203" spans="1:7" x14ac:dyDescent="0.35">
      <c r="A5203" t="str">
        <f>"2026-02-03"</f>
        <v>2026-02-03</v>
      </c>
      <c r="B5203" t="str">
        <f>"46.5047"</f>
        <v>46.5047</v>
      </c>
      <c r="C5203">
        <v>5201</v>
      </c>
      <c r="D5203" s="7">
        <v>46.5047</v>
      </c>
      <c r="E5203" s="7">
        <f t="shared" si="162"/>
        <v>241870.94469999999</v>
      </c>
      <c r="F5203" s="7">
        <f t="shared" si="163"/>
        <v>27050401</v>
      </c>
      <c r="G5203" s="7"/>
    </row>
    <row r="5204" spans="1:7" x14ac:dyDescent="0.35">
      <c r="A5204" t="str">
        <f>"2026-02-04"</f>
        <v>2026-02-04</v>
      </c>
      <c r="B5204" t="str">
        <f>"46.5841"</f>
        <v>46.5841</v>
      </c>
      <c r="C5204">
        <v>5202</v>
      </c>
      <c r="D5204" s="7">
        <v>46.584099999999999</v>
      </c>
      <c r="E5204" s="7">
        <f t="shared" si="162"/>
        <v>242330.48819999999</v>
      </c>
      <c r="F5204" s="7">
        <f t="shared" si="163"/>
        <v>27060804</v>
      </c>
      <c r="G5204" s="7"/>
    </row>
    <row r="5205" spans="1:7" x14ac:dyDescent="0.35">
      <c r="A5205" t="str">
        <f>"2026-02-05"</f>
        <v>2026-02-05</v>
      </c>
      <c r="B5205" t="str">
        <f>"46.604"</f>
        <v>46.604</v>
      </c>
      <c r="C5205">
        <v>5203</v>
      </c>
      <c r="D5205" s="7">
        <v>46.603999999999999</v>
      </c>
      <c r="E5205" s="7">
        <f t="shared" si="162"/>
        <v>242480.61199999999</v>
      </c>
      <c r="F5205" s="7">
        <f t="shared" si="163"/>
        <v>27071209</v>
      </c>
      <c r="G5205" s="7"/>
    </row>
    <row r="5206" spans="1:7" x14ac:dyDescent="0.35">
      <c r="A5206" t="str">
        <f>"2026-02-06"</f>
        <v>2026-02-06</v>
      </c>
      <c r="B5206" t="str">
        <f>"46.4568"</f>
        <v>46.4568</v>
      </c>
      <c r="C5206">
        <v>5204</v>
      </c>
      <c r="D5206" s="7">
        <v>46.456800000000001</v>
      </c>
      <c r="E5206" s="7">
        <f t="shared" si="162"/>
        <v>241761.18720000001</v>
      </c>
      <c r="F5206" s="7">
        <f t="shared" si="163"/>
        <v>27081616</v>
      </c>
      <c r="G5206" s="7"/>
    </row>
    <row r="5207" spans="1:7" x14ac:dyDescent="0.35">
      <c r="A5207" t="str">
        <f>"2026-02-09"</f>
        <v>2026-02-09</v>
      </c>
      <c r="B5207" t="str">
        <f>"46.6787"</f>
        <v>46.6787</v>
      </c>
      <c r="C5207">
        <v>5205</v>
      </c>
      <c r="D5207" s="7">
        <v>46.678699999999999</v>
      </c>
      <c r="E5207" s="7">
        <f t="shared" si="162"/>
        <v>242962.6335</v>
      </c>
      <c r="F5207" s="7">
        <f t="shared" si="163"/>
        <v>27092025</v>
      </c>
      <c r="G5207" s="7"/>
    </row>
    <row r="5208" spans="1:7" x14ac:dyDescent="0.35">
      <c r="A5208" t="str">
        <f>"2026-02-10"</f>
        <v>2026-02-10</v>
      </c>
      <c r="B5208" t="str">
        <f>"47.4926"</f>
        <v>47.4926</v>
      </c>
      <c r="C5208">
        <v>5206</v>
      </c>
      <c r="D5208" s="7">
        <v>47.492600000000003</v>
      </c>
      <c r="E5208" s="7">
        <f t="shared" si="162"/>
        <v>247246.47560000001</v>
      </c>
      <c r="F5208" s="7">
        <f t="shared" si="163"/>
        <v>27102436</v>
      </c>
      <c r="G5208" s="7"/>
    </row>
    <row r="5209" spans="1:7" x14ac:dyDescent="0.35">
      <c r="A5209" t="str">
        <f>"2026-02-11"</f>
        <v>2026-02-11</v>
      </c>
      <c r="B5209" t="str">
        <f>"46.5299"</f>
        <v>46.5299</v>
      </c>
      <c r="C5209">
        <v>5207</v>
      </c>
      <c r="D5209" s="7">
        <v>46.529899999999998</v>
      </c>
      <c r="E5209" s="7">
        <f t="shared" si="162"/>
        <v>242281.1893</v>
      </c>
      <c r="F5209" s="7">
        <f t="shared" si="163"/>
        <v>27112849</v>
      </c>
      <c r="G5209" s="7"/>
    </row>
    <row r="5210" spans="1:7" x14ac:dyDescent="0.35">
      <c r="A5210" t="str">
        <f>"2026-02-12"</f>
        <v>2026-02-12</v>
      </c>
      <c r="B5210" t="str">
        <f>"48.7867"</f>
        <v>48.7867</v>
      </c>
      <c r="C5210">
        <v>5208</v>
      </c>
      <c r="D5210" s="7">
        <v>48.786700000000003</v>
      </c>
      <c r="E5210" s="7">
        <f t="shared" si="162"/>
        <v>254081.13360000003</v>
      </c>
      <c r="F5210" s="7">
        <f t="shared" si="163"/>
        <v>27123264</v>
      </c>
      <c r="G5210" s="7"/>
    </row>
    <row r="5211" spans="1:7" x14ac:dyDescent="0.35">
      <c r="A5211" t="str">
        <f>"2026-02-13"</f>
        <v>2026-02-13</v>
      </c>
      <c r="B5211" t="str">
        <f>"49.2537"</f>
        <v>49.2537</v>
      </c>
      <c r="C5211">
        <v>5209</v>
      </c>
      <c r="D5211" s="7">
        <v>49.253700000000002</v>
      </c>
      <c r="E5211" s="7">
        <f t="shared" si="162"/>
        <v>256562.5233</v>
      </c>
      <c r="F5211" s="7">
        <f t="shared" si="163"/>
        <v>27133681</v>
      </c>
      <c r="G5211" s="7"/>
    </row>
    <row r="5212" spans="1:7" x14ac:dyDescent="0.35">
      <c r="A5212" t="str">
        <f>"2026-02-17"</f>
        <v>2026-02-17</v>
      </c>
      <c r="B5212" t="str">
        <f>"50.2623"</f>
        <v>50.2623</v>
      </c>
      <c r="C5212">
        <v>5210</v>
      </c>
      <c r="D5212" s="7">
        <v>50.262300000000003</v>
      </c>
      <c r="E5212" s="7">
        <f t="shared" si="162"/>
        <v>261866.58300000001</v>
      </c>
      <c r="F5212" s="7">
        <f t="shared" si="163"/>
        <v>27144100</v>
      </c>
      <c r="G5212" s="7"/>
    </row>
    <row r="5213" spans="1:7" x14ac:dyDescent="0.35">
      <c r="A5213" t="str">
        <f>"2026-02-18"</f>
        <v>2026-02-18</v>
      </c>
      <c r="B5213" t="str">
        <f>"46.816"</f>
        <v>46.816</v>
      </c>
      <c r="C5213">
        <v>5211</v>
      </c>
      <c r="D5213" s="7">
        <v>46.816000000000003</v>
      </c>
      <c r="E5213" s="7">
        <f t="shared" si="162"/>
        <v>243958.17600000001</v>
      </c>
      <c r="F5213" s="7">
        <f t="shared" si="163"/>
        <v>27154521</v>
      </c>
      <c r="G5213" s="7"/>
    </row>
    <row r="5214" spans="1:7" x14ac:dyDescent="0.35">
      <c r="A5214" t="str">
        <f>"2026-02-19"</f>
        <v>2026-02-19</v>
      </c>
      <c r="B5214" t="str">
        <f>"44.6345"</f>
        <v>44.6345</v>
      </c>
      <c r="C5214">
        <v>5212</v>
      </c>
      <c r="D5214" s="7">
        <v>44.634500000000003</v>
      </c>
      <c r="E5214" s="7">
        <f t="shared" si="162"/>
        <v>232635.01400000002</v>
      </c>
      <c r="F5214" s="7">
        <f t="shared" si="163"/>
        <v>27164944</v>
      </c>
      <c r="G5214" s="7"/>
    </row>
    <row r="5215" spans="1:7" x14ac:dyDescent="0.35">
      <c r="A5215" t="str">
        <f>"2026-02-20"</f>
        <v>2026-02-20</v>
      </c>
      <c r="B5215" t="str">
        <f>"44.9462"</f>
        <v>44.9462</v>
      </c>
      <c r="C5215">
        <v>5213</v>
      </c>
      <c r="D5215" s="7">
        <v>44.946199999999997</v>
      </c>
      <c r="E5215" s="7">
        <f t="shared" si="162"/>
        <v>234304.54059999998</v>
      </c>
      <c r="F5215" s="7">
        <f t="shared" si="163"/>
        <v>27175369</v>
      </c>
      <c r="G5215" s="7"/>
    </row>
    <row r="5216" spans="1:7" x14ac:dyDescent="0.35">
      <c r="A5216" t="str">
        <f>"2026-02-23"</f>
        <v>2026-02-23</v>
      </c>
      <c r="B5216" t="str">
        <f>"43.0726"</f>
        <v>43.0726</v>
      </c>
      <c r="C5216">
        <v>5214</v>
      </c>
      <c r="D5216" s="7">
        <v>43.072600000000001</v>
      </c>
      <c r="E5216" s="7">
        <f t="shared" si="162"/>
        <v>224580.53640000001</v>
      </c>
      <c r="F5216" s="7">
        <f t="shared" si="163"/>
        <v>27185796</v>
      </c>
      <c r="G5216" s="7"/>
    </row>
    <row r="5217" spans="1:7" x14ac:dyDescent="0.35">
      <c r="A5217" t="str">
        <f>"2026-02-24"</f>
        <v>2026-02-24</v>
      </c>
      <c r="B5217" t="str">
        <f>"42.4456"</f>
        <v>42.4456</v>
      </c>
      <c r="C5217">
        <v>5215</v>
      </c>
      <c r="D5217" s="7">
        <v>42.445599999999999</v>
      </c>
      <c r="E5217" s="7">
        <f t="shared" si="162"/>
        <v>221353.804</v>
      </c>
      <c r="F5217" s="7">
        <f t="shared" si="163"/>
        <v>27196225</v>
      </c>
      <c r="G5217" s="7"/>
    </row>
    <row r="5218" spans="1:7" x14ac:dyDescent="0.35">
      <c r="A5218" t="str">
        <f>"2026-02-25"</f>
        <v>2026-02-25</v>
      </c>
      <c r="B5218" t="str">
        <f>"41.8209"</f>
        <v>41.8209</v>
      </c>
      <c r="C5218">
        <v>5216</v>
      </c>
      <c r="D5218" s="7">
        <v>41.820900000000002</v>
      </c>
      <c r="E5218" s="7">
        <f t="shared" si="162"/>
        <v>218137.8144</v>
      </c>
      <c r="F5218" s="7">
        <f t="shared" si="163"/>
        <v>27206656</v>
      </c>
      <c r="G5218" s="7"/>
    </row>
    <row r="5219" spans="1:7" x14ac:dyDescent="0.35">
      <c r="A5219" t="str">
        <f>"2026-02-26"</f>
        <v>2026-02-26</v>
      </c>
      <c r="B5219" t="str">
        <f>"42.669"</f>
        <v>42.669</v>
      </c>
      <c r="C5219">
        <v>5217</v>
      </c>
      <c r="D5219" s="7">
        <v>42.668999999999997</v>
      </c>
      <c r="E5219" s="7">
        <f t="shared" si="162"/>
        <v>222604.17299999998</v>
      </c>
      <c r="F5219" s="7">
        <f t="shared" si="163"/>
        <v>27217089</v>
      </c>
      <c r="G5219" s="7"/>
    </row>
    <row r="5220" spans="1:7" x14ac:dyDescent="0.35">
      <c r="A5220" t="str">
        <f>"2026-02-27"</f>
        <v>2026-02-27</v>
      </c>
      <c r="B5220" t="str">
        <f>"41.6005"</f>
        <v>41.6005</v>
      </c>
      <c r="C5220">
        <v>5218</v>
      </c>
      <c r="D5220" s="7">
        <v>41.600499999999997</v>
      </c>
      <c r="E5220" s="7">
        <f t="shared" si="162"/>
        <v>217071.40899999999</v>
      </c>
      <c r="F5220" s="7">
        <f t="shared" si="163"/>
        <v>27227524</v>
      </c>
      <c r="G5220" s="7"/>
    </row>
    <row r="5221" spans="1:7" x14ac:dyDescent="0.35">
      <c r="A5221" t="str">
        <f>"2026-03-02"</f>
        <v>2026-03-02</v>
      </c>
      <c r="B5221" t="str">
        <f>"38.6318"</f>
        <v>38.6318</v>
      </c>
      <c r="C5221">
        <v>5219</v>
      </c>
      <c r="D5221" s="7">
        <v>38.631799999999998</v>
      </c>
      <c r="E5221" s="7">
        <f t="shared" si="162"/>
        <v>201619.36419999998</v>
      </c>
      <c r="F5221" s="7">
        <f t="shared" si="163"/>
        <v>27237961</v>
      </c>
      <c r="G5221" s="7"/>
    </row>
    <row r="5222" spans="1:7" x14ac:dyDescent="0.35">
      <c r="A5222" t="str">
        <f>"2026-03-03"</f>
        <v>2026-03-03</v>
      </c>
      <c r="B5222" t="str">
        <f>"39.7543"</f>
        <v>39.7543</v>
      </c>
      <c r="C5222">
        <v>5220</v>
      </c>
      <c r="D5222" s="7">
        <v>39.754300000000001</v>
      </c>
      <c r="E5222" s="7">
        <f t="shared" si="162"/>
        <v>207517.446</v>
      </c>
      <c r="F5222" s="7">
        <f t="shared" si="163"/>
        <v>27248400</v>
      </c>
      <c r="G5222" s="7"/>
    </row>
    <row r="5223" spans="1:7" x14ac:dyDescent="0.35">
      <c r="A5223" t="str">
        <f>"2026-03-04"</f>
        <v>2026-03-04</v>
      </c>
      <c r="B5223" t="str">
        <f>"39.7739"</f>
        <v>39.7739</v>
      </c>
      <c r="C5223">
        <v>5221</v>
      </c>
      <c r="D5223" s="7">
        <v>39.773899999999998</v>
      </c>
      <c r="E5223" s="7">
        <f t="shared" si="162"/>
        <v>207659.5319</v>
      </c>
      <c r="F5223" s="7">
        <f t="shared" si="163"/>
        <v>27258841</v>
      </c>
      <c r="G5223" s="7"/>
    </row>
    <row r="5224" spans="1:7" x14ac:dyDescent="0.35">
      <c r="A5224" t="str">
        <f>"2026-03-05"</f>
        <v>2026-03-05</v>
      </c>
      <c r="B5224" t="str">
        <f>"39.7234"</f>
        <v>39.7234</v>
      </c>
      <c r="C5224">
        <v>5222</v>
      </c>
      <c r="D5224" s="7">
        <v>39.723399999999998</v>
      </c>
      <c r="E5224" s="7">
        <f t="shared" si="162"/>
        <v>207435.59479999999</v>
      </c>
      <c r="F5224" s="7">
        <f t="shared" si="163"/>
        <v>27269284</v>
      </c>
      <c r="G5224" s="7"/>
    </row>
    <row r="5225" spans="1:7" x14ac:dyDescent="0.35">
      <c r="A5225" t="str">
        <f>"2026-03-06"</f>
        <v>2026-03-06</v>
      </c>
      <c r="B5225" t="str">
        <f>"37.9871"</f>
        <v>37.9871</v>
      </c>
      <c r="C5225">
        <v>5223</v>
      </c>
      <c r="D5225" s="7">
        <v>37.987099999999998</v>
      </c>
      <c r="E5225" s="7">
        <f t="shared" si="162"/>
        <v>198406.62329999998</v>
      </c>
      <c r="F5225" s="7">
        <f t="shared" si="163"/>
        <v>27279729</v>
      </c>
      <c r="G5225" s="7"/>
    </row>
    <row r="5226" spans="1:7" x14ac:dyDescent="0.35">
      <c r="A5226" t="str">
        <f>"2026-03-09"</f>
        <v>2026-03-09</v>
      </c>
      <c r="B5226" t="str">
        <f>"39.0787"</f>
        <v>39.0787</v>
      </c>
      <c r="C5226">
        <v>5224</v>
      </c>
      <c r="D5226" s="7">
        <v>39.078699999999998</v>
      </c>
      <c r="E5226" s="7">
        <f t="shared" si="162"/>
        <v>204147.12879999998</v>
      </c>
      <c r="F5226" s="7">
        <f t="shared" si="163"/>
        <v>27290176</v>
      </c>
      <c r="G5226" s="7"/>
    </row>
    <row r="5227" spans="1:7" x14ac:dyDescent="0.35">
      <c r="A5227" t="str">
        <f>"2026-03-10"</f>
        <v>2026-03-10</v>
      </c>
      <c r="B5227" t="str">
        <f>"40.0728"</f>
        <v>40.0728</v>
      </c>
      <c r="C5227">
        <v>5225</v>
      </c>
      <c r="D5227" s="7">
        <v>40.072800000000001</v>
      </c>
      <c r="E5227" s="7">
        <f t="shared" si="162"/>
        <v>209380.38</v>
      </c>
      <c r="F5227" s="7">
        <f t="shared" si="163"/>
        <v>27300625</v>
      </c>
      <c r="G5227" s="7"/>
    </row>
    <row r="5228" spans="1:7" x14ac:dyDescent="0.35">
      <c r="A5228" t="str">
        <f>"2026-03-11"</f>
        <v>2026-03-11</v>
      </c>
      <c r="B5228" t="str">
        <f>"40.2408"</f>
        <v>40.2408</v>
      </c>
      <c r="C5228">
        <v>5226</v>
      </c>
      <c r="D5228" s="7">
        <v>40.2408</v>
      </c>
      <c r="E5228" s="7">
        <f t="shared" si="162"/>
        <v>210298.42079999999</v>
      </c>
      <c r="F5228" s="7">
        <f t="shared" si="163"/>
        <v>27311076</v>
      </c>
      <c r="G5228" s="7"/>
    </row>
    <row r="5229" spans="1:7" x14ac:dyDescent="0.35">
      <c r="A5229" t="str">
        <f>"2026-03-12"</f>
        <v>2026-03-12</v>
      </c>
      <c r="B5229" t="str">
        <f>"40.3617"</f>
        <v>40.3617</v>
      </c>
      <c r="C5229">
        <v>5227</v>
      </c>
      <c r="D5229" s="7">
        <v>40.361699999999999</v>
      </c>
      <c r="E5229" s="7">
        <f t="shared" si="162"/>
        <v>210970.6059</v>
      </c>
      <c r="F5229" s="7">
        <f t="shared" si="163"/>
        <v>27321529</v>
      </c>
      <c r="G5229" s="7"/>
    </row>
    <row r="5230" spans="1:7" x14ac:dyDescent="0.35">
      <c r="A5230" t="str">
        <f>"2026-03-13"</f>
        <v>2026-03-13</v>
      </c>
      <c r="B5230" t="str">
        <f>"40.7173"</f>
        <v>40.7173</v>
      </c>
      <c r="C5230">
        <v>5228</v>
      </c>
      <c r="D5230" s="7">
        <v>40.717300000000002</v>
      </c>
      <c r="E5230" s="7">
        <f t="shared" si="162"/>
        <v>212870.04440000001</v>
      </c>
      <c r="F5230" s="7">
        <f t="shared" si="163"/>
        <v>27331984</v>
      </c>
      <c r="G5230" s="7"/>
    </row>
    <row r="5231" spans="1:7" x14ac:dyDescent="0.35">
      <c r="A5231" t="str">
        <f>"2026-03-16"</f>
        <v>2026-03-16</v>
      </c>
      <c r="B5231" t="str">
        <f>"40.8904"</f>
        <v>40.8904</v>
      </c>
      <c r="C5231">
        <v>5229</v>
      </c>
      <c r="D5231" s="7">
        <v>40.8904</v>
      </c>
      <c r="E5231" s="7">
        <f t="shared" si="162"/>
        <v>213815.90160000001</v>
      </c>
      <c r="F5231" s="7">
        <f t="shared" si="163"/>
        <v>27342441</v>
      </c>
      <c r="G5231" s="7"/>
    </row>
    <row r="5232" spans="1:7" x14ac:dyDescent="0.35">
      <c r="A5232" t="str">
        <f>"2026-03-17"</f>
        <v>2026-03-17</v>
      </c>
      <c r="B5232" t="str">
        <f>"41.4903"</f>
        <v>41.4903</v>
      </c>
      <c r="C5232">
        <v>5230</v>
      </c>
      <c r="D5232" s="7">
        <v>41.490299999999998</v>
      </c>
      <c r="E5232" s="7">
        <f t="shared" si="162"/>
        <v>216994.269</v>
      </c>
      <c r="F5232" s="7">
        <f t="shared" si="163"/>
        <v>27352900</v>
      </c>
      <c r="G5232" s="7"/>
    </row>
    <row r="5233" spans="1:7" x14ac:dyDescent="0.35">
      <c r="A5233" t="str">
        <f>"2026-03-18"</f>
        <v>2026-03-18</v>
      </c>
      <c r="B5233" t="str">
        <f>"41.8269"</f>
        <v>41.8269</v>
      </c>
      <c r="C5233">
        <v>5231</v>
      </c>
      <c r="D5233" s="7">
        <v>41.826900000000002</v>
      </c>
      <c r="E5233" s="7">
        <f t="shared" si="162"/>
        <v>218796.51390000002</v>
      </c>
      <c r="F5233" s="7">
        <f t="shared" si="163"/>
        <v>27363361</v>
      </c>
      <c r="G5233" s="7"/>
    </row>
    <row r="5234" spans="1:7" x14ac:dyDescent="0.35">
      <c r="A5234" t="str">
        <f>"2026-03-19"</f>
        <v>2026-03-19</v>
      </c>
      <c r="B5234" t="str">
        <f>"44.1615"</f>
        <v>44.1615</v>
      </c>
      <c r="C5234">
        <v>5232</v>
      </c>
      <c r="D5234" s="7">
        <v>44.161499999999997</v>
      </c>
      <c r="E5234" s="7">
        <f t="shared" si="162"/>
        <v>231052.96799999999</v>
      </c>
      <c r="F5234" s="7">
        <f t="shared" si="163"/>
        <v>27373824</v>
      </c>
      <c r="G5234" s="7"/>
    </row>
    <row r="5235" spans="1:7" x14ac:dyDescent="0.35">
      <c r="A5235" t="str">
        <f>"2026-03-23"</f>
        <v>2026-03-23</v>
      </c>
      <c r="B5235" t="str">
        <f>"47.1169"</f>
        <v>47.1169</v>
      </c>
      <c r="C5235">
        <v>5233</v>
      </c>
      <c r="D5235" s="7">
        <v>47.116900000000001</v>
      </c>
      <c r="E5235" s="7">
        <f t="shared" si="162"/>
        <v>246562.7377</v>
      </c>
      <c r="F5235" s="7">
        <f t="shared" si="163"/>
        <v>27384289</v>
      </c>
      <c r="G5235" s="7"/>
    </row>
    <row r="5236" spans="1:7" x14ac:dyDescent="0.35">
      <c r="A5236" t="str">
        <f>"2026-03-24"</f>
        <v>2026-03-24</v>
      </c>
      <c r="B5236" t="str">
        <f>"46.402"</f>
        <v>46.402</v>
      </c>
      <c r="C5236">
        <v>5234</v>
      </c>
      <c r="D5236" s="7">
        <v>46.402000000000001</v>
      </c>
      <c r="E5236" s="7">
        <f t="shared" si="162"/>
        <v>242868.068</v>
      </c>
      <c r="F5236" s="7">
        <f t="shared" si="163"/>
        <v>27394756</v>
      </c>
      <c r="G5236" s="7"/>
    </row>
    <row r="5237" spans="1:7" x14ac:dyDescent="0.35">
      <c r="A5237" t="str">
        <f>"2026-03-25"</f>
        <v>2026-03-25</v>
      </c>
      <c r="B5237" t="str">
        <f>"45.406"</f>
        <v>45.406</v>
      </c>
      <c r="C5237">
        <v>5235</v>
      </c>
      <c r="D5237" s="7">
        <v>45.405999999999999</v>
      </c>
      <c r="E5237" s="7">
        <f t="shared" si="162"/>
        <v>237700.41</v>
      </c>
      <c r="F5237" s="7">
        <f t="shared" si="163"/>
        <v>27405225</v>
      </c>
      <c r="G5237" s="7"/>
    </row>
    <row r="5238" spans="1:7" x14ac:dyDescent="0.35">
      <c r="A5238" t="str">
        <f>"2026-03-26"</f>
        <v>2026-03-26</v>
      </c>
      <c r="B5238" t="str">
        <f>"47.0382"</f>
        <v>47.0382</v>
      </c>
      <c r="C5238">
        <v>5236</v>
      </c>
      <c r="D5238" s="7">
        <v>47.038200000000003</v>
      </c>
      <c r="E5238" s="7">
        <f t="shared" si="162"/>
        <v>246292.01520000002</v>
      </c>
      <c r="F5238" s="7">
        <f t="shared" si="163"/>
        <v>27415696</v>
      </c>
      <c r="G5238" s="7"/>
    </row>
    <row r="5239" spans="1:7" x14ac:dyDescent="0.35">
      <c r="A5239" t="str">
        <f>"2026-03-27"</f>
        <v>2026-03-27</v>
      </c>
      <c r="B5239" t="str">
        <f>"45.7921"</f>
        <v>45.7921</v>
      </c>
      <c r="C5239">
        <v>5237</v>
      </c>
      <c r="D5239" s="7">
        <v>45.792099999999998</v>
      </c>
      <c r="E5239" s="7">
        <f t="shared" si="162"/>
        <v>239813.22769999999</v>
      </c>
      <c r="F5239" s="7">
        <f t="shared" si="163"/>
        <v>27426169</v>
      </c>
      <c r="G5239" s="7"/>
    </row>
    <row r="5240" spans="1:7" x14ac:dyDescent="0.35">
      <c r="A5240" t="str">
        <f>"2026-03-30"</f>
        <v>2026-03-30</v>
      </c>
      <c r="B5240" t="str">
        <f>"44.647"</f>
        <v>44.647</v>
      </c>
      <c r="C5240">
        <v>5238</v>
      </c>
      <c r="D5240" s="7">
        <v>44.646999999999998</v>
      </c>
      <c r="E5240" s="7">
        <f t="shared" si="162"/>
        <v>233860.986</v>
      </c>
      <c r="F5240" s="7">
        <f t="shared" si="163"/>
        <v>27436644</v>
      </c>
      <c r="G5240" s="7"/>
    </row>
    <row r="5241" spans="1:7" x14ac:dyDescent="0.35">
      <c r="A5241" t="str">
        <f>"2026-03-31"</f>
        <v>2026-03-31</v>
      </c>
      <c r="B5241" t="str">
        <f>"44.2784"</f>
        <v>44.2784</v>
      </c>
      <c r="C5241">
        <v>5239</v>
      </c>
      <c r="D5241" s="7">
        <v>44.278399999999998</v>
      </c>
      <c r="E5241" s="7">
        <f t="shared" si="162"/>
        <v>231974.53759999998</v>
      </c>
      <c r="F5241" s="7">
        <f t="shared" si="163"/>
        <v>27447121</v>
      </c>
      <c r="G5241" s="7"/>
    </row>
    <row r="5242" spans="1:7" x14ac:dyDescent="0.35">
      <c r="A5242" t="str">
        <f>"2026-04-01"</f>
        <v>2026-04-01</v>
      </c>
      <c r="B5242" t="str">
        <f>"43.59"</f>
        <v>43.59</v>
      </c>
      <c r="C5242">
        <v>5240</v>
      </c>
      <c r="D5242" s="7">
        <v>43.59</v>
      </c>
      <c r="E5242" s="7">
        <f t="shared" si="162"/>
        <v>228411.6</v>
      </c>
      <c r="F5242" s="7">
        <f t="shared" si="163"/>
        <v>27457600</v>
      </c>
      <c r="G5242" s="7"/>
    </row>
    <row r="5243" spans="1:7" x14ac:dyDescent="0.35">
      <c r="A5243" t="str">
        <f>"2026-04-02"</f>
        <v>2026-04-02</v>
      </c>
      <c r="B5243" t="str">
        <f>"45.0555"</f>
        <v>45.0555</v>
      </c>
      <c r="C5243">
        <v>5241</v>
      </c>
      <c r="D5243" s="7">
        <v>45.055500000000002</v>
      </c>
      <c r="E5243" s="7">
        <f t="shared" si="162"/>
        <v>236135.87550000002</v>
      </c>
      <c r="F5243" s="7">
        <f t="shared" si="163"/>
        <v>27468081</v>
      </c>
      <c r="G5243" s="7"/>
    </row>
    <row r="5244" spans="1:7" x14ac:dyDescent="0.35">
      <c r="A5244" t="str">
        <f>"2026-04-06"</f>
        <v>2026-04-06</v>
      </c>
      <c r="B5244" t="str">
        <f>"44.5311"</f>
        <v>44.5311</v>
      </c>
      <c r="C5244">
        <v>5242</v>
      </c>
      <c r="D5244" s="7">
        <v>44.531100000000002</v>
      </c>
      <c r="E5244" s="7">
        <f t="shared" si="162"/>
        <v>233432.02620000002</v>
      </c>
      <c r="F5244" s="7">
        <f t="shared" si="163"/>
        <v>27478564</v>
      </c>
      <c r="G5244" s="7"/>
    </row>
    <row r="5245" spans="1:7" x14ac:dyDescent="0.35">
      <c r="A5245" t="str">
        <f>"2026-04-07"</f>
        <v>2026-04-07</v>
      </c>
      <c r="B5245" t="str">
        <f>"43.7212"</f>
        <v>43.7212</v>
      </c>
      <c r="C5245">
        <v>5243</v>
      </c>
      <c r="D5245" s="7">
        <v>43.721200000000003</v>
      </c>
      <c r="E5245" s="7">
        <f t="shared" si="162"/>
        <v>229230.25160000002</v>
      </c>
      <c r="F5245" s="7">
        <f t="shared" si="163"/>
        <v>27489049</v>
      </c>
      <c r="G5245" s="7"/>
    </row>
    <row r="5246" spans="1:7" x14ac:dyDescent="0.35">
      <c r="A5246" t="str">
        <f>"2026-04-08"</f>
        <v>2026-04-08</v>
      </c>
      <c r="B5246" t="str">
        <f>"46.5799"</f>
        <v>46.5799</v>
      </c>
      <c r="C5246">
        <v>5244</v>
      </c>
      <c r="D5246" s="7">
        <v>46.579900000000002</v>
      </c>
      <c r="E5246" s="7">
        <f t="shared" si="162"/>
        <v>244264.99560000002</v>
      </c>
      <c r="F5246" s="7">
        <f t="shared" si="163"/>
        <v>27499536</v>
      </c>
      <c r="G5246" s="7"/>
    </row>
    <row r="5247" spans="1:7" x14ac:dyDescent="0.35">
      <c r="A5247" t="str">
        <f>"2026-04-09"</f>
        <v>2026-04-09</v>
      </c>
      <c r="B5247" t="str">
        <f>"46.6159"</f>
        <v>46.6159</v>
      </c>
      <c r="C5247">
        <v>5245</v>
      </c>
      <c r="D5247" s="7">
        <v>46.615900000000003</v>
      </c>
      <c r="E5247" s="7">
        <f t="shared" si="162"/>
        <v>244500.39550000001</v>
      </c>
      <c r="F5247" s="7">
        <f t="shared" si="163"/>
        <v>27510025</v>
      </c>
      <c r="G5247" s="7"/>
    </row>
    <row r="5248" spans="1:7" x14ac:dyDescent="0.35">
      <c r="A5248" t="str">
        <f>"2026-04-10"</f>
        <v>2026-04-10</v>
      </c>
      <c r="B5248" t="str">
        <f>"47.3001"</f>
        <v>47.3001</v>
      </c>
      <c r="C5248">
        <v>5246</v>
      </c>
      <c r="D5248" s="7">
        <v>47.3001</v>
      </c>
      <c r="E5248" s="7">
        <f t="shared" si="162"/>
        <v>248136.32459999999</v>
      </c>
      <c r="F5248" s="7">
        <f t="shared" si="163"/>
        <v>27520516</v>
      </c>
      <c r="G5248" s="7"/>
    </row>
    <row r="5249" spans="1:7" x14ac:dyDescent="0.35">
      <c r="A5249" t="str">
        <f>"2026-04-13"</f>
        <v>2026-04-13</v>
      </c>
      <c r="B5249" t="str">
        <f>"46.4755"</f>
        <v>46.4755</v>
      </c>
      <c r="C5249">
        <v>5247</v>
      </c>
      <c r="D5249" s="7">
        <v>46.475499999999997</v>
      </c>
      <c r="E5249" s="7">
        <f t="shared" si="162"/>
        <v>243856.94849999997</v>
      </c>
      <c r="F5249" s="7">
        <f t="shared" si="163"/>
        <v>27531009</v>
      </c>
      <c r="G5249" s="7"/>
    </row>
    <row r="5250" spans="1:7" x14ac:dyDescent="0.35">
      <c r="A5250" t="str">
        <f>"2026-04-14"</f>
        <v>2026-04-14</v>
      </c>
      <c r="B5250" t="str">
        <f>"46.7219"</f>
        <v>46.7219</v>
      </c>
      <c r="C5250">
        <v>5248</v>
      </c>
      <c r="D5250" s="7">
        <v>46.721899999999998</v>
      </c>
      <c r="E5250" s="7">
        <f t="shared" si="162"/>
        <v>245196.5312</v>
      </c>
      <c r="F5250" s="7">
        <f t="shared" si="163"/>
        <v>27541504</v>
      </c>
      <c r="G5250" s="7"/>
    </row>
    <row r="5251" spans="1:7" x14ac:dyDescent="0.35">
      <c r="A5251" t="str">
        <f>"2026-04-15"</f>
        <v>2026-04-15</v>
      </c>
      <c r="B5251" t="str">
        <f>"46.247"</f>
        <v>46.247</v>
      </c>
      <c r="C5251">
        <v>5249</v>
      </c>
      <c r="D5251" s="7">
        <v>46.247</v>
      </c>
      <c r="E5251" s="7">
        <f t="shared" si="162"/>
        <v>242750.503</v>
      </c>
      <c r="F5251" s="7">
        <f t="shared" si="163"/>
        <v>27552001</v>
      </c>
      <c r="G5251" s="7"/>
    </row>
    <row r="5252" spans="1:7" x14ac:dyDescent="0.35">
      <c r="A5252" t="str">
        <f>"2026-04-16"</f>
        <v>2026-04-16</v>
      </c>
      <c r="B5252" t="str">
        <f>"46.1015"</f>
        <v>46.1015</v>
      </c>
      <c r="C5252">
        <v>5250</v>
      </c>
      <c r="D5252" s="7">
        <v>46.101500000000001</v>
      </c>
      <c r="E5252" s="7">
        <f t="shared" ref="E5252:E5315" si="164">C5252*D5252</f>
        <v>242032.875</v>
      </c>
      <c r="F5252" s="7">
        <f t="shared" ref="F5252:F5315" si="165">C5252*C5252</f>
        <v>27562500</v>
      </c>
      <c r="G5252" s="7"/>
    </row>
    <row r="5253" spans="1:7" x14ac:dyDescent="0.35">
      <c r="A5253" t="str">
        <f>"2026-04-17"</f>
        <v>2026-04-17</v>
      </c>
      <c r="B5253" t="str">
        <f>"46.9716"</f>
        <v>46.9716</v>
      </c>
      <c r="C5253">
        <v>5251</v>
      </c>
      <c r="D5253" s="7">
        <v>46.971600000000002</v>
      </c>
      <c r="E5253" s="7">
        <f t="shared" si="164"/>
        <v>246647.87160000001</v>
      </c>
      <c r="F5253" s="7">
        <f t="shared" si="165"/>
        <v>27573001</v>
      </c>
      <c r="G5253" s="7"/>
    </row>
    <row r="5254" spans="1:7" x14ac:dyDescent="0.35">
      <c r="A5254" t="str">
        <f>"2026-04-20"</f>
        <v>2026-04-20</v>
      </c>
      <c r="B5254" t="str">
        <f>"47.3558"</f>
        <v>47.3558</v>
      </c>
      <c r="C5254">
        <v>5252</v>
      </c>
      <c r="D5254" s="7">
        <v>47.355800000000002</v>
      </c>
      <c r="E5254" s="7">
        <f t="shared" si="164"/>
        <v>248712.66160000002</v>
      </c>
      <c r="F5254" s="7">
        <f t="shared" si="165"/>
        <v>27583504</v>
      </c>
      <c r="G5254" s="7"/>
    </row>
    <row r="5255" spans="1:7" x14ac:dyDescent="0.35">
      <c r="A5255" t="str">
        <f>"2026-04-21"</f>
        <v>2026-04-21</v>
      </c>
      <c r="B5255" t="str">
        <f>"48.2282"</f>
        <v>48.2282</v>
      </c>
      <c r="C5255">
        <v>5253</v>
      </c>
      <c r="D5255" s="7">
        <v>48.228200000000001</v>
      </c>
      <c r="E5255" s="7">
        <f t="shared" si="164"/>
        <v>253342.7346</v>
      </c>
      <c r="F5255" s="7">
        <f t="shared" si="165"/>
        <v>27594009</v>
      </c>
      <c r="G5255" s="7"/>
    </row>
    <row r="5256" spans="1:7" x14ac:dyDescent="0.35">
      <c r="A5256" t="str">
        <f>"2026-04-22"</f>
        <v>2026-04-22</v>
      </c>
      <c r="B5256" t="str">
        <f>"47.3327"</f>
        <v>47.3327</v>
      </c>
      <c r="C5256">
        <v>5254</v>
      </c>
      <c r="D5256" s="7">
        <v>47.332700000000003</v>
      </c>
      <c r="E5256" s="7">
        <f t="shared" si="164"/>
        <v>248686.00580000001</v>
      </c>
      <c r="F5256" s="7">
        <f t="shared" si="165"/>
        <v>27604516</v>
      </c>
      <c r="G5256" s="7"/>
    </row>
    <row r="5257" spans="1:7" x14ac:dyDescent="0.35">
      <c r="A5257" t="str">
        <f>"2026-04-24"</f>
        <v>2026-04-24</v>
      </c>
      <c r="B5257" t="str">
        <f>"47.5949"</f>
        <v>47.5949</v>
      </c>
      <c r="C5257">
        <v>5255</v>
      </c>
      <c r="D5257" s="7">
        <v>47.594900000000003</v>
      </c>
      <c r="E5257" s="7">
        <f t="shared" si="164"/>
        <v>250111.19950000002</v>
      </c>
      <c r="F5257" s="7">
        <f t="shared" si="165"/>
        <v>27615025</v>
      </c>
      <c r="G5257" s="7"/>
    </row>
    <row r="5258" spans="1:7" x14ac:dyDescent="0.35">
      <c r="A5258" t="str">
        <f>"2026-04-27"</f>
        <v>2026-04-27</v>
      </c>
      <c r="B5258" t="str">
        <f>"47.3677"</f>
        <v>47.3677</v>
      </c>
      <c r="C5258">
        <v>5256</v>
      </c>
      <c r="D5258" s="7">
        <v>47.367699999999999</v>
      </c>
      <c r="E5258" s="7">
        <f t="shared" si="164"/>
        <v>248964.6312</v>
      </c>
      <c r="F5258" s="7">
        <f t="shared" si="165"/>
        <v>27625536</v>
      </c>
      <c r="G5258" s="7"/>
    </row>
    <row r="5259" spans="1:7" x14ac:dyDescent="0.35">
      <c r="A5259" t="str">
        <f>"2026-04-28"</f>
        <v>2026-04-28</v>
      </c>
      <c r="B5259" t="str">
        <f>"47.5005"</f>
        <v>47.5005</v>
      </c>
      <c r="C5259">
        <v>5257</v>
      </c>
      <c r="D5259" s="7">
        <v>47.500500000000002</v>
      </c>
      <c r="E5259" s="7">
        <f t="shared" si="164"/>
        <v>249710.12850000002</v>
      </c>
      <c r="F5259" s="7">
        <f t="shared" si="165"/>
        <v>27636049</v>
      </c>
      <c r="G5259" s="7"/>
    </row>
    <row r="5260" spans="1:7" x14ac:dyDescent="0.35">
      <c r="A5260" t="str">
        <f>"2026-04-29"</f>
        <v>2026-04-29</v>
      </c>
      <c r="B5260" t="str">
        <f>"47.7616"</f>
        <v>47.7616</v>
      </c>
      <c r="C5260">
        <v>5258</v>
      </c>
      <c r="D5260" s="7">
        <v>47.761600000000001</v>
      </c>
      <c r="E5260" s="7">
        <f t="shared" si="164"/>
        <v>251130.49280000001</v>
      </c>
      <c r="F5260" s="7">
        <f t="shared" si="165"/>
        <v>27646564</v>
      </c>
      <c r="G5260" s="7"/>
    </row>
    <row r="5261" spans="1:7" x14ac:dyDescent="0.35">
      <c r="A5261" t="str">
        <f>"2026-04-30"</f>
        <v>2026-04-30</v>
      </c>
      <c r="B5261" t="str">
        <f>"45.9999"</f>
        <v>45.9999</v>
      </c>
      <c r="C5261">
        <v>5259</v>
      </c>
      <c r="D5261" s="7">
        <v>45.999899999999997</v>
      </c>
      <c r="E5261" s="7">
        <f t="shared" si="164"/>
        <v>241913.47409999999</v>
      </c>
      <c r="F5261" s="7">
        <f t="shared" si="165"/>
        <v>27657081</v>
      </c>
      <c r="G5261" s="7"/>
    </row>
    <row r="5262" spans="1:7" x14ac:dyDescent="0.35">
      <c r="A5262" t="str">
        <f>"2026-05-04"</f>
        <v>2026-05-04</v>
      </c>
      <c r="B5262" t="str">
        <f>"45.8065"</f>
        <v>45.8065</v>
      </c>
      <c r="C5262">
        <v>5260</v>
      </c>
      <c r="D5262" s="7">
        <v>45.8065</v>
      </c>
      <c r="E5262" s="7">
        <f t="shared" si="164"/>
        <v>240942.19</v>
      </c>
      <c r="F5262" s="7">
        <f t="shared" si="165"/>
        <v>27667600</v>
      </c>
      <c r="G5262" s="7"/>
    </row>
    <row r="5263" spans="1:7" x14ac:dyDescent="0.35">
      <c r="A5263" t="str">
        <f>"2026-05-05"</f>
        <v>2026-05-05</v>
      </c>
      <c r="B5263" t="str">
        <f>"45.45"</f>
        <v>45.45</v>
      </c>
      <c r="C5263">
        <v>5261</v>
      </c>
      <c r="D5263" s="7">
        <v>45.45</v>
      </c>
      <c r="E5263" s="7">
        <f t="shared" si="164"/>
        <v>239112.45</v>
      </c>
      <c r="F5263" s="7">
        <f t="shared" si="165"/>
        <v>27678121</v>
      </c>
      <c r="G5263" s="7"/>
    </row>
    <row r="5264" spans="1:7" x14ac:dyDescent="0.35">
      <c r="A5264" t="str">
        <f>"2026-05-06"</f>
        <v>2026-05-06</v>
      </c>
      <c r="B5264" t="str">
        <f>"45.4963"</f>
        <v>45.4963</v>
      </c>
      <c r="C5264">
        <v>5262</v>
      </c>
      <c r="D5264" s="7">
        <v>45.496299999999998</v>
      </c>
      <c r="E5264" s="7">
        <f t="shared" si="164"/>
        <v>239401.5306</v>
      </c>
      <c r="F5264" s="7">
        <f t="shared" si="165"/>
        <v>27688644</v>
      </c>
      <c r="G5264" s="7"/>
    </row>
    <row r="5265" spans="1:7" x14ac:dyDescent="0.35">
      <c r="A5265" t="str">
        <f>"2026-05-07"</f>
        <v>2026-05-07</v>
      </c>
      <c r="B5265" t="str">
        <f>"45.7271"</f>
        <v>45.7271</v>
      </c>
      <c r="C5265">
        <v>5263</v>
      </c>
      <c r="D5265" s="7">
        <v>45.7271</v>
      </c>
      <c r="E5265" s="7">
        <f t="shared" si="164"/>
        <v>240661.7273</v>
      </c>
      <c r="F5265" s="7">
        <f t="shared" si="165"/>
        <v>27699169</v>
      </c>
      <c r="G5265" s="7"/>
    </row>
    <row r="5266" spans="1:7" x14ac:dyDescent="0.35">
      <c r="A5266" t="str">
        <f>"2026-05-08"</f>
        <v>2026-05-08</v>
      </c>
      <c r="B5266" t="str">
        <f>"45.3132"</f>
        <v>45.3132</v>
      </c>
      <c r="C5266">
        <v>5264</v>
      </c>
      <c r="D5266" s="7">
        <v>45.313200000000002</v>
      </c>
      <c r="E5266" s="7">
        <f t="shared" si="164"/>
        <v>238528.68480000002</v>
      </c>
      <c r="F5266" s="7">
        <f t="shared" si="165"/>
        <v>27709696</v>
      </c>
      <c r="G5266" s="7"/>
    </row>
    <row r="5267" spans="1:7" x14ac:dyDescent="0.35">
      <c r="A5267" t="str">
        <f>"2026-05-11"</f>
        <v>2026-05-11</v>
      </c>
      <c r="B5267" t="str">
        <f>"44.8374"</f>
        <v>44.8374</v>
      </c>
      <c r="C5267">
        <v>5265</v>
      </c>
      <c r="D5267" s="7">
        <v>44.837400000000002</v>
      </c>
      <c r="E5267" s="7">
        <f t="shared" si="164"/>
        <v>236068.91100000002</v>
      </c>
      <c r="F5267" s="7">
        <f t="shared" si="165"/>
        <v>27720225</v>
      </c>
      <c r="G5267" s="7"/>
    </row>
    <row r="5268" spans="1:7" x14ac:dyDescent="0.35">
      <c r="A5268" t="str">
        <f>"2026-05-12"</f>
        <v>2026-05-12</v>
      </c>
      <c r="B5268" t="str">
        <f>"44.7958"</f>
        <v>44.7958</v>
      </c>
      <c r="C5268">
        <v>5266</v>
      </c>
      <c r="D5268" s="7">
        <v>44.7958</v>
      </c>
      <c r="E5268" s="7">
        <f t="shared" si="164"/>
        <v>235894.68280000001</v>
      </c>
      <c r="F5268" s="7">
        <f t="shared" si="165"/>
        <v>27730756</v>
      </c>
      <c r="G5268" s="7"/>
    </row>
    <row r="5269" spans="1:7" x14ac:dyDescent="0.35">
      <c r="A5269" t="str">
        <f>"2026-05-13"</f>
        <v>2026-05-13</v>
      </c>
      <c r="B5269" t="str">
        <f>"44.3343"</f>
        <v>44.3343</v>
      </c>
      <c r="C5269">
        <v>5267</v>
      </c>
      <c r="D5269" s="7">
        <v>44.334299999999999</v>
      </c>
      <c r="E5269" s="7">
        <f t="shared" si="164"/>
        <v>233508.75810000001</v>
      </c>
      <c r="F5269" s="7">
        <f t="shared" si="165"/>
        <v>27741289</v>
      </c>
      <c r="G5269" s="7"/>
    </row>
    <row r="5270" spans="1:7" x14ac:dyDescent="0.35">
      <c r="A5270" t="str">
        <f>"2026-05-14"</f>
        <v>2026-05-14</v>
      </c>
      <c r="B5270" t="str">
        <f>"44.7465"</f>
        <v>44.7465</v>
      </c>
      <c r="C5270">
        <v>5268</v>
      </c>
      <c r="D5270" s="7">
        <v>44.746499999999997</v>
      </c>
      <c r="E5270" s="7">
        <f t="shared" si="164"/>
        <v>235724.56199999998</v>
      </c>
      <c r="F5270" s="7">
        <f t="shared" si="165"/>
        <v>27751824</v>
      </c>
      <c r="G5270" s="7"/>
    </row>
    <row r="5271" spans="1:7" x14ac:dyDescent="0.35">
      <c r="A5271" t="str">
        <f>"2026-05-15"</f>
        <v>2026-05-15</v>
      </c>
      <c r="B5271" t="str">
        <f>"44.9732"</f>
        <v>44.9732</v>
      </c>
      <c r="C5271">
        <v>5269</v>
      </c>
      <c r="D5271" s="7">
        <v>44.973199999999999</v>
      </c>
      <c r="E5271" s="7">
        <f t="shared" si="164"/>
        <v>236963.79079999999</v>
      </c>
      <c r="F5271" s="7">
        <f t="shared" si="165"/>
        <v>27762361</v>
      </c>
      <c r="G5271" s="7"/>
    </row>
    <row r="5272" spans="1:7" x14ac:dyDescent="0.35">
      <c r="A5272" t="str">
        <f>"2026-05-18"</f>
        <v>2026-05-18</v>
      </c>
      <c r="B5272" t="str">
        <f>"44.2289"</f>
        <v>44.2289</v>
      </c>
      <c r="C5272">
        <v>5270</v>
      </c>
      <c r="D5272" s="7">
        <v>44.228900000000003</v>
      </c>
      <c r="E5272" s="7">
        <f t="shared" si="164"/>
        <v>233086.30300000001</v>
      </c>
      <c r="F5272" s="7">
        <f t="shared" si="165"/>
        <v>27772900</v>
      </c>
      <c r="G5272" s="7"/>
    </row>
    <row r="5273" spans="1:7" x14ac:dyDescent="0.35">
      <c r="A5273" t="str">
        <f>"2026-05-20"</f>
        <v>2026-05-20</v>
      </c>
      <c r="B5273" t="str">
        <f>"44.4215"</f>
        <v>44.4215</v>
      </c>
      <c r="C5273">
        <v>5271</v>
      </c>
      <c r="D5273" s="7">
        <v>44.421500000000002</v>
      </c>
      <c r="E5273" s="7">
        <f t="shared" si="164"/>
        <v>234145.72650000002</v>
      </c>
      <c r="F5273" s="7">
        <f t="shared" si="165"/>
        <v>27783441</v>
      </c>
      <c r="G5273" s="7"/>
    </row>
    <row r="5274" spans="1:7" x14ac:dyDescent="0.35">
      <c r="A5274" t="str">
        <f>"2026-05-21"</f>
        <v>2026-05-21</v>
      </c>
      <c r="B5274" t="str">
        <f>"41.1757"</f>
        <v>41.1757</v>
      </c>
      <c r="C5274">
        <v>5272</v>
      </c>
      <c r="D5274" s="7">
        <v>41.175699999999999</v>
      </c>
      <c r="E5274" s="7">
        <f t="shared" si="164"/>
        <v>217078.2904</v>
      </c>
      <c r="F5274" s="7">
        <f t="shared" si="165"/>
        <v>27793984</v>
      </c>
      <c r="G5274" s="7"/>
    </row>
    <row r="5275" spans="1:7" x14ac:dyDescent="0.35">
      <c r="A5275" t="str">
        <f>"2026-05-22"</f>
        <v>2026-05-22</v>
      </c>
      <c r="B5275" t="str">
        <f>"43.3431"</f>
        <v>43.3431</v>
      </c>
      <c r="C5275">
        <v>5273</v>
      </c>
      <c r="D5275" s="7">
        <v>43.3431</v>
      </c>
      <c r="E5275" s="7">
        <f t="shared" si="164"/>
        <v>228548.16630000001</v>
      </c>
      <c r="F5275" s="7">
        <f t="shared" si="165"/>
        <v>27804529</v>
      </c>
      <c r="G5275" s="7"/>
    </row>
    <row r="5276" spans="1:7" x14ac:dyDescent="0.35">
      <c r="A5276" t="str">
        <f>"2026-05-26"</f>
        <v>2026-05-26</v>
      </c>
      <c r="B5276" t="str">
        <f>"44.6848"</f>
        <v>44.6848</v>
      </c>
      <c r="C5276">
        <v>5274</v>
      </c>
      <c r="D5276" s="7">
        <v>44.684800000000003</v>
      </c>
      <c r="E5276" s="7">
        <f t="shared" si="164"/>
        <v>235667.63520000002</v>
      </c>
      <c r="F5276" s="7">
        <f t="shared" si="165"/>
        <v>27815076</v>
      </c>
      <c r="G5276" s="7"/>
    </row>
    <row r="5277" spans="1:7" x14ac:dyDescent="0.35">
      <c r="A5277" t="str">
        <f>"2026-05-27"</f>
        <v>2026-05-27</v>
      </c>
      <c r="B5277" t="str">
        <f>"45.22"</f>
        <v>45.22</v>
      </c>
      <c r="C5277">
        <v>5275</v>
      </c>
      <c r="D5277" s="7">
        <v>45.22</v>
      </c>
      <c r="E5277" s="7">
        <f t="shared" si="164"/>
        <v>238535.5</v>
      </c>
      <c r="F5277" s="7">
        <f t="shared" si="165"/>
        <v>27825625</v>
      </c>
      <c r="G5277" s="7"/>
    </row>
    <row r="5278" spans="1:7" x14ac:dyDescent="0.35">
      <c r="A5278" t="str">
        <f>"2026-05-28"</f>
        <v>2026-05-28</v>
      </c>
      <c r="B5278" t="str">
        <f>"44.7003"</f>
        <v>44.7003</v>
      </c>
      <c r="C5278">
        <v>5276</v>
      </c>
      <c r="D5278" s="7">
        <v>44.700299999999999</v>
      </c>
      <c r="E5278" s="7">
        <f t="shared" si="164"/>
        <v>235838.78279999999</v>
      </c>
      <c r="F5278" s="7">
        <f t="shared" si="165"/>
        <v>27836176</v>
      </c>
      <c r="G5278" s="7"/>
    </row>
    <row r="5279" spans="1:7" x14ac:dyDescent="0.35">
      <c r="A5279" t="str">
        <f>"2026-05-29"</f>
        <v>2026-05-29</v>
      </c>
      <c r="B5279" t="str">
        <f>"44.1014"</f>
        <v>44.1014</v>
      </c>
      <c r="C5279">
        <v>5277</v>
      </c>
      <c r="D5279" s="7">
        <v>44.101399999999998</v>
      </c>
      <c r="E5279" s="7">
        <f t="shared" si="164"/>
        <v>232723.08779999998</v>
      </c>
      <c r="F5279" s="7">
        <f t="shared" si="165"/>
        <v>27846729</v>
      </c>
      <c r="G5279" s="7"/>
    </row>
    <row r="5280" spans="1:7" x14ac:dyDescent="0.35">
      <c r="A5280" t="str">
        <f>"2026-06-01"</f>
        <v>2026-06-01</v>
      </c>
      <c r="B5280" t="str">
        <f>"44.1412"</f>
        <v>44.1412</v>
      </c>
      <c r="C5280">
        <v>5278</v>
      </c>
      <c r="D5280" s="7">
        <v>44.141199999999998</v>
      </c>
      <c r="E5280" s="7">
        <f t="shared" si="164"/>
        <v>232977.2536</v>
      </c>
      <c r="F5280" s="7">
        <f t="shared" si="165"/>
        <v>27857284</v>
      </c>
      <c r="G5280" s="7"/>
    </row>
    <row r="5281" spans="1:7" x14ac:dyDescent="0.35">
      <c r="A5281" t="str">
        <f>"2026-06-02"</f>
        <v>2026-06-02</v>
      </c>
      <c r="B5281" t="str">
        <f>"45.2604"</f>
        <v>45.2604</v>
      </c>
      <c r="C5281">
        <v>5279</v>
      </c>
      <c r="D5281" s="7">
        <v>45.260399999999997</v>
      </c>
      <c r="E5281" s="7">
        <f t="shared" si="164"/>
        <v>238929.65159999998</v>
      </c>
      <c r="F5281" s="7">
        <f t="shared" si="165"/>
        <v>27867841</v>
      </c>
      <c r="G5281" s="7"/>
    </row>
    <row r="5282" spans="1:7" x14ac:dyDescent="0.35">
      <c r="A5282" t="str">
        <f>"2026-06-03"</f>
        <v>2026-06-03</v>
      </c>
      <c r="B5282" t="str">
        <f>"45.3176"</f>
        <v>45.3176</v>
      </c>
      <c r="C5282">
        <v>5280</v>
      </c>
      <c r="D5282" s="7">
        <v>45.317599999999999</v>
      </c>
      <c r="E5282" s="7">
        <f t="shared" si="164"/>
        <v>239276.92799999999</v>
      </c>
      <c r="F5282" s="7">
        <f t="shared" si="165"/>
        <v>27878400</v>
      </c>
      <c r="G5282" s="7"/>
    </row>
    <row r="5283" spans="1:7" x14ac:dyDescent="0.35">
      <c r="A5283" t="str">
        <f>"2026-06-04"</f>
        <v>2026-06-04</v>
      </c>
      <c r="B5283" t="str">
        <f>"45.3093"</f>
        <v>45.3093</v>
      </c>
      <c r="C5283">
        <v>5281</v>
      </c>
      <c r="D5283" s="7">
        <v>45.3093</v>
      </c>
      <c r="E5283" s="7">
        <f t="shared" si="164"/>
        <v>239278.41330000001</v>
      </c>
      <c r="F5283" s="7">
        <f t="shared" si="165"/>
        <v>27888961</v>
      </c>
      <c r="G5283" s="7"/>
    </row>
    <row r="5284" spans="1:7" x14ac:dyDescent="0.35">
      <c r="A5284" t="str">
        <f>"2026-06-05"</f>
        <v>2026-06-05</v>
      </c>
      <c r="B5284" t="str">
        <f>"46.2382"</f>
        <v>46.2382</v>
      </c>
      <c r="C5284">
        <v>5282</v>
      </c>
      <c r="D5284" s="7">
        <v>46.238199999999999</v>
      </c>
      <c r="E5284" s="7">
        <f t="shared" si="164"/>
        <v>244230.17239999998</v>
      </c>
      <c r="F5284" s="7">
        <f t="shared" si="165"/>
        <v>27899524</v>
      </c>
      <c r="G5284" s="7"/>
    </row>
    <row r="5285" spans="1:7" x14ac:dyDescent="0.35">
      <c r="A5285" t="str">
        <f>"2026-06-08"</f>
        <v>2026-06-08</v>
      </c>
      <c r="B5285" t="str">
        <f>"46.2631"</f>
        <v>46.2631</v>
      </c>
      <c r="C5285">
        <v>5283</v>
      </c>
      <c r="D5285" s="7">
        <v>46.263100000000001</v>
      </c>
      <c r="E5285" s="7">
        <f t="shared" si="164"/>
        <v>244407.95730000001</v>
      </c>
      <c r="F5285" s="7">
        <f t="shared" si="165"/>
        <v>27910089</v>
      </c>
      <c r="G5285" s="7"/>
    </row>
    <row r="5286" spans="1:7" x14ac:dyDescent="0.35">
      <c r="A5286" t="str">
        <f>"2026-06-09"</f>
        <v>2026-06-09</v>
      </c>
      <c r="B5286" t="str">
        <f>"46.9924"</f>
        <v>46.9924</v>
      </c>
      <c r="C5286">
        <v>5284</v>
      </c>
      <c r="D5286" s="7">
        <v>46.992400000000004</v>
      </c>
      <c r="E5286" s="7">
        <f t="shared" si="164"/>
        <v>248307.84160000001</v>
      </c>
      <c r="F5286" s="7">
        <f t="shared" si="165"/>
        <v>27920656</v>
      </c>
      <c r="G5286" s="7"/>
    </row>
    <row r="5287" spans="1:7" x14ac:dyDescent="0.35">
      <c r="A5287" t="str">
        <f>"2026-06-10"</f>
        <v>2026-06-10</v>
      </c>
      <c r="B5287" t="str">
        <f>"48.5094"</f>
        <v>48.5094</v>
      </c>
      <c r="C5287">
        <v>5285</v>
      </c>
      <c r="D5287" s="7">
        <v>48.509399999999999</v>
      </c>
      <c r="E5287" s="7">
        <f t="shared" si="164"/>
        <v>256372.179</v>
      </c>
      <c r="F5287" s="7">
        <f t="shared" si="165"/>
        <v>27931225</v>
      </c>
      <c r="G5287" s="7"/>
    </row>
    <row r="5288" spans="1:7" x14ac:dyDescent="0.35">
      <c r="A5288" t="str">
        <f>"2026-06-11"</f>
        <v>2026-06-11</v>
      </c>
      <c r="B5288" t="str">
        <f>"48.3183"</f>
        <v>48.3183</v>
      </c>
      <c r="C5288">
        <v>5286</v>
      </c>
      <c r="D5288" s="7">
        <v>48.318300000000001</v>
      </c>
      <c r="E5288" s="7">
        <f t="shared" si="164"/>
        <v>255410.5338</v>
      </c>
      <c r="F5288" s="7">
        <f t="shared" si="165"/>
        <v>27941796</v>
      </c>
      <c r="G5288" s="7"/>
    </row>
    <row r="5289" spans="1:7" x14ac:dyDescent="0.35">
      <c r="A5289" t="str">
        <f>"2026-06-12"</f>
        <v>2026-06-12</v>
      </c>
      <c r="B5289" t="str">
        <f>"49.1116"</f>
        <v>49.1116</v>
      </c>
      <c r="C5289">
        <v>5287</v>
      </c>
      <c r="D5289" s="7">
        <v>49.111600000000003</v>
      </c>
      <c r="E5289" s="7">
        <f t="shared" si="164"/>
        <v>259653.02920000002</v>
      </c>
      <c r="F5289" s="7">
        <f t="shared" si="165"/>
        <v>27952369</v>
      </c>
      <c r="G5289" s="7"/>
    </row>
    <row r="5290" spans="1:7" x14ac:dyDescent="0.35">
      <c r="A5290" t="str">
        <f>"2026-06-15"</f>
        <v>2026-06-15</v>
      </c>
      <c r="B5290" t="str">
        <f>"50.601"</f>
        <v>50.601</v>
      </c>
      <c r="C5290">
        <v>5288</v>
      </c>
      <c r="D5290" s="7">
        <v>50.600999999999999</v>
      </c>
      <c r="E5290" s="7">
        <f t="shared" si="164"/>
        <v>267578.08799999999</v>
      </c>
      <c r="F5290" s="7">
        <f t="shared" si="165"/>
        <v>27962944</v>
      </c>
      <c r="G5290" s="7"/>
    </row>
    <row r="5291" spans="1:7" x14ac:dyDescent="0.35">
      <c r="A5291" t="str">
        <f>"2026-06-16"</f>
        <v>2026-06-16</v>
      </c>
      <c r="B5291" t="str">
        <f>"50.6617"</f>
        <v>50.6617</v>
      </c>
      <c r="C5291">
        <v>5289</v>
      </c>
      <c r="D5291" s="7">
        <v>50.661700000000003</v>
      </c>
      <c r="E5291" s="7">
        <f t="shared" si="164"/>
        <v>267949.73130000004</v>
      </c>
      <c r="F5291" s="7">
        <f t="shared" si="165"/>
        <v>27973521</v>
      </c>
      <c r="G5291" s="7"/>
    </row>
    <row r="5292" spans="1:7" x14ac:dyDescent="0.35">
      <c r="A5292" t="str">
        <f>"2026-06-17"</f>
        <v>2026-06-17</v>
      </c>
      <c r="B5292" t="str">
        <f>"49.5815"</f>
        <v>49.5815</v>
      </c>
      <c r="C5292">
        <v>5290</v>
      </c>
      <c r="D5292" s="7">
        <v>49.581499999999998</v>
      </c>
      <c r="E5292" s="7">
        <f t="shared" si="164"/>
        <v>262286.13500000001</v>
      </c>
      <c r="F5292" s="7">
        <f t="shared" si="165"/>
        <v>27984100</v>
      </c>
      <c r="G5292" s="7"/>
    </row>
    <row r="5293" spans="1:7" x14ac:dyDescent="0.35">
      <c r="A5293" t="str">
        <f>"2026-06-18"</f>
        <v>2026-06-18</v>
      </c>
      <c r="B5293" t="str">
        <f>"52.0856"</f>
        <v>52.0856</v>
      </c>
      <c r="C5293">
        <v>5291</v>
      </c>
      <c r="D5293" s="7">
        <v>52.085599999999999</v>
      </c>
      <c r="E5293" s="7">
        <f t="shared" si="164"/>
        <v>275584.90960000001</v>
      </c>
      <c r="F5293" s="7">
        <f t="shared" si="165"/>
        <v>27994681</v>
      </c>
      <c r="G5293" s="7"/>
    </row>
    <row r="5294" spans="1:7" x14ac:dyDescent="0.35">
      <c r="A5294" t="str">
        <f>"2026-06-22"</f>
        <v>2026-06-22</v>
      </c>
      <c r="B5294" t="str">
        <f>"51.9971"</f>
        <v>51.9971</v>
      </c>
      <c r="C5294">
        <v>5292</v>
      </c>
      <c r="D5294" s="7">
        <v>51.997100000000003</v>
      </c>
      <c r="E5294" s="7">
        <f t="shared" si="164"/>
        <v>275168.6532</v>
      </c>
      <c r="F5294" s="7">
        <f t="shared" si="165"/>
        <v>28005264</v>
      </c>
      <c r="G5294" s="7"/>
    </row>
    <row r="5295" spans="1:7" x14ac:dyDescent="0.35">
      <c r="A5295" t="str">
        <f>"2026-06-23"</f>
        <v>2026-06-23</v>
      </c>
      <c r="B5295" t="str">
        <f>"52.676"</f>
        <v>52.676</v>
      </c>
      <c r="C5295">
        <v>5293</v>
      </c>
      <c r="D5295" s="7">
        <v>52.676000000000002</v>
      </c>
      <c r="E5295" s="7">
        <f t="shared" si="164"/>
        <v>278814.06800000003</v>
      </c>
      <c r="F5295" s="7">
        <f t="shared" si="165"/>
        <v>28015849</v>
      </c>
      <c r="G5295" s="7"/>
    </row>
    <row r="5296" spans="1:7" x14ac:dyDescent="0.35">
      <c r="A5296" t="str">
        <f>"2026-06-24"</f>
        <v>2026-06-24</v>
      </c>
      <c r="B5296" t="str">
        <f>"54.4718"</f>
        <v>54.4718</v>
      </c>
      <c r="C5296">
        <v>5294</v>
      </c>
      <c r="D5296" s="7">
        <v>54.471800000000002</v>
      </c>
      <c r="E5296" s="7">
        <f t="shared" si="164"/>
        <v>288373.70919999998</v>
      </c>
      <c r="F5296" s="7">
        <f t="shared" si="165"/>
        <v>28026436</v>
      </c>
      <c r="G5296" s="7"/>
    </row>
    <row r="5297" spans="1:7" x14ac:dyDescent="0.35">
      <c r="A5297" t="str">
        <f>"2026-06-25"</f>
        <v>2026-06-25</v>
      </c>
      <c r="B5297" t="str">
        <f>"54.5106"</f>
        <v>54.5106</v>
      </c>
      <c r="C5297">
        <v>5295</v>
      </c>
      <c r="D5297" s="7">
        <v>54.510599999999997</v>
      </c>
      <c r="E5297" s="7">
        <f t="shared" si="164"/>
        <v>288633.62699999998</v>
      </c>
      <c r="F5297" s="7">
        <f t="shared" si="165"/>
        <v>28037025</v>
      </c>
      <c r="G5297" s="7"/>
    </row>
    <row r="5298" spans="1:7" x14ac:dyDescent="0.35">
      <c r="A5298" t="str">
        <f>"2026-06-26"</f>
        <v>2026-06-26</v>
      </c>
      <c r="B5298" t="str">
        <f>"54.1495"</f>
        <v>54.1495</v>
      </c>
      <c r="C5298">
        <v>5296</v>
      </c>
      <c r="D5298" s="7">
        <v>54.149500000000003</v>
      </c>
      <c r="E5298" s="7">
        <f t="shared" si="164"/>
        <v>286775.75200000004</v>
      </c>
      <c r="F5298" s="7">
        <f t="shared" si="165"/>
        <v>28047616</v>
      </c>
      <c r="G5298" s="7"/>
    </row>
    <row r="5299" spans="1:7" x14ac:dyDescent="0.35">
      <c r="A5299" t="str">
        <f>"2026-06-29"</f>
        <v>2026-06-29</v>
      </c>
      <c r="B5299" t="str">
        <f>"54.575"</f>
        <v>54.575</v>
      </c>
      <c r="C5299">
        <v>5297</v>
      </c>
      <c r="D5299" s="7">
        <v>54.575000000000003</v>
      </c>
      <c r="E5299" s="7">
        <f t="shared" si="164"/>
        <v>289083.77500000002</v>
      </c>
      <c r="F5299" s="7">
        <f t="shared" si="165"/>
        <v>28058209</v>
      </c>
      <c r="G5299" s="7"/>
    </row>
    <row r="5300" spans="1:7" x14ac:dyDescent="0.35">
      <c r="A5300" t="str">
        <f>"2026-06-30"</f>
        <v>2026-06-30</v>
      </c>
      <c r="B5300" t="str">
        <f>"54.0409"</f>
        <v>54.0409</v>
      </c>
      <c r="C5300">
        <v>5298</v>
      </c>
      <c r="D5300" s="7">
        <v>54.040900000000001</v>
      </c>
      <c r="E5300" s="7">
        <f t="shared" si="164"/>
        <v>286308.68819999998</v>
      </c>
      <c r="F5300" s="7">
        <f t="shared" si="165"/>
        <v>28068804</v>
      </c>
      <c r="G5300" s="7"/>
    </row>
    <row r="5301" spans="1:7" x14ac:dyDescent="0.35">
      <c r="A5301" t="str">
        <f>"2026-07-01"</f>
        <v>2026-07-01</v>
      </c>
      <c r="B5301" t="str">
        <f>"53.8315"</f>
        <v>53.8315</v>
      </c>
      <c r="C5301">
        <v>5299</v>
      </c>
      <c r="D5301" s="7">
        <v>53.831499999999998</v>
      </c>
      <c r="E5301" s="7">
        <f t="shared" si="164"/>
        <v>285253.11849999998</v>
      </c>
      <c r="F5301" s="7">
        <f t="shared" si="165"/>
        <v>28079401</v>
      </c>
      <c r="G5301" s="7"/>
    </row>
    <row r="5302" spans="1:7" x14ac:dyDescent="0.35">
      <c r="A5302" t="str">
        <f>"2026-07-02"</f>
        <v>2026-07-02</v>
      </c>
      <c r="B5302" t="str">
        <f>"53.9943"</f>
        <v>53.9943</v>
      </c>
      <c r="C5302">
        <v>5300</v>
      </c>
      <c r="D5302" s="7">
        <v>53.994300000000003</v>
      </c>
      <c r="E5302" s="7">
        <f t="shared" si="164"/>
        <v>286169.79000000004</v>
      </c>
      <c r="F5302" s="7">
        <f t="shared" si="165"/>
        <v>28090000</v>
      </c>
      <c r="G5302" s="7"/>
    </row>
    <row r="5303" spans="1:7" x14ac:dyDescent="0.35">
      <c r="A5303" t="str">
        <f>"2026-07-06"</f>
        <v>2026-07-06</v>
      </c>
      <c r="B5303" t="str">
        <f>"55.4933"</f>
        <v>55.4933</v>
      </c>
      <c r="C5303">
        <v>5301</v>
      </c>
      <c r="D5303" s="7">
        <v>55.493299999999998</v>
      </c>
      <c r="E5303" s="7">
        <f t="shared" si="164"/>
        <v>294169.98329999996</v>
      </c>
      <c r="F5303" s="7">
        <f t="shared" si="165"/>
        <v>28100601</v>
      </c>
      <c r="G5303" s="7"/>
    </row>
    <row r="5304" spans="1:7" x14ac:dyDescent="0.35">
      <c r="A5304" t="str">
        <f>"2026-07-07"</f>
        <v>2026-07-07</v>
      </c>
      <c r="B5304" t="str">
        <f>"55.8119"</f>
        <v>55.8119</v>
      </c>
      <c r="C5304">
        <v>5302</v>
      </c>
      <c r="D5304" s="7">
        <v>55.811900000000001</v>
      </c>
      <c r="E5304" s="7">
        <f t="shared" si="164"/>
        <v>295914.69380000001</v>
      </c>
      <c r="F5304" s="7">
        <f t="shared" si="165"/>
        <v>28111204</v>
      </c>
      <c r="G5304" s="7"/>
    </row>
    <row r="5305" spans="1:7" x14ac:dyDescent="0.35">
      <c r="A5305" t="str">
        <f>"2026-07-08"</f>
        <v>2026-07-08</v>
      </c>
      <c r="B5305" t="str">
        <f>"54.1414"</f>
        <v>54.1414</v>
      </c>
      <c r="C5305">
        <v>5303</v>
      </c>
      <c r="D5305" s="7">
        <v>54.141399999999997</v>
      </c>
      <c r="E5305" s="7">
        <f t="shared" si="164"/>
        <v>287111.84419999999</v>
      </c>
      <c r="F5305" s="7">
        <f t="shared" si="165"/>
        <v>28121809</v>
      </c>
      <c r="G5305" s="7"/>
    </row>
    <row r="5306" spans="1:7" x14ac:dyDescent="0.35">
      <c r="A5306" t="str">
        <f>"2026-07-09"</f>
        <v>2026-07-09</v>
      </c>
      <c r="B5306" t="str">
        <f>"54.3446"</f>
        <v>54.3446</v>
      </c>
      <c r="C5306">
        <v>5304</v>
      </c>
      <c r="D5306" s="7">
        <v>54.3446</v>
      </c>
      <c r="E5306" s="7">
        <f t="shared" si="164"/>
        <v>288243.75839999999</v>
      </c>
      <c r="F5306" s="7">
        <f t="shared" si="165"/>
        <v>28132416</v>
      </c>
      <c r="G5306" s="7"/>
    </row>
    <row r="5307" spans="1:7" x14ac:dyDescent="0.35">
      <c r="A5307" t="str">
        <f>"2026-07-10"</f>
        <v>2026-07-10</v>
      </c>
      <c r="B5307" t="str">
        <f>"55.6117"</f>
        <v>55.6117</v>
      </c>
      <c r="C5307">
        <v>5305</v>
      </c>
      <c r="D5307" s="7">
        <v>55.611699999999999</v>
      </c>
      <c r="E5307" s="7">
        <f t="shared" si="164"/>
        <v>295020.06849999999</v>
      </c>
      <c r="F5307" s="7">
        <f t="shared" si="165"/>
        <v>28143025</v>
      </c>
      <c r="G5307" s="7"/>
    </row>
    <row r="5308" spans="1:7" x14ac:dyDescent="0.35">
      <c r="A5308" t="str">
        <f>"2026-07-13"</f>
        <v>2026-07-13</v>
      </c>
      <c r="B5308" t="str">
        <f>"55.2329"</f>
        <v>55.2329</v>
      </c>
      <c r="C5308">
        <v>5306</v>
      </c>
      <c r="D5308" s="7">
        <v>55.232900000000001</v>
      </c>
      <c r="E5308" s="7">
        <f t="shared" si="164"/>
        <v>293065.76740000001</v>
      </c>
      <c r="F5308" s="7">
        <f t="shared" si="165"/>
        <v>28153636</v>
      </c>
      <c r="G5308" s="7"/>
    </row>
    <row r="5309" spans="1:7" x14ac:dyDescent="0.35">
      <c r="A5309" t="str">
        <f>"2026-07-14"</f>
        <v>2026-07-14</v>
      </c>
      <c r="B5309" t="str">
        <f>"53.0978"</f>
        <v>53.0978</v>
      </c>
      <c r="C5309">
        <v>5307</v>
      </c>
      <c r="D5309" s="7">
        <v>53.097799999999999</v>
      </c>
      <c r="E5309" s="7">
        <f t="shared" si="164"/>
        <v>281790.0246</v>
      </c>
      <c r="F5309" s="7">
        <f t="shared" si="165"/>
        <v>28164249</v>
      </c>
      <c r="G5309" s="7"/>
    </row>
    <row r="5310" spans="1:7" x14ac:dyDescent="0.35">
      <c r="A5310" t="str">
        <f>"2026-07-16"</f>
        <v>2026-07-16</v>
      </c>
      <c r="B5310" t="str">
        <f>"54.7512"</f>
        <v>54.7512</v>
      </c>
      <c r="C5310">
        <v>5308</v>
      </c>
      <c r="D5310" s="7">
        <v>54.751199999999997</v>
      </c>
      <c r="E5310" s="7">
        <f t="shared" si="164"/>
        <v>290619.36959999998</v>
      </c>
      <c r="F5310" s="7">
        <f t="shared" si="165"/>
        <v>28174864</v>
      </c>
      <c r="G5310" s="7"/>
    </row>
    <row r="5311" spans="1:7" x14ac:dyDescent="0.35">
      <c r="A5311" t="str">
        <f>"2026-07-17"</f>
        <v>2026-07-17</v>
      </c>
      <c r="B5311" t="str">
        <f>"54.2235"</f>
        <v>54.2235</v>
      </c>
      <c r="C5311">
        <v>5309</v>
      </c>
      <c r="D5311" s="7">
        <v>54.223500000000001</v>
      </c>
      <c r="E5311" s="7">
        <f t="shared" si="164"/>
        <v>287872.56150000001</v>
      </c>
      <c r="F5311" s="7">
        <f t="shared" si="165"/>
        <v>28185481</v>
      </c>
      <c r="G5311" s="7"/>
    </row>
    <row r="5312" spans="1:7" x14ac:dyDescent="0.35">
      <c r="A5312" t="str">
        <f>"2026-07-20"</f>
        <v>2026-07-20</v>
      </c>
      <c r="B5312" t="str">
        <f>"53.9643"</f>
        <v>53.9643</v>
      </c>
      <c r="C5312">
        <v>5310</v>
      </c>
      <c r="D5312" s="7">
        <v>53.964300000000001</v>
      </c>
      <c r="E5312" s="7">
        <f t="shared" si="164"/>
        <v>286550.43300000002</v>
      </c>
      <c r="F5312" s="7">
        <f t="shared" si="165"/>
        <v>28196100</v>
      </c>
      <c r="G5312" s="7"/>
    </row>
    <row r="5313" spans="1:7" x14ac:dyDescent="0.35">
      <c r="A5313" t="str">
        <f>"2026-07-21"</f>
        <v>2026-07-21</v>
      </c>
      <c r="B5313" t="str">
        <f>"51.4136"</f>
        <v>51.4136</v>
      </c>
      <c r="C5313">
        <v>5311</v>
      </c>
      <c r="D5313" s="7">
        <v>51.413600000000002</v>
      </c>
      <c r="E5313" s="7">
        <f t="shared" si="164"/>
        <v>273057.62959999999</v>
      </c>
      <c r="F5313" s="7">
        <f t="shared" si="165"/>
        <v>28206721</v>
      </c>
      <c r="G5313" s="7"/>
    </row>
    <row r="5314" spans="1:7" x14ac:dyDescent="0.35">
      <c r="A5314" t="str">
        <f>"2026-07-22"</f>
        <v>2026-07-22</v>
      </c>
      <c r="B5314" t="str">
        <f>"51.0117"</f>
        <v>51.0117</v>
      </c>
      <c r="C5314">
        <v>5312</v>
      </c>
      <c r="D5314" s="7">
        <v>51.011699999999998</v>
      </c>
      <c r="E5314" s="7">
        <f t="shared" si="164"/>
        <v>270974.15039999998</v>
      </c>
      <c r="F5314" s="7">
        <f t="shared" si="165"/>
        <v>28217344</v>
      </c>
      <c r="G5314" s="7"/>
    </row>
    <row r="5315" spans="1:7" x14ac:dyDescent="0.35">
      <c r="A5315" t="str">
        <f>"2026-07-23"</f>
        <v>2026-07-23</v>
      </c>
      <c r="B5315" t="str">
        <f>"50.9167"</f>
        <v>50.9167</v>
      </c>
      <c r="C5315">
        <v>5313</v>
      </c>
      <c r="D5315" s="7">
        <v>50.916699999999999</v>
      </c>
      <c r="E5315" s="7">
        <f t="shared" si="164"/>
        <v>270520.42709999997</v>
      </c>
      <c r="F5315" s="7">
        <f t="shared" si="165"/>
        <v>28227969</v>
      </c>
      <c r="G5315" s="7"/>
    </row>
    <row r="5316" spans="1:7" x14ac:dyDescent="0.35">
      <c r="A5316" t="str">
        <f>"2026-07-24"</f>
        <v>2026-07-24</v>
      </c>
      <c r="B5316" t="str">
        <f>"50.4209"</f>
        <v>50.4209</v>
      </c>
      <c r="C5316">
        <v>5314</v>
      </c>
      <c r="D5316" s="7">
        <v>50.420900000000003</v>
      </c>
      <c r="E5316" s="7">
        <f t="shared" ref="E5316:E5345" si="166">C5316*D5316</f>
        <v>267936.66260000004</v>
      </c>
      <c r="F5316" s="7">
        <f t="shared" ref="F5316:F5345" si="167">C5316*C5316</f>
        <v>28238596</v>
      </c>
      <c r="G5316" s="7"/>
    </row>
    <row r="5317" spans="1:7" x14ac:dyDescent="0.35">
      <c r="A5317" t="str">
        <f>"2026-07-27"</f>
        <v>2026-07-27</v>
      </c>
      <c r="B5317" t="str">
        <f>"51.2664"</f>
        <v>51.2664</v>
      </c>
      <c r="C5317">
        <v>5315</v>
      </c>
      <c r="D5317" s="7">
        <v>51.266399999999997</v>
      </c>
      <c r="E5317" s="7">
        <f t="shared" si="166"/>
        <v>272480.91599999997</v>
      </c>
      <c r="F5317" s="7">
        <f t="shared" si="167"/>
        <v>28249225</v>
      </c>
      <c r="G5317" s="7"/>
    </row>
    <row r="5318" spans="1:7" x14ac:dyDescent="0.35">
      <c r="A5318" t="str">
        <f>"2026-07-28"</f>
        <v>2026-07-28</v>
      </c>
      <c r="B5318" t="str">
        <f>"51.9106"</f>
        <v>51.9106</v>
      </c>
      <c r="C5318">
        <v>5316</v>
      </c>
      <c r="D5318" s="7">
        <v>51.910600000000002</v>
      </c>
      <c r="E5318" s="7">
        <f t="shared" si="166"/>
        <v>275956.74960000004</v>
      </c>
      <c r="F5318" s="7">
        <f t="shared" si="167"/>
        <v>28259856</v>
      </c>
      <c r="G5318" s="7"/>
    </row>
    <row r="5319" spans="1:7" x14ac:dyDescent="0.35">
      <c r="A5319" t="str">
        <f>"2026-07-29"</f>
        <v>2026-07-29</v>
      </c>
      <c r="B5319" t="str">
        <f>"50.9639"</f>
        <v>50.9639</v>
      </c>
      <c r="C5319">
        <v>5317</v>
      </c>
      <c r="D5319" s="7">
        <v>50.963900000000002</v>
      </c>
      <c r="E5319" s="7">
        <f t="shared" si="166"/>
        <v>270975.0563</v>
      </c>
      <c r="F5319" s="7">
        <f t="shared" si="167"/>
        <v>28270489</v>
      </c>
      <c r="G5319" s="7"/>
    </row>
    <row r="5320" spans="1:7" x14ac:dyDescent="0.35">
      <c r="A5320" t="str">
        <f>"2026-07-30"</f>
        <v>2026-07-30</v>
      </c>
      <c r="B5320" t="str">
        <f>"49.3646"</f>
        <v>49.3646</v>
      </c>
      <c r="C5320">
        <v>5318</v>
      </c>
      <c r="D5320" s="7">
        <v>49.364600000000003</v>
      </c>
      <c r="E5320" s="7">
        <f t="shared" si="166"/>
        <v>262520.94280000002</v>
      </c>
      <c r="F5320" s="7">
        <f t="shared" si="167"/>
        <v>28281124</v>
      </c>
      <c r="G5320" s="7"/>
    </row>
    <row r="5321" spans="1:7" x14ac:dyDescent="0.35">
      <c r="A5321" t="str">
        <f>"2026-07-31"</f>
        <v>2026-07-31</v>
      </c>
      <c r="B5321" t="str">
        <f>"50.7778"</f>
        <v>50.7778</v>
      </c>
      <c r="C5321">
        <v>5319</v>
      </c>
      <c r="D5321" s="7">
        <v>50.777799999999999</v>
      </c>
      <c r="E5321" s="7">
        <f t="shared" si="166"/>
        <v>270087.11819999997</v>
      </c>
      <c r="F5321" s="7">
        <f t="shared" si="167"/>
        <v>28291761</v>
      </c>
      <c r="G5321" s="7"/>
    </row>
    <row r="5322" spans="1:7" x14ac:dyDescent="0.35">
      <c r="A5322" t="str">
        <f>"2026-08-03"</f>
        <v>2026-08-03</v>
      </c>
      <c r="B5322" t="str">
        <f>"51.4233"</f>
        <v>51.4233</v>
      </c>
      <c r="C5322">
        <v>5320</v>
      </c>
      <c r="D5322" s="7">
        <v>51.423299999999998</v>
      </c>
      <c r="E5322" s="7">
        <f t="shared" si="166"/>
        <v>273571.95600000001</v>
      </c>
      <c r="F5322" s="7">
        <f t="shared" si="167"/>
        <v>28302400</v>
      </c>
      <c r="G5322" s="7"/>
    </row>
    <row r="5323" spans="1:7" x14ac:dyDescent="0.35">
      <c r="A5323" t="str">
        <f>"2026-08-04"</f>
        <v>2026-08-04</v>
      </c>
      <c r="B5323" t="str">
        <f>"51.7206"</f>
        <v>51.7206</v>
      </c>
      <c r="C5323">
        <v>5321</v>
      </c>
      <c r="D5323" s="7">
        <v>51.720599999999997</v>
      </c>
      <c r="E5323" s="7">
        <f t="shared" si="166"/>
        <v>275205.3126</v>
      </c>
      <c r="F5323" s="7">
        <f t="shared" si="167"/>
        <v>28313041</v>
      </c>
      <c r="G5323" s="7"/>
    </row>
    <row r="5324" spans="1:7" x14ac:dyDescent="0.35">
      <c r="A5324" t="str">
        <f>"2026-08-05"</f>
        <v>2026-08-05</v>
      </c>
      <c r="B5324" t="str">
        <f>"48.3574"</f>
        <v>48.3574</v>
      </c>
      <c r="C5324">
        <v>5322</v>
      </c>
      <c r="D5324" s="7">
        <v>48.357399999999998</v>
      </c>
      <c r="E5324" s="7">
        <f t="shared" si="166"/>
        <v>257358.0828</v>
      </c>
      <c r="F5324" s="7">
        <f t="shared" si="167"/>
        <v>28323684</v>
      </c>
      <c r="G5324" s="7"/>
    </row>
    <row r="5325" spans="1:7" x14ac:dyDescent="0.35">
      <c r="A5325" t="str">
        <f>"2026-08-06"</f>
        <v>2026-08-06</v>
      </c>
      <c r="B5325" t="str">
        <f>"47.9945"</f>
        <v>47.9945</v>
      </c>
      <c r="C5325">
        <v>5323</v>
      </c>
      <c r="D5325" s="7">
        <v>47.994500000000002</v>
      </c>
      <c r="E5325" s="7">
        <f t="shared" si="166"/>
        <v>255474.72350000002</v>
      </c>
      <c r="F5325" s="7">
        <f t="shared" si="167"/>
        <v>28334329</v>
      </c>
      <c r="G5325" s="7"/>
    </row>
    <row r="5326" spans="1:7" x14ac:dyDescent="0.35">
      <c r="A5326" t="str">
        <f>"2026-08-07"</f>
        <v>2026-08-07</v>
      </c>
      <c r="B5326" t="str">
        <f>"46.044"</f>
        <v>46.044</v>
      </c>
      <c r="C5326">
        <v>5324</v>
      </c>
      <c r="D5326" s="7">
        <v>46.043999999999997</v>
      </c>
      <c r="E5326" s="7">
        <f t="shared" si="166"/>
        <v>245138.25599999999</v>
      </c>
      <c r="F5326" s="7">
        <f t="shared" si="167"/>
        <v>28344976</v>
      </c>
      <c r="G5326" s="7"/>
    </row>
    <row r="5327" spans="1:7" x14ac:dyDescent="0.35">
      <c r="A5327" t="str">
        <f>"2026-08-10"</f>
        <v>2026-08-10</v>
      </c>
      <c r="B5327" t="str">
        <f>"45.3049"</f>
        <v>45.3049</v>
      </c>
      <c r="C5327">
        <v>5325</v>
      </c>
      <c r="D5327" s="7">
        <v>45.304900000000004</v>
      </c>
      <c r="E5327" s="7">
        <f t="shared" si="166"/>
        <v>241248.59250000003</v>
      </c>
      <c r="F5327" s="7">
        <f t="shared" si="167"/>
        <v>28355625</v>
      </c>
      <c r="G5327" s="7"/>
    </row>
    <row r="5328" spans="1:7" x14ac:dyDescent="0.35">
      <c r="A5328" t="str">
        <f>"2026-08-11"</f>
        <v>2026-08-11</v>
      </c>
      <c r="B5328" t="str">
        <f>"44.7583"</f>
        <v>44.7583</v>
      </c>
      <c r="C5328">
        <v>5326</v>
      </c>
      <c r="D5328" s="7">
        <v>44.758299999999998</v>
      </c>
      <c r="E5328" s="7">
        <f t="shared" si="166"/>
        <v>238382.7058</v>
      </c>
      <c r="F5328" s="7">
        <f t="shared" si="167"/>
        <v>28366276</v>
      </c>
      <c r="G5328" s="7"/>
    </row>
    <row r="5329" spans="1:7" x14ac:dyDescent="0.35">
      <c r="A5329" t="str">
        <f>"2026-08-12"</f>
        <v>2026-08-12</v>
      </c>
      <c r="B5329" t="str">
        <f>"45.6153"</f>
        <v>45.6153</v>
      </c>
      <c r="C5329">
        <v>5327</v>
      </c>
      <c r="D5329" s="7">
        <v>45.615299999999998</v>
      </c>
      <c r="E5329" s="7">
        <f t="shared" si="166"/>
        <v>242992.70309999998</v>
      </c>
      <c r="F5329" s="7">
        <f t="shared" si="167"/>
        <v>28376929</v>
      </c>
      <c r="G5329" s="7"/>
    </row>
    <row r="5330" spans="1:7" x14ac:dyDescent="0.35">
      <c r="A5330" t="str">
        <f>"2026-08-13"</f>
        <v>2026-08-13</v>
      </c>
      <c r="B5330" t="str">
        <f>"45.9694"</f>
        <v>45.9694</v>
      </c>
      <c r="C5330">
        <v>5328</v>
      </c>
      <c r="D5330" s="7">
        <v>45.9694</v>
      </c>
      <c r="E5330" s="7">
        <f t="shared" si="166"/>
        <v>244924.9632</v>
      </c>
      <c r="F5330" s="7">
        <f t="shared" si="167"/>
        <v>28387584</v>
      </c>
      <c r="G5330" s="7"/>
    </row>
    <row r="5331" spans="1:7" x14ac:dyDescent="0.35">
      <c r="A5331" t="str">
        <f>"2026-08-14"</f>
        <v>2026-08-14</v>
      </c>
      <c r="B5331" t="str">
        <f>"45.2689"</f>
        <v>45.2689</v>
      </c>
      <c r="C5331">
        <v>5329</v>
      </c>
      <c r="D5331" s="7">
        <v>45.268900000000002</v>
      </c>
      <c r="E5331" s="7">
        <f t="shared" si="166"/>
        <v>241237.9681</v>
      </c>
      <c r="F5331" s="7">
        <f t="shared" si="167"/>
        <v>28398241</v>
      </c>
      <c r="G5331" s="7"/>
    </row>
    <row r="5332" spans="1:7" x14ac:dyDescent="0.35">
      <c r="A5332" t="str">
        <f>"2026-08-17"</f>
        <v>2026-08-17</v>
      </c>
      <c r="B5332" t="str">
        <f>"44.2813"</f>
        <v>44.2813</v>
      </c>
      <c r="C5332">
        <v>5330</v>
      </c>
      <c r="D5332" s="7">
        <v>44.281300000000002</v>
      </c>
      <c r="E5332" s="7">
        <f t="shared" si="166"/>
        <v>236019.329</v>
      </c>
      <c r="F5332" s="7">
        <f t="shared" si="167"/>
        <v>28408900</v>
      </c>
      <c r="G5332" s="7"/>
    </row>
    <row r="5333" spans="1:7" x14ac:dyDescent="0.35">
      <c r="A5333" t="str">
        <f>"2026-08-18"</f>
        <v>2026-08-18</v>
      </c>
      <c r="B5333" t="str">
        <f>"44.6894"</f>
        <v>44.6894</v>
      </c>
      <c r="C5333">
        <v>5331</v>
      </c>
      <c r="D5333" s="7">
        <v>44.689399999999999</v>
      </c>
      <c r="E5333" s="7">
        <f t="shared" si="166"/>
        <v>238239.19139999998</v>
      </c>
      <c r="F5333" s="7">
        <f t="shared" si="167"/>
        <v>28419561</v>
      </c>
      <c r="G5333" s="7"/>
    </row>
    <row r="5334" spans="1:7" x14ac:dyDescent="0.35">
      <c r="A5334" t="str">
        <f>"2026-08-19"</f>
        <v>2026-08-19</v>
      </c>
      <c r="B5334" t="str">
        <f>"43.5633"</f>
        <v>43.5633</v>
      </c>
      <c r="C5334">
        <v>5332</v>
      </c>
      <c r="D5334" s="7">
        <v>43.563299999999998</v>
      </c>
      <c r="E5334" s="7">
        <f t="shared" si="166"/>
        <v>232279.51559999998</v>
      </c>
      <c r="F5334" s="7">
        <f t="shared" si="167"/>
        <v>28430224</v>
      </c>
      <c r="G5334" s="7"/>
    </row>
    <row r="5335" spans="1:7" x14ac:dyDescent="0.35">
      <c r="A5335" t="str">
        <f>"2026-08-20"</f>
        <v>2026-08-20</v>
      </c>
      <c r="B5335" t="str">
        <f>"43.2724"</f>
        <v>43.2724</v>
      </c>
      <c r="C5335">
        <v>5333</v>
      </c>
      <c r="D5335" s="7">
        <v>43.272399999999998</v>
      </c>
      <c r="E5335" s="7">
        <f t="shared" si="166"/>
        <v>230771.70919999998</v>
      </c>
      <c r="F5335" s="7">
        <f t="shared" si="167"/>
        <v>28440889</v>
      </c>
      <c r="G5335" s="7"/>
    </row>
    <row r="5336" spans="1:7" x14ac:dyDescent="0.35">
      <c r="A5336" t="str">
        <f>"2026-08-21"</f>
        <v>2026-08-21</v>
      </c>
      <c r="B5336" t="str">
        <f>"42.1427"</f>
        <v>42.1427</v>
      </c>
      <c r="C5336">
        <v>5334</v>
      </c>
      <c r="D5336" s="7">
        <v>42.142699999999998</v>
      </c>
      <c r="E5336" s="7">
        <f t="shared" si="166"/>
        <v>224789.1618</v>
      </c>
      <c r="F5336" s="7">
        <f t="shared" si="167"/>
        <v>28451556</v>
      </c>
      <c r="G5336" s="7"/>
    </row>
    <row r="5337" spans="1:7" x14ac:dyDescent="0.35">
      <c r="A5337" t="str">
        <f>"2026-08-24"</f>
        <v>2026-08-24</v>
      </c>
      <c r="B5337" t="str">
        <f>"41.9188"</f>
        <v>41.9188</v>
      </c>
      <c r="C5337">
        <v>5335</v>
      </c>
      <c r="D5337" s="7">
        <v>41.918799999999997</v>
      </c>
      <c r="E5337" s="7">
        <f t="shared" si="166"/>
        <v>223636.79799999998</v>
      </c>
      <c r="F5337" s="7">
        <f t="shared" si="167"/>
        <v>28462225</v>
      </c>
      <c r="G5337" s="7"/>
    </row>
    <row r="5338" spans="1:7" x14ac:dyDescent="0.35">
      <c r="A5338" t="str">
        <f>"2026-08-25"</f>
        <v>2026-08-25</v>
      </c>
      <c r="B5338" t="str">
        <f>"42.195"</f>
        <v>42.195</v>
      </c>
      <c r="C5338">
        <v>5336</v>
      </c>
      <c r="D5338" s="7">
        <v>42.195</v>
      </c>
      <c r="E5338" s="7">
        <f t="shared" si="166"/>
        <v>225152.52</v>
      </c>
      <c r="F5338" s="7">
        <f t="shared" si="167"/>
        <v>28472896</v>
      </c>
      <c r="G5338" s="7"/>
    </row>
    <row r="5339" spans="1:7" x14ac:dyDescent="0.35">
      <c r="A5339" t="str">
        <f>"2026-08-26"</f>
        <v>2026-08-26</v>
      </c>
      <c r="B5339" t="str">
        <f>"43.3745"</f>
        <v>43.3745</v>
      </c>
      <c r="C5339">
        <v>5337</v>
      </c>
      <c r="D5339" s="7">
        <v>43.374499999999998</v>
      </c>
      <c r="E5339" s="7">
        <f t="shared" si="166"/>
        <v>231489.7065</v>
      </c>
      <c r="F5339" s="7">
        <f t="shared" si="167"/>
        <v>28483569</v>
      </c>
      <c r="G5339" s="7"/>
    </row>
    <row r="5340" spans="1:7" x14ac:dyDescent="0.35">
      <c r="A5340" t="str">
        <f>"2026-08-27"</f>
        <v>2026-08-27</v>
      </c>
      <c r="B5340" t="str">
        <f>"43.0716"</f>
        <v>43.0716</v>
      </c>
      <c r="C5340">
        <v>5338</v>
      </c>
      <c r="D5340" s="7">
        <v>43.071599999999997</v>
      </c>
      <c r="E5340" s="7">
        <f t="shared" si="166"/>
        <v>229916.20079999999</v>
      </c>
      <c r="F5340" s="7">
        <f t="shared" si="167"/>
        <v>28494244</v>
      </c>
      <c r="G5340" s="7"/>
    </row>
    <row r="5341" spans="1:7" x14ac:dyDescent="0.35">
      <c r="A5341" t="str">
        <f>"2026-08-28"</f>
        <v>2026-08-28</v>
      </c>
      <c r="B5341" t="str">
        <f>"44.5013"</f>
        <v>44.5013</v>
      </c>
      <c r="C5341">
        <v>5339</v>
      </c>
      <c r="D5341" s="7">
        <v>44.501300000000001</v>
      </c>
      <c r="E5341" s="7">
        <f t="shared" si="166"/>
        <v>237592.44070000001</v>
      </c>
      <c r="F5341" s="7">
        <f t="shared" si="167"/>
        <v>28504921</v>
      </c>
      <c r="G5341" s="7"/>
    </row>
    <row r="5342" spans="1:7" x14ac:dyDescent="0.35">
      <c r="A5342" t="str">
        <f>"2026-08-31"</f>
        <v>2026-08-31</v>
      </c>
      <c r="B5342" t="str">
        <f>"43.9739"</f>
        <v>43.9739</v>
      </c>
      <c r="C5342">
        <v>5340</v>
      </c>
      <c r="D5342" s="7">
        <v>43.9739</v>
      </c>
      <c r="E5342" s="7">
        <f t="shared" si="166"/>
        <v>234820.62599999999</v>
      </c>
      <c r="F5342" s="7">
        <f t="shared" si="167"/>
        <v>28515600</v>
      </c>
      <c r="G5342" s="7"/>
    </row>
    <row r="5343" spans="1:7" x14ac:dyDescent="0.35">
      <c r="A5343" t="str">
        <f>"2026-09-01"</f>
        <v>2026-09-01</v>
      </c>
      <c r="B5343" t="str">
        <f>"44.684"</f>
        <v>44.684</v>
      </c>
      <c r="C5343">
        <v>5341</v>
      </c>
      <c r="D5343" s="7">
        <v>44.683999999999997</v>
      </c>
      <c r="E5343" s="7">
        <f t="shared" si="166"/>
        <v>238657.24399999998</v>
      </c>
      <c r="F5343" s="7">
        <f t="shared" si="167"/>
        <v>28526281</v>
      </c>
      <c r="G5343" s="7"/>
    </row>
    <row r="5344" spans="1:7" x14ac:dyDescent="0.35">
      <c r="A5344" t="str">
        <f>"2026-09-02"</f>
        <v>2026-09-02</v>
      </c>
      <c r="B5344" t="str">
        <f>"43.0081"</f>
        <v>43.0081</v>
      </c>
      <c r="C5344">
        <v>5342</v>
      </c>
      <c r="D5344" s="7">
        <v>43.008099999999999</v>
      </c>
      <c r="E5344" s="7">
        <f t="shared" si="166"/>
        <v>229749.2702</v>
      </c>
      <c r="F5344" s="7">
        <f t="shared" si="167"/>
        <v>28536964</v>
      </c>
      <c r="G5344" s="7"/>
    </row>
    <row r="5345" spans="1:7" x14ac:dyDescent="0.35">
      <c r="A5345" t="str">
        <f>"2026-09-03"</f>
        <v>2026-09-03</v>
      </c>
      <c r="B5345" t="str">
        <f>"41.5274"</f>
        <v>41.5274</v>
      </c>
      <c r="C5345">
        <v>5343</v>
      </c>
      <c r="D5345" s="7">
        <v>41.5274</v>
      </c>
      <c r="E5345" s="7">
        <f t="shared" si="166"/>
        <v>221880.8982</v>
      </c>
      <c r="F5345" s="7">
        <f t="shared" si="167"/>
        <v>28547649</v>
      </c>
      <c r="G5345" s="7"/>
    </row>
  </sheetData>
  <mergeCells count="1">
    <mergeCell ref="P33:U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9213-905B-4018-AE34-FD812A8F59A8}">
  <dimension ref="B2:C8"/>
  <sheetViews>
    <sheetView workbookViewId="0">
      <selection activeCell="B2" sqref="B2:C8"/>
    </sheetView>
  </sheetViews>
  <sheetFormatPr defaultRowHeight="14.5" x14ac:dyDescent="0.35"/>
  <sheetData>
    <row r="2" spans="2:3" x14ac:dyDescent="0.35">
      <c r="B2" t="s">
        <v>8222</v>
      </c>
      <c r="C2" t="s">
        <v>8220</v>
      </c>
    </row>
    <row r="3" spans="2:3" x14ac:dyDescent="0.35">
      <c r="B3">
        <v>1</v>
      </c>
      <c r="C3">
        <v>1</v>
      </c>
    </row>
    <row r="4" spans="2:3" x14ac:dyDescent="0.35">
      <c r="B4">
        <v>2</v>
      </c>
      <c r="C4">
        <v>4</v>
      </c>
    </row>
    <row r="5" spans="2:3" x14ac:dyDescent="0.35">
      <c r="B5">
        <v>3</v>
      </c>
      <c r="C5">
        <v>2</v>
      </c>
    </row>
    <row r="6" spans="2:3" x14ac:dyDescent="0.35">
      <c r="B6">
        <v>4</v>
      </c>
      <c r="C6">
        <v>6</v>
      </c>
    </row>
    <row r="7" spans="2:3" x14ac:dyDescent="0.35">
      <c r="B7">
        <v>5</v>
      </c>
      <c r="C7">
        <v>4</v>
      </c>
    </row>
    <row r="8" spans="2:3" x14ac:dyDescent="0.35">
      <c r="B8">
        <v>6</v>
      </c>
      <c r="C8">
        <v>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Sheet2 (2)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KILIC</dc:creator>
  <cp:lastModifiedBy>Mehmet KILIC</cp:lastModifiedBy>
  <dcterms:created xsi:type="dcterms:W3CDTF">2026-09-03T18:08:09Z</dcterms:created>
  <dcterms:modified xsi:type="dcterms:W3CDTF">2026-09-03T20:40:38Z</dcterms:modified>
</cp:coreProperties>
</file>